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Izvještaji Februar\"/>
    </mc:Choice>
  </mc:AlternateContent>
  <workbookProtection workbookAlgorithmName="SHA-512" workbookHashValue="zA7lV3NYcOPdvliVIV3wEIbnLFzchu7JOE53l/2iv+KAf8NaOEhXW5n47D7Q+3E2HJ1mio+rxr6sR3epZvlG2g==" workbookSaltValue="MpEzEPinF7tEmt+suXi6aA==" workbookSpinCount="100000" lockStructure="1"/>
  <bookViews>
    <workbookView xWindow="0" yWindow="0" windowWidth="14370" windowHeight="9195" tabRatio="587" firstSheet="1" activeTab="1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62913"/>
</workbook>
</file>

<file path=xl/calcChain.xml><?xml version="1.0" encoding="utf-8"?>
<calcChain xmlns="http://schemas.openxmlformats.org/spreadsheetml/2006/main">
  <c r="R131" i="28" l="1"/>
  <c r="Q131" i="28"/>
  <c r="P131" i="28"/>
  <c r="O131" i="28"/>
  <c r="N131" i="28"/>
  <c r="M131" i="28"/>
  <c r="L131" i="28"/>
  <c r="K131" i="28"/>
  <c r="J131" i="28"/>
  <c r="I131" i="28"/>
  <c r="H131" i="28"/>
  <c r="G131" i="28"/>
  <c r="R129" i="28"/>
  <c r="R130" i="28" s="1"/>
  <c r="Q129" i="28"/>
  <c r="Q130" i="28" s="1"/>
  <c r="P129" i="28"/>
  <c r="P130" i="28" s="1"/>
  <c r="O129" i="28"/>
  <c r="O130" i="28" s="1"/>
  <c r="N129" i="28"/>
  <c r="N130" i="28" s="1"/>
  <c r="M129" i="28"/>
  <c r="M130" i="28" s="1"/>
  <c r="L129" i="28"/>
  <c r="L130" i="28" s="1"/>
  <c r="K129" i="28"/>
  <c r="K130" i="28" s="1"/>
  <c r="J129" i="28"/>
  <c r="J130" i="28" s="1"/>
  <c r="I129" i="28"/>
  <c r="I130" i="28" s="1"/>
  <c r="H129" i="28"/>
  <c r="H130" i="28" s="1"/>
  <c r="G129" i="28"/>
  <c r="G130" i="28" s="1"/>
  <c r="R116" i="28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O106" i="28"/>
  <c r="N106" i="28"/>
  <c r="M106" i="28"/>
  <c r="L106" i="28"/>
  <c r="K106" i="28"/>
  <c r="J106" i="28"/>
  <c r="I106" i="28"/>
  <c r="H106" i="28"/>
  <c r="G106" i="28"/>
  <c r="R105" i="28"/>
  <c r="Q105" i="28"/>
  <c r="P105" i="28"/>
  <c r="O105" i="28"/>
  <c r="N105" i="28"/>
  <c r="M105" i="28"/>
  <c r="L105" i="28"/>
  <c r="K105" i="28"/>
  <c r="J105" i="28"/>
  <c r="I105" i="28"/>
  <c r="H105" i="28"/>
  <c r="G105" i="28"/>
  <c r="G136" i="28" l="1"/>
  <c r="G142" i="28" s="1"/>
  <c r="G137" i="28" s="1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N136" i="28"/>
  <c r="N142" i="28" s="1"/>
  <c r="N137" i="28" s="1"/>
  <c r="R136" i="28"/>
  <c r="R142" i="28" s="1"/>
  <c r="R137" i="28" s="1"/>
  <c r="H12" i="1"/>
  <c r="N12" i="11" l="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39" i="11" l="1"/>
  <c r="N38" i="11"/>
  <c r="N37" i="11"/>
  <c r="N36" i="11"/>
  <c r="N35" i="11"/>
  <c r="N34" i="11"/>
  <c r="N33" i="11"/>
  <c r="N32" i="11"/>
  <c r="N31" i="1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P55" i="28"/>
  <c r="O55" i="28"/>
  <c r="N55" i="28"/>
  <c r="M55" i="28"/>
  <c r="L55" i="28"/>
  <c r="K55" i="28"/>
  <c r="J55" i="28"/>
  <c r="I55" i="28"/>
  <c r="H55" i="28"/>
  <c r="N55" i="11" s="1"/>
  <c r="G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O40" i="28"/>
  <c r="N40" i="28"/>
  <c r="M40" i="28"/>
  <c r="L40" i="28"/>
  <c r="L29" i="28" s="1"/>
  <c r="K40" i="28"/>
  <c r="J40" i="28"/>
  <c r="I40" i="28"/>
  <c r="H40" i="28"/>
  <c r="N40" i="11" s="1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O29" i="28" s="1"/>
  <c r="N30" i="28"/>
  <c r="N29" i="28" s="1"/>
  <c r="M30" i="28"/>
  <c r="L30" i="28"/>
  <c r="K30" i="28"/>
  <c r="K29" i="28" s="1"/>
  <c r="J30" i="28"/>
  <c r="J29" i="28" s="1"/>
  <c r="I30" i="28"/>
  <c r="H30" i="28"/>
  <c r="N30" i="11" s="1"/>
  <c r="G30" i="28"/>
  <c r="R29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L19" i="28"/>
  <c r="K19" i="28"/>
  <c r="J19" i="28"/>
  <c r="I19" i="28"/>
  <c r="H19" i="28"/>
  <c r="N19" i="11" s="1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O11" i="28"/>
  <c r="N11" i="28"/>
  <c r="N10" i="28" s="1"/>
  <c r="M11" i="28"/>
  <c r="L11" i="28"/>
  <c r="K11" i="28"/>
  <c r="J11" i="28"/>
  <c r="J10" i="28" s="1"/>
  <c r="I11" i="28"/>
  <c r="H11" i="28"/>
  <c r="N11" i="11" s="1"/>
  <c r="G11" i="28"/>
  <c r="M10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T139" i="28" l="1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N10" i="11" s="1"/>
  <c r="D12" i="1" s="1"/>
  <c r="L10" i="28"/>
  <c r="P10" i="28"/>
  <c r="S19" i="28"/>
  <c r="G19" i="11" s="1"/>
  <c r="K10" i="28"/>
  <c r="K53" i="28" s="1"/>
  <c r="O10" i="28"/>
  <c r="O53" i="28" s="1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G10" i="28"/>
  <c r="T12" i="28"/>
  <c r="T16" i="28"/>
  <c r="T34" i="28"/>
  <c r="T38" i="28"/>
  <c r="T57" i="28"/>
  <c r="T62" i="28"/>
  <c r="G52" i="11"/>
  <c r="G37" i="11"/>
  <c r="G24" i="11"/>
  <c r="G14" i="11"/>
  <c r="G62" i="11"/>
  <c r="G65" i="11"/>
  <c r="G64" i="11"/>
  <c r="G58" i="11"/>
  <c r="G56" i="11"/>
  <c r="G59" i="11"/>
  <c r="G57" i="1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P53" i="28" s="1"/>
  <c r="I29" i="28"/>
  <c r="I53" i="28" s="1"/>
  <c r="M29" i="28"/>
  <c r="M53" i="28" s="1"/>
  <c r="Q29" i="28"/>
  <c r="L53" i="28"/>
  <c r="L60" i="28" s="1"/>
  <c r="L66" i="28" s="1"/>
  <c r="L61" i="28" s="1"/>
  <c r="S40" i="28"/>
  <c r="S11" i="28"/>
  <c r="N53" i="28"/>
  <c r="N54" i="28" s="1"/>
  <c r="J53" i="28"/>
  <c r="J54" i="28" s="1"/>
  <c r="R53" i="28"/>
  <c r="R54" i="28" s="1"/>
  <c r="O54" i="28"/>
  <c r="O60" i="28"/>
  <c r="O66" i="28" s="1"/>
  <c r="O61" i="28" s="1"/>
  <c r="K60" i="28"/>
  <c r="K66" i="28" s="1"/>
  <c r="K61" i="28" s="1"/>
  <c r="K54" i="28"/>
  <c r="S30" i="28"/>
  <c r="S87" i="28"/>
  <c r="T87" i="28" s="1"/>
  <c r="H53" i="28" l="1"/>
  <c r="N29" i="11"/>
  <c r="D16" i="1" s="1"/>
  <c r="T19" i="28"/>
  <c r="H60" i="28"/>
  <c r="N53" i="11"/>
  <c r="D20" i="1" s="1"/>
  <c r="H54" i="28"/>
  <c r="N54" i="11" s="1"/>
  <c r="S10" i="28"/>
  <c r="R60" i="28"/>
  <c r="R66" i="28" s="1"/>
  <c r="R61" i="28" s="1"/>
  <c r="Q53" i="28"/>
  <c r="G53" i="28"/>
  <c r="G54" i="28" s="1"/>
  <c r="T55" i="28"/>
  <c r="G55" i="11"/>
  <c r="T40" i="28"/>
  <c r="G40" i="11"/>
  <c r="T30" i="28"/>
  <c r="G30" i="11"/>
  <c r="T11" i="28"/>
  <c r="G11" i="11"/>
  <c r="M54" i="28"/>
  <c r="M60" i="28"/>
  <c r="M66" i="28" s="1"/>
  <c r="M61" i="28" s="1"/>
  <c r="I60" i="28"/>
  <c r="I66" i="28" s="1"/>
  <c r="I61" i="28" s="1"/>
  <c r="I54" i="28"/>
  <c r="P54" i="28"/>
  <c r="P60" i="28"/>
  <c r="P66" i="28" s="1"/>
  <c r="P61" i="28" s="1"/>
  <c r="Q60" i="28"/>
  <c r="Q66" i="28" s="1"/>
  <c r="Q61" i="28" s="1"/>
  <c r="Q54" i="28"/>
  <c r="N60" i="28"/>
  <c r="N66" i="28" s="1"/>
  <c r="N61" i="28" s="1"/>
  <c r="L54" i="28"/>
  <c r="S29" i="28"/>
  <c r="J60" i="28"/>
  <c r="J66" i="28" s="1"/>
  <c r="J61" i="28" s="1"/>
  <c r="H66" i="28" l="1"/>
  <c r="N60" i="11"/>
  <c r="G10" i="11"/>
  <c r="T10" i="28"/>
  <c r="S53" i="28"/>
  <c r="S60" i="28" s="1"/>
  <c r="G60" i="28"/>
  <c r="G66" i="28" s="1"/>
  <c r="G61" i="28" s="1"/>
  <c r="T29" i="28"/>
  <c r="G29" i="11"/>
  <c r="S129" i="28"/>
  <c r="S54" i="28"/>
  <c r="G19" i="26"/>
  <c r="H19" i="26"/>
  <c r="T129" i="28" l="1"/>
  <c r="H61" i="28"/>
  <c r="N61" i="11" s="1"/>
  <c r="N66" i="11"/>
  <c r="T53" i="28"/>
  <c r="G53" i="11"/>
  <c r="G60" i="11"/>
  <c r="T54" i="28"/>
  <c r="G54" i="11"/>
  <c r="S130" i="28"/>
  <c r="S136" i="28"/>
  <c r="S66" i="28"/>
  <c r="T60" i="28"/>
  <c r="G55" i="26"/>
  <c r="T136" i="28" l="1"/>
  <c r="T130" i="28"/>
  <c r="S61" i="28"/>
  <c r="T66" i="28"/>
  <c r="G66" i="11"/>
  <c r="S142" i="28"/>
  <c r="I19" i="26"/>
  <c r="T142" i="28" l="1"/>
  <c r="T61" i="28"/>
  <c r="G61" i="11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T137" i="28" l="1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N130" i="27"/>
  <c r="O53" i="27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136" i="27"/>
  <c r="T136" i="27" s="1"/>
  <c r="S60" i="27"/>
  <c r="T53" i="27"/>
  <c r="S59" i="11"/>
  <c r="P59" i="11"/>
  <c r="O66" i="27" l="1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10" i="26" s="1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G10" i="26" l="1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T30" i="11"/>
  <c r="S30" i="11"/>
  <c r="P30" i="11"/>
  <c r="T37" i="26" l="1"/>
  <c r="T50" i="26"/>
  <c r="T29" i="11"/>
  <c r="S29" i="11"/>
  <c r="E16" i="1" s="1"/>
  <c r="P29" i="11"/>
  <c r="Q29" i="11"/>
  <c r="T44" i="26"/>
  <c r="T41" i="26"/>
  <c r="T34" i="26"/>
  <c r="H30" i="26"/>
  <c r="S32" i="26"/>
  <c r="T36" i="26"/>
  <c r="S46" i="26"/>
  <c r="I60" i="26"/>
  <c r="I54" i="26"/>
  <c r="H40" i="26"/>
  <c r="S40" i="26" s="1"/>
  <c r="T38" i="26"/>
  <c r="T45" i="26"/>
  <c r="T39" i="26"/>
  <c r="T47" i="26"/>
  <c r="T33" i="26"/>
  <c r="T49" i="26"/>
  <c r="T35" i="26"/>
  <c r="T42" i="26"/>
  <c r="I49" i="11" l="1"/>
  <c r="J49" i="11"/>
  <c r="M49" i="11"/>
  <c r="L49" i="11"/>
  <c r="T54" i="11"/>
  <c r="S54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T53" i="11"/>
  <c r="S53" i="11"/>
  <c r="E20" i="1" s="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T60" i="11"/>
  <c r="S60" i="11"/>
  <c r="Q60" i="11"/>
  <c r="H53" i="26"/>
  <c r="S29" i="26"/>
  <c r="J30" i="11" l="1"/>
  <c r="I30" i="11"/>
  <c r="L30" i="11"/>
  <c r="M30" i="11"/>
  <c r="T29" i="26"/>
  <c r="T66" i="11"/>
  <c r="S66" i="11"/>
  <c r="Q66" i="11"/>
  <c r="P66" i="11"/>
  <c r="H54" i="26"/>
  <c r="S54" i="26" s="1"/>
  <c r="H60" i="26"/>
  <c r="H66" i="26" s="1"/>
  <c r="H61" i="26" s="1"/>
  <c r="S61" i="26" s="1"/>
  <c r="S53" i="26"/>
  <c r="P61" i="11"/>
  <c r="T61" i="11"/>
  <c r="S61" i="11"/>
  <c r="Q61" i="11"/>
  <c r="T61" i="26" l="1"/>
  <c r="T54" i="26"/>
  <c r="S60" i="26"/>
  <c r="T53" i="26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T60" i="26"/>
  <c r="L60" i="11" l="1"/>
  <c r="M60" i="11"/>
  <c r="J60" i="11"/>
  <c r="I60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<sst xmlns="http://schemas.openxmlformats.org/spreadsheetml/2006/main" count="1911" uniqueCount="881">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</sst>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/>
    <cellStyle name="1 indent 2" xfId="111"/>
    <cellStyle name="1 indent 3" xfId="187"/>
    <cellStyle name="2 indents" xfId="43"/>
    <cellStyle name="2 indents 2" xfId="112"/>
    <cellStyle name="2 indents 3" xfId="188"/>
    <cellStyle name="20% - Accent1" xfId="19" builtinId="30" customBuiltin="1"/>
    <cellStyle name="20% - Accent1 2" xfId="99"/>
    <cellStyle name="20% - Accent1 2 2" xfId="170"/>
    <cellStyle name="20% - Accent1 2 3" xfId="189"/>
    <cellStyle name="20% - Accent1 3" xfId="136"/>
    <cellStyle name="20% - Accent2" xfId="23" builtinId="34" customBuiltin="1"/>
    <cellStyle name="20% - Accent2 2" xfId="101"/>
    <cellStyle name="20% - Accent2 2 2" xfId="172"/>
    <cellStyle name="20% - Accent2 2 3" xfId="190"/>
    <cellStyle name="20% - Accent2 3" xfId="138"/>
    <cellStyle name="20% - Accent3" xfId="27" builtinId="38" customBuiltin="1"/>
    <cellStyle name="20% - Accent3 2" xfId="103"/>
    <cellStyle name="20% - Accent3 2 2" xfId="174"/>
    <cellStyle name="20% - Accent3 2 3" xfId="191"/>
    <cellStyle name="20% - Accent3 3" xfId="140"/>
    <cellStyle name="20% - Accent4" xfId="31" builtinId="42" customBuiltin="1"/>
    <cellStyle name="20% - Accent4 2" xfId="105"/>
    <cellStyle name="20% - Accent4 2 2" xfId="176"/>
    <cellStyle name="20% - Accent4 2 3" xfId="192"/>
    <cellStyle name="20% - Accent4 3" xfId="142"/>
    <cellStyle name="20% - Accent5" xfId="35" builtinId="46" customBuiltin="1"/>
    <cellStyle name="20% - Accent5 2" xfId="107"/>
    <cellStyle name="20% - Accent5 2 2" xfId="178"/>
    <cellStyle name="20% - Accent5 2 3" xfId="193"/>
    <cellStyle name="20% - Accent5 3" xfId="144"/>
    <cellStyle name="20% - Accent6" xfId="39" builtinId="50" customBuiltin="1"/>
    <cellStyle name="20% - Accent6 2" xfId="109"/>
    <cellStyle name="20% - Accent6 2 2" xfId="180"/>
    <cellStyle name="20% - Accent6 2 3" xfId="194"/>
    <cellStyle name="20% - Accent6 3" xfId="146"/>
    <cellStyle name="3 indents" xfId="44"/>
    <cellStyle name="3 indents 2" xfId="113"/>
    <cellStyle name="3 indents 3" xfId="195"/>
    <cellStyle name="4 indents" xfId="45"/>
    <cellStyle name="4 indents 2" xfId="122"/>
    <cellStyle name="4 indents 3" xfId="196"/>
    <cellStyle name="40% - Accent1" xfId="20" builtinId="31" customBuiltin="1"/>
    <cellStyle name="40% - Accent1 2" xfId="100"/>
    <cellStyle name="40% - Accent1 2 2" xfId="171"/>
    <cellStyle name="40% - Accent1 2 3" xfId="197"/>
    <cellStyle name="40% - Accent1 3" xfId="137"/>
    <cellStyle name="40% - Accent2" xfId="24" builtinId="35" customBuiltin="1"/>
    <cellStyle name="40% - Accent2 2" xfId="102"/>
    <cellStyle name="40% - Accent2 2 2" xfId="173"/>
    <cellStyle name="40% - Accent2 2 3" xfId="198"/>
    <cellStyle name="40% - Accent2 3" xfId="139"/>
    <cellStyle name="40% - Accent3" xfId="28" builtinId="39" customBuiltin="1"/>
    <cellStyle name="40% - Accent3 2" xfId="104"/>
    <cellStyle name="40% - Accent3 2 2" xfId="175"/>
    <cellStyle name="40% - Accent3 2 3" xfId="199"/>
    <cellStyle name="40% - Accent3 3" xfId="141"/>
    <cellStyle name="40% - Accent4" xfId="32" builtinId="43" customBuiltin="1"/>
    <cellStyle name="40% - Accent4 2" xfId="106"/>
    <cellStyle name="40% - Accent4 2 2" xfId="177"/>
    <cellStyle name="40% - Accent4 2 3" xfId="200"/>
    <cellStyle name="40% - Accent4 3" xfId="143"/>
    <cellStyle name="40% - Accent5" xfId="36" builtinId="47" customBuiltin="1"/>
    <cellStyle name="40% - Accent5 2" xfId="108"/>
    <cellStyle name="40% - Accent5 2 2" xfId="179"/>
    <cellStyle name="40% - Accent5 2 3" xfId="201"/>
    <cellStyle name="40% - Accent5 3" xfId="145"/>
    <cellStyle name="40% - Accent6" xfId="40" builtinId="51" customBuiltin="1"/>
    <cellStyle name="40% - Accent6 2" xfId="110"/>
    <cellStyle name="40% - Accent6 2 2" xfId="181"/>
    <cellStyle name="40% - Accent6 2 3" xfId="202"/>
    <cellStyle name="40% - Accent6 3" xfId="147"/>
    <cellStyle name="60% - Accent1" xfId="21" builtinId="32" customBuiltin="1"/>
    <cellStyle name="60% - Accent1 2" xfId="203"/>
    <cellStyle name="60% - Accent2" xfId="25" builtinId="36" customBuiltin="1"/>
    <cellStyle name="60% - Accent2 2" xfId="204"/>
    <cellStyle name="60% - Accent3" xfId="29" builtinId="40" customBuiltin="1"/>
    <cellStyle name="60% - Accent3 2" xfId="205"/>
    <cellStyle name="60% - Accent4" xfId="33" builtinId="44" customBuiltin="1"/>
    <cellStyle name="60% - Accent4 2" xfId="206"/>
    <cellStyle name="60% - Accent5" xfId="37" builtinId="48" customBuiltin="1"/>
    <cellStyle name="60% - Accent5 2" xfId="207"/>
    <cellStyle name="60% - Accent6" xfId="41" builtinId="52" customBuiltin="1"/>
    <cellStyle name="60% - Accent6 2" xfId="208"/>
    <cellStyle name="Accent1" xfId="18" builtinId="29" customBuiltin="1"/>
    <cellStyle name="Accent1 2" xfId="209"/>
    <cellStyle name="Accent2" xfId="22" builtinId="33" customBuiltin="1"/>
    <cellStyle name="Accent2 2" xfId="210"/>
    <cellStyle name="Accent3" xfId="26" builtinId="37" customBuiltin="1"/>
    <cellStyle name="Accent3 2" xfId="211"/>
    <cellStyle name="Accent4" xfId="30" builtinId="41" customBuiltin="1"/>
    <cellStyle name="Accent4 2" xfId="212"/>
    <cellStyle name="Accent5" xfId="34" builtinId="45" customBuiltin="1"/>
    <cellStyle name="Accent5 2" xfId="213"/>
    <cellStyle name="Accent6" xfId="38" builtinId="49" customBuiltin="1"/>
    <cellStyle name="Accent6 2" xfId="214"/>
    <cellStyle name="Bad" xfId="8" builtinId="27" customBuiltin="1"/>
    <cellStyle name="Bad 2" xfId="78"/>
    <cellStyle name="Bad 2 2" xfId="215"/>
    <cellStyle name="Calculation" xfId="12" builtinId="22" customBuiltin="1"/>
    <cellStyle name="Calculation 2" xfId="216"/>
    <cellStyle name="Check Cell" xfId="14" builtinId="23" customBuiltin="1"/>
    <cellStyle name="Check Cell 2" xfId="217"/>
    <cellStyle name="Comma" xfId="130" builtinId="3"/>
    <cellStyle name="Comma 2" xfId="185"/>
    <cellStyle name="Comma 2 2" xfId="298"/>
    <cellStyle name="Comma 2 3" xfId="219"/>
    <cellStyle name="Comma 3" xfId="297"/>
    <cellStyle name="Comma 4" xfId="218"/>
    <cellStyle name="Currency" xfId="131" builtinId="4"/>
    <cellStyle name="Date" xfId="46"/>
    <cellStyle name="Excel Built-in Normal" xfId="220"/>
    <cellStyle name="Excel Built-in Normal 2" xfId="221"/>
    <cellStyle name="Excel Built-in Normal 2 2" xfId="222"/>
    <cellStyle name="Excel Built-in Normal 2 3" xfId="223"/>
    <cellStyle name="Explanatory Text" xfId="16" builtinId="53" customBuiltin="1"/>
    <cellStyle name="Explanatory Text 2" xfId="224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Good 2" xfId="225"/>
    <cellStyle name="Heading 1" xfId="3" builtinId="16" customBuiltin="1"/>
    <cellStyle name="Heading 1 2" xfId="226"/>
    <cellStyle name="Heading 2" xfId="4" builtinId="17" customBuiltin="1"/>
    <cellStyle name="Heading 2 2" xfId="227"/>
    <cellStyle name="Heading 3" xfId="5" builtinId="18" customBuiltin="1"/>
    <cellStyle name="Heading 3 2" xfId="228"/>
    <cellStyle name="Heading 4" xfId="6" builtinId="19" customBuiltin="1"/>
    <cellStyle name="Heading 4 2" xfId="229"/>
    <cellStyle name="HEADING1" xfId="55"/>
    <cellStyle name="HEADING2" xfId="56"/>
    <cellStyle name="imf-one decimal" xfId="57"/>
    <cellStyle name="imf-one decimal 2" xfId="114"/>
    <cellStyle name="imf-one decimal 3" xfId="230"/>
    <cellStyle name="imf-zero decimal" xfId="58"/>
    <cellStyle name="imf-zero decimal 2" xfId="115"/>
    <cellStyle name="imf-zero decimal 3" xfId="231"/>
    <cellStyle name="Input" xfId="10" builtinId="20" customBuiltin="1"/>
    <cellStyle name="Input 2" xfId="232"/>
    <cellStyle name="Label" xfId="59"/>
    <cellStyle name="Label 2" xfId="233"/>
    <cellStyle name="Linked Cell" xfId="13" builtinId="24" customBuiltin="1"/>
    <cellStyle name="Linked Cell 2" xfId="234"/>
    <cellStyle name="Neutral" xfId="9" builtinId="28" customBuiltin="1"/>
    <cellStyle name="Neutral 2" xfId="235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0 2 2" xfId="322"/>
    <cellStyle name="Normal 10 2 2 2" xfId="346"/>
    <cellStyle name="Normal 10 2 2 3" xfId="370"/>
    <cellStyle name="Normal 10 2 3" xfId="334"/>
    <cellStyle name="Normal 10 2 4" xfId="358"/>
    <cellStyle name="Normal 10 2 5" xfId="310"/>
    <cellStyle name="Normal 10 3" xfId="316"/>
    <cellStyle name="Normal 10 3 2" xfId="340"/>
    <cellStyle name="Normal 10 3 3" xfId="364"/>
    <cellStyle name="Normal 10 4" xfId="328"/>
    <cellStyle name="Normal 10 5" xfId="352"/>
    <cellStyle name="Normal 10 6" xfId="293"/>
    <cellStyle name="Normal 11" xfId="75"/>
    <cellStyle name="Normal 11 2" xfId="155"/>
    <cellStyle name="Normal 11 2 2" xfId="323"/>
    <cellStyle name="Normal 11 2 2 2" xfId="347"/>
    <cellStyle name="Normal 11 2 2 3" xfId="371"/>
    <cellStyle name="Normal 11 2 3" xfId="335"/>
    <cellStyle name="Normal 11 2 4" xfId="359"/>
    <cellStyle name="Normal 11 2 5" xfId="311"/>
    <cellStyle name="Normal 11 3" xfId="317"/>
    <cellStyle name="Normal 11 3 2" xfId="341"/>
    <cellStyle name="Normal 11 3 3" xfId="365"/>
    <cellStyle name="Normal 11 4" xfId="329"/>
    <cellStyle name="Normal 11 5" xfId="353"/>
    <cellStyle name="Normal 11 6" xfId="294"/>
    <cellStyle name="Normal 12" xfId="76"/>
    <cellStyle name="Normal 12 2" xfId="156"/>
    <cellStyle name="Normal 12 2 2" xfId="324"/>
    <cellStyle name="Normal 12 2 2 2" xfId="348"/>
    <cellStyle name="Normal 12 2 2 3" xfId="372"/>
    <cellStyle name="Normal 12 2 3" xfId="336"/>
    <cellStyle name="Normal 12 2 4" xfId="360"/>
    <cellStyle name="Normal 12 2 5" xfId="312"/>
    <cellStyle name="Normal 12 3" xfId="318"/>
    <cellStyle name="Normal 12 3 2" xfId="342"/>
    <cellStyle name="Normal 12 3 3" xfId="366"/>
    <cellStyle name="Normal 12 4" xfId="330"/>
    <cellStyle name="Normal 12 5" xfId="354"/>
    <cellStyle name="Normal 12 6" xfId="295"/>
    <cellStyle name="Normal 13" xfId="77"/>
    <cellStyle name="Normal 14" xfId="86"/>
    <cellStyle name="Normal 14 2" xfId="157"/>
    <cellStyle name="Normal 14 2 2" xfId="325"/>
    <cellStyle name="Normal 14 2 2 2" xfId="349"/>
    <cellStyle name="Normal 14 2 2 3" xfId="373"/>
    <cellStyle name="Normal 14 2 3" xfId="337"/>
    <cellStyle name="Normal 14 2 4" xfId="361"/>
    <cellStyle name="Normal 14 2 5" xfId="313"/>
    <cellStyle name="Normal 14 3" xfId="319"/>
    <cellStyle name="Normal 14 3 2" xfId="343"/>
    <cellStyle name="Normal 14 3 3" xfId="367"/>
    <cellStyle name="Normal 14 4" xfId="331"/>
    <cellStyle name="Normal 14 5" xfId="355"/>
    <cellStyle name="Normal 14 6" xfId="296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6 3 2" xfId="300"/>
    <cellStyle name="Normal 16 4" xfId="299"/>
    <cellStyle name="Normal 17" xfId="94"/>
    <cellStyle name="Normal 17 2" xfId="117"/>
    <cellStyle name="Normal 17 2 2" xfId="183"/>
    <cellStyle name="Normal 17 3" xfId="165"/>
    <cellStyle name="Normal 17 3 2" xfId="302"/>
    <cellStyle name="Normal 17 4" xfId="301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19 3 2" xfId="304"/>
    <cellStyle name="Normal 19 4" xfId="303"/>
    <cellStyle name="Normal 2" xfId="63"/>
    <cellStyle name="Normal 2 10" xfId="237"/>
    <cellStyle name="Normal 2 10 2" xfId="306"/>
    <cellStyle name="Normal 2 11" xfId="305"/>
    <cellStyle name="Normal 2 12" xfId="236"/>
    <cellStyle name="Normal 2 2" xfId="2"/>
    <cellStyle name="Normal 2 2 2" xfId="239"/>
    <cellStyle name="Normal 2 2 3" xfId="240"/>
    <cellStyle name="Normal 2 2 4" xfId="238"/>
    <cellStyle name="Normal 2 3" xfId="133"/>
    <cellStyle name="Normal 2 3 2" xfId="242"/>
    <cellStyle name="Normal 2 3 3" xfId="243"/>
    <cellStyle name="Normal 2 3 4" xfId="241"/>
    <cellStyle name="Normal 2 4" xfId="244"/>
    <cellStyle name="Normal 2 4 2" xfId="245"/>
    <cellStyle name="Normal 2 4 3" xfId="246"/>
    <cellStyle name="Normal 2 5" xfId="247"/>
    <cellStyle name="Normal 2 5 2" xfId="248"/>
    <cellStyle name="Normal 2 5 3" xfId="249"/>
    <cellStyle name="Normal 2 6" xfId="250"/>
    <cellStyle name="Normal 2 6 2" xfId="251"/>
    <cellStyle name="Normal 2 6 3" xfId="252"/>
    <cellStyle name="Normal 2 7" xfId="253"/>
    <cellStyle name="Normal 2 7 2" xfId="254"/>
    <cellStyle name="Normal 2 7 3" xfId="255"/>
    <cellStyle name="Normal 2 8" xfId="256"/>
    <cellStyle name="Normal 2 8 2" xfId="257"/>
    <cellStyle name="Normal 2 8 3" xfId="258"/>
    <cellStyle name="Normal 2 9" xfId="259"/>
    <cellStyle name="Normal 2 9 2" xfId="307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 2" xfId="260"/>
    <cellStyle name="Normal 3 2 2" xfId="261"/>
    <cellStyle name="Normal 3 2 3" xfId="262"/>
    <cellStyle name="Normal 3 3" xfId="263"/>
    <cellStyle name="Normal 3 3 2" xfId="264"/>
    <cellStyle name="Normal 3 3 3" xfId="265"/>
    <cellStyle name="Normal 3 4" xfId="266"/>
    <cellStyle name="Normal 3 4 2" xfId="267"/>
    <cellStyle name="Normal 3 4 3" xfId="268"/>
    <cellStyle name="Normal 3 5" xfId="269"/>
    <cellStyle name="Normal 3 5 2" xfId="270"/>
    <cellStyle name="Normal 3 5 3" xfId="271"/>
    <cellStyle name="Normal 3 6" xfId="272"/>
    <cellStyle name="Normal 3 6 2" xfId="273"/>
    <cellStyle name="Normal 3 6 3" xfId="274"/>
    <cellStyle name="Normal 3 7" xfId="275"/>
    <cellStyle name="Normal 3 7 2" xfId="276"/>
    <cellStyle name="Normal 3 7 3" xfId="277"/>
    <cellStyle name="Normal 3 8" xfId="278"/>
    <cellStyle name="Normal 3 8 2" xfId="279"/>
    <cellStyle name="Normal 3 8 3" xfId="280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2 2" xfId="282"/>
    <cellStyle name="Normal 4 3" xfId="148"/>
    <cellStyle name="Normal 4 3 2" xfId="283"/>
    <cellStyle name="Normal 4 4" xfId="281"/>
    <cellStyle name="Normal 40" xfId="186"/>
    <cellStyle name="Normal 5" xfId="69"/>
    <cellStyle name="Normal 5 2" xfId="123"/>
    <cellStyle name="Normal 5 3" xfId="149"/>
    <cellStyle name="Normal 5 4" xfId="284"/>
    <cellStyle name="Normal 6" xfId="70"/>
    <cellStyle name="Normal 6 2" xfId="150"/>
    <cellStyle name="Normal 7" xfId="71"/>
    <cellStyle name="Normal 7 2" xfId="151"/>
    <cellStyle name="Normal 7 2 2" xfId="320"/>
    <cellStyle name="Normal 7 2 2 2" xfId="344"/>
    <cellStyle name="Normal 7 2 2 3" xfId="368"/>
    <cellStyle name="Normal 7 2 3" xfId="332"/>
    <cellStyle name="Normal 7 2 4" xfId="356"/>
    <cellStyle name="Normal 7 2 5" xfId="308"/>
    <cellStyle name="Normal 7 3" xfId="314"/>
    <cellStyle name="Normal 7 3 2" xfId="338"/>
    <cellStyle name="Normal 7 3 3" xfId="362"/>
    <cellStyle name="Normal 7 4" xfId="326"/>
    <cellStyle name="Normal 7 5" xfId="350"/>
    <cellStyle name="Normal 7 6" xfId="291"/>
    <cellStyle name="Normal 8" xfId="72"/>
    <cellStyle name="Normal 8 2" xfId="152"/>
    <cellStyle name="Normal 9" xfId="73"/>
    <cellStyle name="Normal 9 2" xfId="153"/>
    <cellStyle name="Normal 9 2 2" xfId="321"/>
    <cellStyle name="Normal 9 2 2 2" xfId="345"/>
    <cellStyle name="Normal 9 2 2 3" xfId="369"/>
    <cellStyle name="Normal 9 2 3" xfId="333"/>
    <cellStyle name="Normal 9 2 4" xfId="357"/>
    <cellStyle name="Normal 9 2 5" xfId="309"/>
    <cellStyle name="Normal 9 3" xfId="315"/>
    <cellStyle name="Normal 9 3 2" xfId="339"/>
    <cellStyle name="Normal 9 3 3" xfId="363"/>
    <cellStyle name="Normal 9 4" xfId="327"/>
    <cellStyle name="Normal 9 5" xfId="351"/>
    <cellStyle name="Normal 9 6" xfId="292"/>
    <cellStyle name="Note 2" xfId="87"/>
    <cellStyle name="Note 2 2" xfId="158"/>
    <cellStyle name="Note 2 3" xfId="285"/>
    <cellStyle name="Note 3" xfId="98"/>
    <cellStyle name="Note 3 2" xfId="169"/>
    <cellStyle name="Obično_KnjigaZIKS i Min pomorstva i saobracaja" xfId="64"/>
    <cellStyle name="Output" xfId="11" builtinId="21" customBuiltin="1"/>
    <cellStyle name="Output 2" xfId="286"/>
    <cellStyle name="Percent" xfId="1" builtinId="5"/>
    <cellStyle name="percentage difference" xfId="65"/>
    <cellStyle name="percentage difference 2" xfId="120"/>
    <cellStyle name="percentage difference 3" xfId="287"/>
    <cellStyle name="Publication" xfId="66"/>
    <cellStyle name="Standard_Tabellenteil in EURO" xfId="121"/>
    <cellStyle name="Title 2" xfId="79"/>
    <cellStyle name="Title 2 2" xfId="288"/>
    <cellStyle name="Total" xfId="17" builtinId="25" customBuiltin="1"/>
    <cellStyle name="Total 2" xfId="289"/>
    <cellStyle name="Warning Text" xfId="15" builtinId="11" customBuiltin="1"/>
    <cellStyle name="Warning Text 2" xfId="290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-februar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335.0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7.6 mil. € ili 2.2%.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3.8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367.2</a:t>
          </a:r>
          <a:r>
            <a:rPr lang="sr-Latn-M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4.6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79.0 mil. € ili 17.7%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14.9 mil. € ili 4.2%.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-februar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32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0.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28933" y="1323976"/>
          <a:ext cx="494665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2025. godinu. 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2025-02</v>
      </c>
      <c r="O6" s="128" t="str">
        <f>+CONCATENATE(N6,"p")</f>
        <v>2025-02p</v>
      </c>
      <c r="P6" s="116"/>
      <c r="Q6" s="116"/>
      <c r="R6" s="128" t="str">
        <f>+IF(Master!B3-10&gt;=0,CONCATENATE(Master!B4-1,"-",Master!B3),CONCATENATE(Master!B4-1,"-0",Master!B3))</f>
        <v>2024-02</v>
      </c>
      <c r="S6" s="116"/>
      <c r="T6" s="116"/>
    </row>
    <row r="7" spans="1:20">
      <c r="A7" s="129"/>
      <c r="B7" s="564" t="s">
        <v>691</v>
      </c>
      <c r="C7" s="565"/>
      <c r="D7" s="565"/>
      <c r="E7" s="565"/>
      <c r="F7" s="565"/>
      <c r="G7" s="573" t="s">
        <v>690</v>
      </c>
      <c r="H7" s="574"/>
      <c r="I7" s="574"/>
      <c r="J7" s="574"/>
      <c r="K7" s="574"/>
      <c r="L7" s="574"/>
      <c r="M7" s="575"/>
      <c r="N7" s="576" t="str">
        <f>+Master!G243</f>
        <v>Decembar</v>
      </c>
      <c r="O7" s="574"/>
      <c r="P7" s="574"/>
      <c r="Q7" s="574"/>
      <c r="R7" s="574"/>
      <c r="S7" s="574"/>
      <c r="T7" s="577"/>
    </row>
    <row r="8" spans="1:20">
      <c r="A8" s="129"/>
      <c r="B8" s="566"/>
      <c r="C8" s="567"/>
      <c r="D8" s="567"/>
      <c r="E8" s="567"/>
      <c r="F8" s="568"/>
      <c r="G8" s="130" t="str">
        <f>+Master!G26</f>
        <v>Ostvarenje</v>
      </c>
      <c r="H8" s="130" t="str">
        <f>+Master!G25</f>
        <v>Plan</v>
      </c>
      <c r="I8" s="560" t="str">
        <f>+Master!G261</f>
        <v>Odstupanje</v>
      </c>
      <c r="J8" s="560"/>
      <c r="K8" s="130" t="str">
        <f>+CONCATENATE(Master!G246," ",Master!B4-1)</f>
        <v>Jan - Feb 2024</v>
      </c>
      <c r="L8" s="560" t="str">
        <f>+I8</f>
        <v>Odstupanje</v>
      </c>
      <c r="M8" s="572"/>
      <c r="N8" s="131" t="str">
        <f>+G8</f>
        <v>Ostvarenje</v>
      </c>
      <c r="O8" s="130" t="str">
        <f>+H8</f>
        <v>Plan</v>
      </c>
      <c r="P8" s="560" t="str">
        <f>+I8</f>
        <v>Odstupanje</v>
      </c>
      <c r="Q8" s="560"/>
      <c r="R8" s="130" t="str">
        <f>+CONCATENATE(Master!G245," ",Master!B4-1)</f>
        <v>Februar 2024</v>
      </c>
      <c r="S8" s="560" t="str">
        <f>+P8</f>
        <v>Odstupanje</v>
      </c>
      <c r="T8" s="561"/>
    </row>
    <row r="9" spans="1:20" ht="15.7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4" t="e">
        <f>+VLOOKUP($A18,Master!$D$30:$G$226,4,FALSE)</f>
        <v>#N/A</v>
      </c>
      <c r="C18" s="595"/>
      <c r="D18" s="595"/>
      <c r="E18" s="595"/>
      <c r="F18" s="595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4" t="str">
        <f>+VLOOKUP($A19,Master!$D$30:$G$226,4,FALSE)</f>
        <v>Ostali državni porezi</v>
      </c>
      <c r="C19" s="595"/>
      <c r="D19" s="595"/>
      <c r="E19" s="595"/>
      <c r="F19" s="595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4" t="str">
        <f>+VLOOKUP($A20,Master!$D$30:$G$226,4,FALSE)</f>
        <v>Doprinosi</v>
      </c>
      <c r="C20" s="605"/>
      <c r="D20" s="605"/>
      <c r="E20" s="605"/>
      <c r="F20" s="605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4" t="str">
        <f>+VLOOKUP($A21,Master!$D$30:$G$226,4,FALSE)</f>
        <v>Doprinosi za penzijsko i invalidsko osiguranje</v>
      </c>
      <c r="C21" s="595"/>
      <c r="D21" s="595"/>
      <c r="E21" s="595"/>
      <c r="F21" s="595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4" t="str">
        <f>+VLOOKUP($A22,Master!$D$30:$G$226,4,FALSE)</f>
        <v>Doprinosi za zdravstveno osiguranje</v>
      </c>
      <c r="C22" s="595"/>
      <c r="D22" s="595"/>
      <c r="E22" s="595"/>
      <c r="F22" s="595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4" t="str">
        <f>+VLOOKUP($A23,Master!$D$30:$G$226,4,FALSE)</f>
        <v>Doprinosi za osiguranje od nezaposlenosti</v>
      </c>
      <c r="C23" s="595"/>
      <c r="D23" s="595"/>
      <c r="E23" s="595"/>
      <c r="F23" s="595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4" t="str">
        <f>+VLOOKUP($A24,Master!$D$30:$G$226,4,FALSE)</f>
        <v>Ostali doprinosi</v>
      </c>
      <c r="C24" s="595"/>
      <c r="D24" s="595"/>
      <c r="E24" s="595"/>
      <c r="F24" s="595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6" t="str">
        <f>+VLOOKUP($A25,Master!$D$30:$G$226,4,FALSE)</f>
        <v>Takse</v>
      </c>
      <c r="C25" s="597"/>
      <c r="D25" s="597"/>
      <c r="E25" s="597"/>
      <c r="F25" s="597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6" t="str">
        <f>+VLOOKUP($A26,Master!$D$30:$G$226,4,FALSE)</f>
        <v>Naknade</v>
      </c>
      <c r="C26" s="597"/>
      <c r="D26" s="597"/>
      <c r="E26" s="597"/>
      <c r="F26" s="597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6" t="str">
        <f>+VLOOKUP($A27,Master!$D$30:$G$226,4,FALSE)</f>
        <v>Ostali prihodi</v>
      </c>
      <c r="C27" s="597"/>
      <c r="D27" s="597"/>
      <c r="E27" s="597"/>
      <c r="F27" s="597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6" t="str">
        <f>+VLOOKUP($A28,Master!$D$30:$G$226,4,FALSE)</f>
        <v>Primici od otplate kredita i sredstva prenesena iz prethodne godine</v>
      </c>
      <c r="C28" s="597"/>
      <c r="D28" s="597"/>
      <c r="E28" s="597"/>
      <c r="F28" s="597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98" t="str">
        <f>+VLOOKUP($A29,Master!$D$30:$G$226,4,FALSE)</f>
        <v>Donacije i transferi</v>
      </c>
      <c r="C29" s="599"/>
      <c r="D29" s="599"/>
      <c r="E29" s="599"/>
      <c r="F29" s="599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4" t="str">
        <f>+VLOOKUP($A30,Master!$D$30:$G$226,4,FALSE)</f>
        <v>Izdaci budžeta</v>
      </c>
      <c r="C30" s="585"/>
      <c r="D30" s="585"/>
      <c r="E30" s="585"/>
      <c r="F30" s="585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0" t="str">
        <f>+VLOOKUP($A31,Master!$D$30:$G$226,4,FALSE)</f>
        <v>Tekući izdaci</v>
      </c>
      <c r="C31" s="601"/>
      <c r="D31" s="601"/>
      <c r="E31" s="601"/>
      <c r="F31" s="601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2" t="str">
        <f>+VLOOKUP($A32,Master!$D$30:$G$226,4,FALSE)</f>
        <v>Tekuća budžetska potrošnja</v>
      </c>
      <c r="C32" s="603"/>
      <c r="D32" s="603"/>
      <c r="E32" s="603"/>
      <c r="F32" s="603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4" t="str">
        <f>+VLOOKUP($A33,Master!$D$30:$G$226,4,FALSE)</f>
        <v>Bruto zarade i doprinosi na teret poslodavca</v>
      </c>
      <c r="C33" s="595"/>
      <c r="D33" s="595"/>
      <c r="E33" s="595"/>
      <c r="F33" s="595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4" t="str">
        <f>+VLOOKUP($A34,Master!$D$30:$G$226,4,FALSE)</f>
        <v>Ostala lična primanja</v>
      </c>
      <c r="C34" s="595"/>
      <c r="D34" s="595"/>
      <c r="E34" s="595"/>
      <c r="F34" s="595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4" t="str">
        <f>+VLOOKUP($A35,Master!$D$30:$G$226,4,FALSE)</f>
        <v>Rashodi za materijal</v>
      </c>
      <c r="C35" s="595"/>
      <c r="D35" s="595"/>
      <c r="E35" s="595"/>
      <c r="F35" s="595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4" t="str">
        <f>+VLOOKUP($A36,Master!$D$30:$G$226,4,FALSE)</f>
        <v>Rashodi za usluge</v>
      </c>
      <c r="C36" s="595"/>
      <c r="D36" s="595"/>
      <c r="E36" s="595"/>
      <c r="F36" s="595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4" t="str">
        <f>+VLOOKUP($A37,Master!$D$30:$G$226,4,FALSE)</f>
        <v>Rashodi za tekuće održavanje</v>
      </c>
      <c r="C37" s="595"/>
      <c r="D37" s="595"/>
      <c r="E37" s="595"/>
      <c r="F37" s="595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4" t="str">
        <f>+VLOOKUP($A38,Master!$D$30:$G$226,4,FALSE)</f>
        <v>Kamate</v>
      </c>
      <c r="C38" s="595"/>
      <c r="D38" s="595"/>
      <c r="E38" s="595"/>
      <c r="F38" s="595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4" t="str">
        <f>+VLOOKUP($A39,Master!$D$30:$G$226,4,FALSE)</f>
        <v>Renta</v>
      </c>
      <c r="C39" s="595"/>
      <c r="D39" s="595"/>
      <c r="E39" s="595"/>
      <c r="F39" s="595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4" t="str">
        <f>+VLOOKUP($A40,Master!$D$30:$G$226,4,FALSE)</f>
        <v>Subvencije</v>
      </c>
      <c r="C40" s="595"/>
      <c r="D40" s="595"/>
      <c r="E40" s="595"/>
      <c r="F40" s="595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4" t="str">
        <f>+VLOOKUP($A41,Master!$D$30:$G$226,4,FALSE)</f>
        <v>Ostali izdaci</v>
      </c>
      <c r="C41" s="595"/>
      <c r="D41" s="595"/>
      <c r="E41" s="595"/>
      <c r="F41" s="595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4" t="e">
        <f>+VLOOKUP($A42,Master!$D$30:$G$226,4,FALSE)</f>
        <v>#N/A</v>
      </c>
      <c r="C42" s="595"/>
      <c r="D42" s="595"/>
      <c r="E42" s="595"/>
      <c r="F42" s="595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0" t="str">
        <f>+VLOOKUP($A43,Master!$D$30:$G$226,4,FALSE)</f>
        <v>Transferi za socijalnu zaštitu</v>
      </c>
      <c r="C43" s="591"/>
      <c r="D43" s="591"/>
      <c r="E43" s="591"/>
      <c r="F43" s="591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4" t="str">
        <f>+VLOOKUP($A44,Master!$D$30:$G$226,4,FALSE)</f>
        <v>Prava iz oblasti socijalne zaštite</v>
      </c>
      <c r="C44" s="595"/>
      <c r="D44" s="595"/>
      <c r="E44" s="595"/>
      <c r="F44" s="595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4" t="str">
        <f>+VLOOKUP($A45,Master!$D$30:$G$226,4,FALSE)</f>
        <v>Sredstva za tehnološke viškove</v>
      </c>
      <c r="C45" s="595"/>
      <c r="D45" s="595"/>
      <c r="E45" s="595"/>
      <c r="F45" s="595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4" t="str">
        <f>+VLOOKUP($A46,Master!$D$30:$G$226,4,FALSE)</f>
        <v>Prava iz oblasti penzijskog i invalidskog osiguranja</v>
      </c>
      <c r="C46" s="595"/>
      <c r="D46" s="595"/>
      <c r="E46" s="595"/>
      <c r="F46" s="595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4" t="str">
        <f>+VLOOKUP($A47,Master!$D$30:$G$226,4,FALSE)</f>
        <v>Ostala prava iz oblasti zdravstvene zaštite</v>
      </c>
      <c r="C47" s="595"/>
      <c r="D47" s="595"/>
      <c r="E47" s="595"/>
      <c r="F47" s="595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4" t="str">
        <f>+VLOOKUP($A48,Master!$D$30:$G$226,4,FALSE)</f>
        <v>Ostala prava iz zdravstvenog osiguranja</v>
      </c>
      <c r="C48" s="595"/>
      <c r="D48" s="595"/>
      <c r="E48" s="595"/>
      <c r="F48" s="595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2" t="str">
        <f>+VLOOKUP($A49,Master!$D$30:$G$226,4,FALSE)</f>
        <v xml:space="preserve">Transferi institucijama, pojedincima, nevladinom i javnom sektoru </v>
      </c>
      <c r="C49" s="593"/>
      <c r="D49" s="593"/>
      <c r="E49" s="593"/>
      <c r="F49" s="593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2" t="str">
        <f>+VLOOKUP($A50,Master!$D$30:$G$226,4,FALSE)</f>
        <v>Kapitalni izdaci</v>
      </c>
      <c r="C50" s="593"/>
      <c r="D50" s="593"/>
      <c r="E50" s="593"/>
      <c r="F50" s="593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2" t="str">
        <f>+VLOOKUP($A51,Master!$D$30:$G$226,4,FALSE)</f>
        <v>Pozajmice i krediti</v>
      </c>
      <c r="C51" s="563"/>
      <c r="D51" s="563"/>
      <c r="E51" s="563"/>
      <c r="F51" s="563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2" t="str">
        <f>+VLOOKUP($A52,Master!$D$30:$G$226,4,FALSE)</f>
        <v>Rezerve</v>
      </c>
      <c r="C52" s="563"/>
      <c r="D52" s="563"/>
      <c r="E52" s="563"/>
      <c r="F52" s="563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0" t="str">
        <f>+VLOOKUP($A53,Master!$D$30:$G$226,4,FALSE)</f>
        <v>Otplata garancija</v>
      </c>
      <c r="C53" s="581"/>
      <c r="D53" s="581"/>
      <c r="E53" s="581"/>
      <c r="F53" s="581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0" t="str">
        <f>+VLOOKUP($A54,Master!$D$30:$G$226,4,FALSE)</f>
        <v>Otplata obaveza iz prethodnog perioda</v>
      </c>
      <c r="C54" s="581"/>
      <c r="D54" s="581"/>
      <c r="E54" s="581"/>
      <c r="F54" s="581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0" t="str">
        <f>+VLOOKUP($A55,Master!$D$30:$G$228,4,FALSE)</f>
        <v>Neto povećanje obaveza</v>
      </c>
      <c r="C55" s="581"/>
      <c r="D55" s="581"/>
      <c r="E55" s="581"/>
      <c r="F55" s="581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6" t="str">
        <f>+VLOOKUP($A56,Master!$D$30:$G$226,4,FALSE)</f>
        <v>Suficit / deficit</v>
      </c>
      <c r="C56" s="587"/>
      <c r="D56" s="587"/>
      <c r="E56" s="587"/>
      <c r="F56" s="587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8" t="str">
        <f>+VLOOKUP($A57,Master!$D$30:$G$226,4,FALSE)</f>
        <v>Primarni suficit/deficit</v>
      </c>
      <c r="C57" s="589"/>
      <c r="D57" s="589"/>
      <c r="E57" s="589"/>
      <c r="F57" s="589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0" t="str">
        <f>+VLOOKUP($A58,Master!$D$30:$G$226,4,FALSE)</f>
        <v>Otplata dugova</v>
      </c>
      <c r="C58" s="591"/>
      <c r="D58" s="591"/>
      <c r="E58" s="591"/>
      <c r="F58" s="591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78" t="str">
        <f>+VLOOKUP($A59,Master!$D$30:$G$226,4,FALSE)</f>
        <v>Otplata hartija od vrijednosti i kredita rezidentima</v>
      </c>
      <c r="C59" s="579"/>
      <c r="D59" s="579"/>
      <c r="E59" s="579"/>
      <c r="F59" s="579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2" t="str">
        <f>+VLOOKUP($A60,Master!$D$30:$G$226,4,FALSE)</f>
        <v>Otplata hartija od vrijednosti i kredita nerezidentima</v>
      </c>
      <c r="C60" s="563"/>
      <c r="D60" s="563"/>
      <c r="E60" s="563"/>
      <c r="F60" s="563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2" t="str">
        <f>+VLOOKUP($A62,Master!$D$30:$G$226,4,FALSE)</f>
        <v>Nedostajuća sredstva</v>
      </c>
      <c r="C62" s="583"/>
      <c r="D62" s="583"/>
      <c r="E62" s="583"/>
      <c r="F62" s="583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4" t="str">
        <f>+VLOOKUP($A63,Master!$D$30:$G$226,4,FALSE)</f>
        <v>Finansiranje</v>
      </c>
      <c r="C63" s="585"/>
      <c r="D63" s="585"/>
      <c r="E63" s="585"/>
      <c r="F63" s="585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78" t="str">
        <f>+VLOOKUP($A64,Master!$D$30:$G$226,4,FALSE)</f>
        <v>Pozajmice i krediti od domaćih izvora</v>
      </c>
      <c r="C64" s="579"/>
      <c r="D64" s="579"/>
      <c r="E64" s="579"/>
      <c r="F64" s="579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2" t="str">
        <f>+VLOOKUP($A65,Master!$D$30:$G$226,4,FALSE)</f>
        <v>Pozajmice i krediti od inostranih izvora</v>
      </c>
      <c r="C65" s="563"/>
      <c r="D65" s="563"/>
      <c r="E65" s="563"/>
      <c r="F65" s="563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2" t="str">
        <f>+VLOOKUP($A66,Master!$D$30:$G$226,4,FALSE)</f>
        <v>Primici od prodaje imovine</v>
      </c>
      <c r="C66" s="563"/>
      <c r="D66" s="563"/>
      <c r="E66" s="563"/>
      <c r="F66" s="563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4" t="s">
        <v>553</v>
      </c>
      <c r="C7" s="565"/>
      <c r="D7" s="565"/>
      <c r="E7" s="565"/>
      <c r="F7" s="565"/>
      <c r="G7" s="573">
        <v>2019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">
        <v>419</v>
      </c>
      <c r="T7" s="221">
        <v>4951000000</v>
      </c>
    </row>
    <row r="8" spans="1:20" ht="16.5" customHeight="1">
      <c r="A8" s="129"/>
      <c r="B8" s="566"/>
      <c r="C8" s="567"/>
      <c r="D8" s="567"/>
      <c r="E8" s="567"/>
      <c r="F8" s="568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3" t="s">
        <v>806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4" t="s">
        <v>680</v>
      </c>
      <c r="C10" s="585"/>
      <c r="D10" s="585"/>
      <c r="E10" s="585"/>
      <c r="F10" s="585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08" t="s">
        <v>21</v>
      </c>
      <c r="C11" s="609"/>
      <c r="D11" s="609"/>
      <c r="E11" s="609"/>
      <c r="F11" s="609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4" t="s">
        <v>23</v>
      </c>
      <c r="C12" s="595"/>
      <c r="D12" s="595"/>
      <c r="E12" s="595"/>
      <c r="F12" s="595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4" t="s">
        <v>25</v>
      </c>
      <c r="C13" s="595"/>
      <c r="D13" s="595"/>
      <c r="E13" s="595"/>
      <c r="F13" s="595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4" t="s">
        <v>27</v>
      </c>
      <c r="C14" s="595"/>
      <c r="D14" s="595"/>
      <c r="E14" s="595"/>
      <c r="F14" s="595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4" t="s">
        <v>29</v>
      </c>
      <c r="C15" s="595"/>
      <c r="D15" s="595"/>
      <c r="E15" s="595"/>
      <c r="F15" s="595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4" t="s">
        <v>31</v>
      </c>
      <c r="C16" s="595"/>
      <c r="D16" s="595"/>
      <c r="E16" s="595"/>
      <c r="F16" s="595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4" t="s">
        <v>33</v>
      </c>
      <c r="C17" s="595"/>
      <c r="D17" s="595"/>
      <c r="E17" s="595"/>
      <c r="F17" s="595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4" t="s">
        <v>721</v>
      </c>
      <c r="C18" s="595"/>
      <c r="D18" s="595"/>
      <c r="E18" s="595"/>
      <c r="F18" s="595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4" t="s">
        <v>37</v>
      </c>
      <c r="C19" s="605"/>
      <c r="D19" s="605"/>
      <c r="E19" s="605"/>
      <c r="F19" s="605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4" t="s">
        <v>39</v>
      </c>
      <c r="C20" s="595"/>
      <c r="D20" s="595"/>
      <c r="E20" s="595"/>
      <c r="F20" s="595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4" t="s">
        <v>41</v>
      </c>
      <c r="C21" s="595"/>
      <c r="D21" s="595"/>
      <c r="E21" s="595"/>
      <c r="F21" s="595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4" t="s">
        <v>43</v>
      </c>
      <c r="C22" s="595"/>
      <c r="D22" s="595"/>
      <c r="E22" s="595"/>
      <c r="F22" s="595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4" t="s">
        <v>45</v>
      </c>
      <c r="C23" s="595"/>
      <c r="D23" s="595"/>
      <c r="E23" s="595"/>
      <c r="F23" s="595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6" t="s">
        <v>47</v>
      </c>
      <c r="C24" s="597"/>
      <c r="D24" s="597"/>
      <c r="E24" s="597"/>
      <c r="F24" s="597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6" t="s">
        <v>61</v>
      </c>
      <c r="C25" s="597"/>
      <c r="D25" s="597"/>
      <c r="E25" s="597"/>
      <c r="F25" s="597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6" t="s">
        <v>81</v>
      </c>
      <c r="C26" s="597"/>
      <c r="D26" s="597"/>
      <c r="E26" s="597"/>
      <c r="F26" s="597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6" t="s">
        <v>99</v>
      </c>
      <c r="C27" s="597"/>
      <c r="D27" s="597"/>
      <c r="E27" s="597"/>
      <c r="F27" s="597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98" t="s">
        <v>105</v>
      </c>
      <c r="C28" s="599"/>
      <c r="D28" s="599"/>
      <c r="E28" s="599"/>
      <c r="F28" s="599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4" t="s">
        <v>801</v>
      </c>
      <c r="C29" s="585"/>
      <c r="D29" s="585"/>
      <c r="E29" s="585"/>
      <c r="F29" s="585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0" t="s">
        <v>120</v>
      </c>
      <c r="C30" s="601"/>
      <c r="D30" s="601"/>
      <c r="E30" s="601"/>
      <c r="F30" s="601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4" t="s">
        <v>122</v>
      </c>
      <c r="C31" s="595"/>
      <c r="D31" s="595"/>
      <c r="E31" s="595"/>
      <c r="F31" s="595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4" t="s">
        <v>133</v>
      </c>
      <c r="C32" s="595"/>
      <c r="D32" s="595"/>
      <c r="E32" s="595"/>
      <c r="F32" s="595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4" t="s">
        <v>148</v>
      </c>
      <c r="C33" s="595"/>
      <c r="D33" s="595"/>
      <c r="E33" s="595"/>
      <c r="F33" s="595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4" t="s">
        <v>162</v>
      </c>
      <c r="C34" s="595"/>
      <c r="D34" s="595"/>
      <c r="E34" s="595"/>
      <c r="F34" s="595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2" t="s">
        <v>182</v>
      </c>
      <c r="C35" s="613"/>
      <c r="D35" s="613"/>
      <c r="E35" s="613"/>
      <c r="F35" s="613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4" t="s">
        <v>190</v>
      </c>
      <c r="C36" s="595"/>
      <c r="D36" s="595"/>
      <c r="E36" s="595"/>
      <c r="F36" s="595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4" t="s">
        <v>196</v>
      </c>
      <c r="C37" s="595"/>
      <c r="D37" s="595"/>
      <c r="E37" s="595"/>
      <c r="F37" s="595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4" t="s">
        <v>204</v>
      </c>
      <c r="C38" s="595"/>
      <c r="D38" s="595"/>
      <c r="E38" s="595"/>
      <c r="F38" s="595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4" t="s">
        <v>212</v>
      </c>
      <c r="C39" s="595"/>
      <c r="D39" s="595"/>
      <c r="E39" s="595"/>
      <c r="F39" s="595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0" t="s">
        <v>230</v>
      </c>
      <c r="C40" s="591"/>
      <c r="D40" s="591"/>
      <c r="E40" s="591"/>
      <c r="F40" s="591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4" t="s">
        <v>232</v>
      </c>
      <c r="C41" s="595"/>
      <c r="D41" s="595"/>
      <c r="E41" s="595"/>
      <c r="F41" s="595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4" t="s">
        <v>248</v>
      </c>
      <c r="C42" s="595"/>
      <c r="D42" s="595"/>
      <c r="E42" s="595"/>
      <c r="F42" s="595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4" t="s">
        <v>259</v>
      </c>
      <c r="C43" s="595"/>
      <c r="D43" s="595"/>
      <c r="E43" s="595"/>
      <c r="F43" s="595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4" t="s">
        <v>274</v>
      </c>
      <c r="C44" s="595"/>
      <c r="D44" s="595"/>
      <c r="E44" s="595"/>
      <c r="F44" s="595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4" t="s">
        <v>278</v>
      </c>
      <c r="C45" s="595"/>
      <c r="D45" s="595"/>
      <c r="E45" s="595"/>
      <c r="F45" s="595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2" t="s">
        <v>286</v>
      </c>
      <c r="C46" s="593"/>
      <c r="D46" s="593"/>
      <c r="E46" s="593"/>
      <c r="F46" s="593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2" t="s">
        <v>320</v>
      </c>
      <c r="C47" s="593"/>
      <c r="D47" s="593"/>
      <c r="E47" s="593"/>
      <c r="F47" s="593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6" t="s">
        <v>113</v>
      </c>
      <c r="C48" s="617"/>
      <c r="D48" s="617"/>
      <c r="E48" s="617"/>
      <c r="F48" s="617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1" t="s">
        <v>366</v>
      </c>
      <c r="C49" s="622"/>
      <c r="D49" s="622"/>
      <c r="E49" s="622"/>
      <c r="F49" s="622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0" t="s">
        <v>359</v>
      </c>
      <c r="C50" s="581"/>
      <c r="D50" s="581"/>
      <c r="E50" s="581"/>
      <c r="F50" s="581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3" t="s">
        <v>794</v>
      </c>
      <c r="C51" s="624"/>
      <c r="D51" s="624"/>
      <c r="E51" s="624"/>
      <c r="F51" s="624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5" t="s">
        <v>684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6" t="s">
        <v>545</v>
      </c>
      <c r="C53" s="587"/>
      <c r="D53" s="587"/>
      <c r="E53" s="587"/>
      <c r="F53" s="587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8" t="s">
        <v>792</v>
      </c>
      <c r="C54" s="589"/>
      <c r="D54" s="589"/>
      <c r="E54" s="589"/>
      <c r="F54" s="589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0" t="s">
        <v>352</v>
      </c>
      <c r="C55" s="611"/>
      <c r="D55" s="611"/>
      <c r="E55" s="611"/>
      <c r="F55" s="611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78" t="s">
        <v>355</v>
      </c>
      <c r="C56" s="579"/>
      <c r="D56" s="579"/>
      <c r="E56" s="579"/>
      <c r="F56" s="579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2" t="s">
        <v>357</v>
      </c>
      <c r="C57" s="563"/>
      <c r="D57" s="563"/>
      <c r="E57" s="563"/>
      <c r="F57" s="563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5" t="s">
        <v>336</v>
      </c>
      <c r="C58" s="666"/>
      <c r="D58" s="666"/>
      <c r="E58" s="666"/>
      <c r="F58" s="666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2" t="s">
        <v>543</v>
      </c>
      <c r="C59" s="583"/>
      <c r="D59" s="583"/>
      <c r="E59" s="583"/>
      <c r="F59" s="583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4" t="s">
        <v>544</v>
      </c>
      <c r="C60" s="585"/>
      <c r="D60" s="585"/>
      <c r="E60" s="585"/>
      <c r="F60" s="585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78" t="s">
        <v>114</v>
      </c>
      <c r="C61" s="579"/>
      <c r="D61" s="579"/>
      <c r="E61" s="579"/>
      <c r="F61" s="579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2" t="s">
        <v>116</v>
      </c>
      <c r="C62" s="563"/>
      <c r="D62" s="563"/>
      <c r="E62" s="563"/>
      <c r="F62" s="563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2" t="s">
        <v>93</v>
      </c>
      <c r="C63" s="563"/>
      <c r="D63" s="563"/>
      <c r="E63" s="563"/>
      <c r="F63" s="563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3" t="s">
        <v>551</v>
      </c>
      <c r="C100" s="634"/>
      <c r="D100" s="634"/>
      <c r="E100" s="634"/>
      <c r="F100" s="634"/>
      <c r="G100" s="618">
        <v>2019</v>
      </c>
      <c r="H100" s="619"/>
      <c r="I100" s="619"/>
      <c r="J100" s="619"/>
      <c r="K100" s="619"/>
      <c r="L100" s="619"/>
      <c r="M100" s="619"/>
      <c r="N100" s="619"/>
      <c r="O100" s="619"/>
      <c r="P100" s="619"/>
      <c r="Q100" s="619"/>
      <c r="R100" s="620"/>
      <c r="S100" s="96" t="str">
        <f>+S7</f>
        <v>BDP</v>
      </c>
      <c r="T100" s="97">
        <f>+T7</f>
        <v>4951000000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18" t="s">
        <v>806</v>
      </c>
      <c r="T101" s="620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3" t="s">
        <v>680</v>
      </c>
      <c r="C103" s="664"/>
      <c r="D103" s="664"/>
      <c r="E103" s="664"/>
      <c r="F103" s="664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9" t="s">
        <v>21</v>
      </c>
      <c r="C104" s="630"/>
      <c r="D104" s="630"/>
      <c r="E104" s="630"/>
      <c r="F104" s="630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1" t="s">
        <v>23</v>
      </c>
      <c r="C105" s="632"/>
      <c r="D105" s="632"/>
      <c r="E105" s="632"/>
      <c r="F105" s="632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1" t="s">
        <v>25</v>
      </c>
      <c r="C106" s="632"/>
      <c r="D106" s="632"/>
      <c r="E106" s="632"/>
      <c r="F106" s="632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1" t="s">
        <v>27</v>
      </c>
      <c r="C107" s="632"/>
      <c r="D107" s="632"/>
      <c r="E107" s="632"/>
      <c r="F107" s="632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1" t="s">
        <v>29</v>
      </c>
      <c r="C108" s="632"/>
      <c r="D108" s="632"/>
      <c r="E108" s="632"/>
      <c r="F108" s="632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1" t="s">
        <v>31</v>
      </c>
      <c r="C109" s="632"/>
      <c r="D109" s="632"/>
      <c r="E109" s="632"/>
      <c r="F109" s="632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1" t="s">
        <v>33</v>
      </c>
      <c r="C110" s="632"/>
      <c r="D110" s="632"/>
      <c r="E110" s="632"/>
      <c r="F110" s="632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1" t="s">
        <v>721</v>
      </c>
      <c r="C111" s="632"/>
      <c r="D111" s="632"/>
      <c r="E111" s="632"/>
      <c r="F111" s="632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1" t="s">
        <v>37</v>
      </c>
      <c r="C112" s="662"/>
      <c r="D112" s="662"/>
      <c r="E112" s="662"/>
      <c r="F112" s="662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1" t="s">
        <v>39</v>
      </c>
      <c r="C113" s="632"/>
      <c r="D113" s="632"/>
      <c r="E113" s="632"/>
      <c r="F113" s="632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1" t="s">
        <v>41</v>
      </c>
      <c r="C114" s="632"/>
      <c r="D114" s="632"/>
      <c r="E114" s="632"/>
      <c r="F114" s="632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1" t="s">
        <v>43</v>
      </c>
      <c r="C115" s="632"/>
      <c r="D115" s="632"/>
      <c r="E115" s="632"/>
      <c r="F115" s="632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1" t="s">
        <v>45</v>
      </c>
      <c r="C116" s="632"/>
      <c r="D116" s="632"/>
      <c r="E116" s="632"/>
      <c r="F116" s="632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1" t="s">
        <v>47</v>
      </c>
      <c r="C117" s="642"/>
      <c r="D117" s="642"/>
      <c r="E117" s="642"/>
      <c r="F117" s="642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1" t="s">
        <v>61</v>
      </c>
      <c r="C118" s="642"/>
      <c r="D118" s="642"/>
      <c r="E118" s="642"/>
      <c r="F118" s="642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1" t="s">
        <v>81</v>
      </c>
      <c r="C119" s="642"/>
      <c r="D119" s="642"/>
      <c r="E119" s="642"/>
      <c r="F119" s="642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1" t="s">
        <v>99</v>
      </c>
      <c r="C120" s="642"/>
      <c r="D120" s="642"/>
      <c r="E120" s="642"/>
      <c r="F120" s="642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3" t="s">
        <v>105</v>
      </c>
      <c r="C121" s="644"/>
      <c r="D121" s="644"/>
      <c r="E121" s="644"/>
      <c r="F121" s="644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7" t="s">
        <v>808</v>
      </c>
      <c r="C122" s="628"/>
      <c r="D122" s="628"/>
      <c r="E122" s="628"/>
      <c r="F122" s="628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9" t="s">
        <v>773</v>
      </c>
      <c r="C123" s="670"/>
      <c r="D123" s="670"/>
      <c r="E123" s="670"/>
      <c r="F123" s="670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5" t="e">
        <v>#REF!</v>
      </c>
      <c r="C124" s="646"/>
      <c r="D124" s="646"/>
      <c r="E124" s="646"/>
      <c r="F124" s="646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1" t="s">
        <v>122</v>
      </c>
      <c r="C125" s="632"/>
      <c r="D125" s="632"/>
      <c r="E125" s="632"/>
      <c r="F125" s="632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1" t="s">
        <v>133</v>
      </c>
      <c r="C126" s="632"/>
      <c r="D126" s="632"/>
      <c r="E126" s="632"/>
      <c r="F126" s="632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1" t="s">
        <v>148</v>
      </c>
      <c r="C127" s="632"/>
      <c r="D127" s="632"/>
      <c r="E127" s="632"/>
      <c r="F127" s="632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1" t="s">
        <v>162</v>
      </c>
      <c r="C128" s="632"/>
      <c r="D128" s="632"/>
      <c r="E128" s="632"/>
      <c r="F128" s="632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1" t="s">
        <v>182</v>
      </c>
      <c r="C129" s="632"/>
      <c r="D129" s="632"/>
      <c r="E129" s="632"/>
      <c r="F129" s="632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1" t="s">
        <v>190</v>
      </c>
      <c r="C130" s="632"/>
      <c r="D130" s="632"/>
      <c r="E130" s="632"/>
      <c r="F130" s="632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1" t="s">
        <v>196</v>
      </c>
      <c r="C131" s="632"/>
      <c r="D131" s="632"/>
      <c r="E131" s="632"/>
      <c r="F131" s="632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1" t="s">
        <v>204</v>
      </c>
      <c r="C132" s="632"/>
      <c r="D132" s="632"/>
      <c r="E132" s="632"/>
      <c r="F132" s="632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1" t="s">
        <v>212</v>
      </c>
      <c r="C133" s="632"/>
      <c r="D133" s="632"/>
      <c r="E133" s="632"/>
      <c r="F133" s="632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1" t="e">
        <v>#REF!</v>
      </c>
      <c r="C134" s="632"/>
      <c r="D134" s="632"/>
      <c r="E134" s="632"/>
      <c r="F134" s="632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1" t="s">
        <v>230</v>
      </c>
      <c r="C135" s="652"/>
      <c r="D135" s="652"/>
      <c r="E135" s="652"/>
      <c r="F135" s="652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1" t="s">
        <v>232</v>
      </c>
      <c r="C136" s="632"/>
      <c r="D136" s="632"/>
      <c r="E136" s="632"/>
      <c r="F136" s="632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1" t="s">
        <v>248</v>
      </c>
      <c r="C137" s="632"/>
      <c r="D137" s="632"/>
      <c r="E137" s="632"/>
      <c r="F137" s="632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1" t="s">
        <v>259</v>
      </c>
      <c r="C138" s="632"/>
      <c r="D138" s="632"/>
      <c r="E138" s="632"/>
      <c r="F138" s="632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1" t="s">
        <v>274</v>
      </c>
      <c r="C139" s="632"/>
      <c r="D139" s="632"/>
      <c r="E139" s="632"/>
      <c r="F139" s="632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1" t="s">
        <v>278</v>
      </c>
      <c r="C140" s="632"/>
      <c r="D140" s="632"/>
      <c r="E140" s="632"/>
      <c r="F140" s="632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7" t="s">
        <v>286</v>
      </c>
      <c r="C141" s="648"/>
      <c r="D141" s="648"/>
      <c r="E141" s="648"/>
      <c r="F141" s="648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7" t="s">
        <v>809</v>
      </c>
      <c r="C142" s="648"/>
      <c r="D142" s="648"/>
      <c r="E142" s="648"/>
      <c r="F142" s="648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49" t="s">
        <v>113</v>
      </c>
      <c r="C143" s="650"/>
      <c r="D143" s="650"/>
      <c r="E143" s="650"/>
      <c r="F143" s="650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49" t="s">
        <v>366</v>
      </c>
      <c r="C144" s="650"/>
      <c r="D144" s="650"/>
      <c r="E144" s="650"/>
      <c r="F144" s="650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49" t="s">
        <v>359</v>
      </c>
      <c r="C145" s="650"/>
      <c r="D145" s="650"/>
      <c r="E145" s="650"/>
      <c r="F145" s="650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49" t="s">
        <v>365</v>
      </c>
      <c r="C146" s="650"/>
      <c r="D146" s="650"/>
      <c r="E146" s="650"/>
      <c r="F146" s="650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7" t="s">
        <v>685</v>
      </c>
      <c r="C147" s="668"/>
      <c r="D147" s="668"/>
      <c r="E147" s="668"/>
      <c r="F147" s="668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7" t="s">
        <v>545</v>
      </c>
      <c r="C148" s="658"/>
      <c r="D148" s="658"/>
      <c r="E148" s="658"/>
      <c r="F148" s="658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59" t="s">
        <v>810</v>
      </c>
      <c r="C149" s="660"/>
      <c r="D149" s="660"/>
      <c r="E149" s="660"/>
      <c r="F149" s="660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1" t="s">
        <v>352</v>
      </c>
      <c r="C150" s="652"/>
      <c r="D150" s="652"/>
      <c r="E150" s="652"/>
      <c r="F150" s="652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5" t="s">
        <v>355</v>
      </c>
      <c r="C151" s="656"/>
      <c r="D151" s="656"/>
      <c r="E151" s="656"/>
      <c r="F151" s="656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49" t="s">
        <v>357</v>
      </c>
      <c r="C152" s="650"/>
      <c r="D152" s="650"/>
      <c r="E152" s="650"/>
      <c r="F152" s="650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5" t="s">
        <v>336</v>
      </c>
      <c r="C153" s="666"/>
      <c r="D153" s="666"/>
      <c r="E153" s="666"/>
      <c r="F153" s="666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3" t="s">
        <v>543</v>
      </c>
      <c r="C154" s="654"/>
      <c r="D154" s="654"/>
      <c r="E154" s="654"/>
      <c r="F154" s="654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7" t="s">
        <v>544</v>
      </c>
      <c r="C155" s="628"/>
      <c r="D155" s="628"/>
      <c r="E155" s="628"/>
      <c r="F155" s="628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5" t="s">
        <v>114</v>
      </c>
      <c r="C156" s="656"/>
      <c r="D156" s="656"/>
      <c r="E156" s="656"/>
      <c r="F156" s="656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49" t="s">
        <v>116</v>
      </c>
      <c r="C157" s="650"/>
      <c r="D157" s="650"/>
      <c r="E157" s="650"/>
      <c r="F157" s="650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49" t="s">
        <v>93</v>
      </c>
      <c r="C158" s="650"/>
      <c r="D158" s="650"/>
      <c r="E158" s="650"/>
      <c r="F158" s="650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4" t="s">
        <v>553</v>
      </c>
      <c r="C7" s="565"/>
      <c r="D7" s="565"/>
      <c r="E7" s="565"/>
      <c r="F7" s="565"/>
      <c r="G7" s="573">
        <v>2018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">
        <v>419</v>
      </c>
      <c r="T7" s="221">
        <v>4663130000</v>
      </c>
    </row>
    <row r="8" spans="1:20" ht="16.5" customHeight="1">
      <c r="A8" s="129"/>
      <c r="B8" s="566"/>
      <c r="C8" s="567"/>
      <c r="D8" s="567"/>
      <c r="E8" s="567"/>
      <c r="F8" s="568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3" t="s">
        <v>806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6" t="s">
        <v>680</v>
      </c>
      <c r="C10" s="607"/>
      <c r="D10" s="607"/>
      <c r="E10" s="607"/>
      <c r="F10" s="607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08" t="s">
        <v>21</v>
      </c>
      <c r="C11" s="609"/>
      <c r="D11" s="609"/>
      <c r="E11" s="609"/>
      <c r="F11" s="609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4" t="s">
        <v>23</v>
      </c>
      <c r="C12" s="595"/>
      <c r="D12" s="595"/>
      <c r="E12" s="595"/>
      <c r="F12" s="595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4" t="s">
        <v>25</v>
      </c>
      <c r="C13" s="595"/>
      <c r="D13" s="595"/>
      <c r="E13" s="595"/>
      <c r="F13" s="595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4" t="s">
        <v>27</v>
      </c>
      <c r="C14" s="595"/>
      <c r="D14" s="595"/>
      <c r="E14" s="595"/>
      <c r="F14" s="595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4" t="s">
        <v>29</v>
      </c>
      <c r="C15" s="595"/>
      <c r="D15" s="595"/>
      <c r="E15" s="595"/>
      <c r="F15" s="595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4" t="s">
        <v>31</v>
      </c>
      <c r="C16" s="595"/>
      <c r="D16" s="595"/>
      <c r="E16" s="595"/>
      <c r="F16" s="595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4" t="s">
        <v>33</v>
      </c>
      <c r="C17" s="595"/>
      <c r="D17" s="595"/>
      <c r="E17" s="595"/>
      <c r="F17" s="595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4" t="s">
        <v>721</v>
      </c>
      <c r="C18" s="595"/>
      <c r="D18" s="595"/>
      <c r="E18" s="595"/>
      <c r="F18" s="595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4" t="s">
        <v>37</v>
      </c>
      <c r="C19" s="605"/>
      <c r="D19" s="605"/>
      <c r="E19" s="605"/>
      <c r="F19" s="605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4" t="s">
        <v>39</v>
      </c>
      <c r="C20" s="595"/>
      <c r="D20" s="595"/>
      <c r="E20" s="595"/>
      <c r="F20" s="595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4" t="s">
        <v>41</v>
      </c>
      <c r="C21" s="595"/>
      <c r="D21" s="595"/>
      <c r="E21" s="595"/>
      <c r="F21" s="595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4" t="s">
        <v>43</v>
      </c>
      <c r="C22" s="595"/>
      <c r="D22" s="595"/>
      <c r="E22" s="595"/>
      <c r="F22" s="595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4" t="s">
        <v>45</v>
      </c>
      <c r="C23" s="595"/>
      <c r="D23" s="595"/>
      <c r="E23" s="595"/>
      <c r="F23" s="595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6" t="s">
        <v>47</v>
      </c>
      <c r="C24" s="597"/>
      <c r="D24" s="597"/>
      <c r="E24" s="597"/>
      <c r="F24" s="597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6" t="s">
        <v>61</v>
      </c>
      <c r="C25" s="597"/>
      <c r="D25" s="597"/>
      <c r="E25" s="597"/>
      <c r="F25" s="597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6" t="s">
        <v>81</v>
      </c>
      <c r="C26" s="597"/>
      <c r="D26" s="597"/>
      <c r="E26" s="597"/>
      <c r="F26" s="597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6" t="s">
        <v>99</v>
      </c>
      <c r="C27" s="597"/>
      <c r="D27" s="597"/>
      <c r="E27" s="597"/>
      <c r="F27" s="597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98" t="s">
        <v>105</v>
      </c>
      <c r="C28" s="599"/>
      <c r="D28" s="599"/>
      <c r="E28" s="599"/>
      <c r="F28" s="599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4" t="s">
        <v>801</v>
      </c>
      <c r="C29" s="585"/>
      <c r="D29" s="585"/>
      <c r="E29" s="585"/>
      <c r="F29" s="585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0" t="s">
        <v>773</v>
      </c>
      <c r="C30" s="601"/>
      <c r="D30" s="601"/>
      <c r="E30" s="601"/>
      <c r="F30" s="601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2" t="s">
        <v>120</v>
      </c>
      <c r="C31" s="603"/>
      <c r="D31" s="603"/>
      <c r="E31" s="603"/>
      <c r="F31" s="603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4" t="s">
        <v>122</v>
      </c>
      <c r="C32" s="595"/>
      <c r="D32" s="595"/>
      <c r="E32" s="595"/>
      <c r="F32" s="595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4" t="s">
        <v>133</v>
      </c>
      <c r="C33" s="595"/>
      <c r="D33" s="595"/>
      <c r="E33" s="595"/>
      <c r="F33" s="595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4" t="s">
        <v>148</v>
      </c>
      <c r="C34" s="595"/>
      <c r="D34" s="595"/>
      <c r="E34" s="595"/>
      <c r="F34" s="595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4" t="s">
        <v>162</v>
      </c>
      <c r="C35" s="595"/>
      <c r="D35" s="595"/>
      <c r="E35" s="595"/>
      <c r="F35" s="595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4" t="s">
        <v>182</v>
      </c>
      <c r="C36" s="595"/>
      <c r="D36" s="595"/>
      <c r="E36" s="595"/>
      <c r="F36" s="595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4" t="s">
        <v>190</v>
      </c>
      <c r="C37" s="595"/>
      <c r="D37" s="595"/>
      <c r="E37" s="595"/>
      <c r="F37" s="595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4" t="s">
        <v>196</v>
      </c>
      <c r="C38" s="595"/>
      <c r="D38" s="595"/>
      <c r="E38" s="595"/>
      <c r="F38" s="595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4" t="s">
        <v>204</v>
      </c>
      <c r="C39" s="595"/>
      <c r="D39" s="595"/>
      <c r="E39" s="595"/>
      <c r="F39" s="595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4" t="s">
        <v>212</v>
      </c>
      <c r="C40" s="595"/>
      <c r="D40" s="595"/>
      <c r="E40" s="595"/>
      <c r="F40" s="595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4" t="s">
        <v>802</v>
      </c>
      <c r="C41" s="595"/>
      <c r="D41" s="595"/>
      <c r="E41" s="595"/>
      <c r="F41" s="595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0" t="s">
        <v>230</v>
      </c>
      <c r="C42" s="591"/>
      <c r="D42" s="591"/>
      <c r="E42" s="591"/>
      <c r="F42" s="591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4" t="s">
        <v>232</v>
      </c>
      <c r="C43" s="595"/>
      <c r="D43" s="595"/>
      <c r="E43" s="595"/>
      <c r="F43" s="595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4" t="s">
        <v>248</v>
      </c>
      <c r="C44" s="595"/>
      <c r="D44" s="595"/>
      <c r="E44" s="595"/>
      <c r="F44" s="595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4" t="s">
        <v>259</v>
      </c>
      <c r="C45" s="595"/>
      <c r="D45" s="595"/>
      <c r="E45" s="595"/>
      <c r="F45" s="595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4" t="s">
        <v>274</v>
      </c>
      <c r="C46" s="595"/>
      <c r="D46" s="595"/>
      <c r="E46" s="595"/>
      <c r="F46" s="595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3" t="s">
        <v>278</v>
      </c>
      <c r="C47" s="674"/>
      <c r="D47" s="674"/>
      <c r="E47" s="674"/>
      <c r="F47" s="674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2" t="s">
        <v>286</v>
      </c>
      <c r="C48" s="593"/>
      <c r="D48" s="593"/>
      <c r="E48" s="593"/>
      <c r="F48" s="593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2" t="s">
        <v>320</v>
      </c>
      <c r="C49" s="593"/>
      <c r="D49" s="593"/>
      <c r="E49" s="593"/>
      <c r="F49" s="593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6" t="s">
        <v>113</v>
      </c>
      <c r="C50" s="617"/>
      <c r="D50" s="617"/>
      <c r="E50" s="617"/>
      <c r="F50" s="617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2" t="s">
        <v>366</v>
      </c>
      <c r="C51" s="563"/>
      <c r="D51" s="563"/>
      <c r="E51" s="563"/>
      <c r="F51" s="563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0" t="s">
        <v>359</v>
      </c>
      <c r="C52" s="581"/>
      <c r="D52" s="581"/>
      <c r="E52" s="581"/>
      <c r="F52" s="581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3" t="s">
        <v>794</v>
      </c>
      <c r="C53" s="624"/>
      <c r="D53" s="624"/>
      <c r="E53" s="624"/>
      <c r="F53" s="624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5" t="s">
        <v>684</v>
      </c>
      <c r="C54" s="626"/>
      <c r="D54" s="626"/>
      <c r="E54" s="626"/>
      <c r="F54" s="626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6" t="s">
        <v>545</v>
      </c>
      <c r="C55" s="587"/>
      <c r="D55" s="587"/>
      <c r="E55" s="587"/>
      <c r="F55" s="587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8" t="s">
        <v>793</v>
      </c>
      <c r="C57" s="589"/>
      <c r="D57" s="589"/>
      <c r="E57" s="589"/>
      <c r="F57" s="589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0" t="s">
        <v>352</v>
      </c>
      <c r="C58" s="611"/>
      <c r="D58" s="611"/>
      <c r="E58" s="611"/>
      <c r="F58" s="611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78" t="s">
        <v>355</v>
      </c>
      <c r="C59" s="579"/>
      <c r="D59" s="579"/>
      <c r="E59" s="579"/>
      <c r="F59" s="579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2" t="s">
        <v>357</v>
      </c>
      <c r="C60" s="563"/>
      <c r="D60" s="563"/>
      <c r="E60" s="563"/>
      <c r="F60" s="563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1" t="s">
        <v>336</v>
      </c>
      <c r="C61" s="672"/>
      <c r="D61" s="672"/>
      <c r="E61" s="672"/>
      <c r="F61" s="672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2" t="s">
        <v>543</v>
      </c>
      <c r="C62" s="583"/>
      <c r="D62" s="583"/>
      <c r="E62" s="583"/>
      <c r="F62" s="583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4" t="s">
        <v>544</v>
      </c>
      <c r="C63" s="585"/>
      <c r="D63" s="585"/>
      <c r="E63" s="585"/>
      <c r="F63" s="585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78" t="s">
        <v>114</v>
      </c>
      <c r="C64" s="579"/>
      <c r="D64" s="579"/>
      <c r="E64" s="579"/>
      <c r="F64" s="579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2" t="s">
        <v>116</v>
      </c>
      <c r="C65" s="563"/>
      <c r="D65" s="563"/>
      <c r="E65" s="563"/>
      <c r="F65" s="563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2" t="s">
        <v>93</v>
      </c>
      <c r="C66" s="563"/>
      <c r="D66" s="563"/>
      <c r="E66" s="563"/>
      <c r="F66" s="563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3" t="s">
        <v>551</v>
      </c>
      <c r="C103" s="634"/>
      <c r="D103" s="634"/>
      <c r="E103" s="634"/>
      <c r="F103" s="634"/>
      <c r="G103" s="618">
        <v>2018</v>
      </c>
      <c r="H103" s="619"/>
      <c r="I103" s="619"/>
      <c r="J103" s="619"/>
      <c r="K103" s="619"/>
      <c r="L103" s="619"/>
      <c r="M103" s="619"/>
      <c r="N103" s="619"/>
      <c r="O103" s="619"/>
      <c r="P103" s="619"/>
      <c r="Q103" s="619"/>
      <c r="R103" s="620"/>
      <c r="S103" s="96" t="str">
        <f>+S7</f>
        <v>BDP</v>
      </c>
      <c r="T103" s="97">
        <f>+T7</f>
        <v>4663130000</v>
      </c>
    </row>
    <row r="104" spans="1:21" ht="15.75" customHeight="1">
      <c r="B104" s="635"/>
      <c r="C104" s="636"/>
      <c r="D104" s="636"/>
      <c r="E104" s="636"/>
      <c r="F104" s="637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18" t="s">
        <v>806</v>
      </c>
      <c r="T104" s="620">
        <f>+T8</f>
        <v>0</v>
      </c>
    </row>
    <row r="105" spans="1:21" ht="13.5" thickBot="1">
      <c r="B105" s="638"/>
      <c r="C105" s="639"/>
      <c r="D105" s="639"/>
      <c r="E105" s="639"/>
      <c r="F105" s="640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3" t="s">
        <v>680</v>
      </c>
      <c r="C106" s="664"/>
      <c r="D106" s="664"/>
      <c r="E106" s="664"/>
      <c r="F106" s="664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9" t="s">
        <v>21</v>
      </c>
      <c r="C107" s="630"/>
      <c r="D107" s="630"/>
      <c r="E107" s="630"/>
      <c r="F107" s="630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1" t="s">
        <v>23</v>
      </c>
      <c r="C108" s="632"/>
      <c r="D108" s="632"/>
      <c r="E108" s="632"/>
      <c r="F108" s="632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1" t="s">
        <v>25</v>
      </c>
      <c r="C109" s="632"/>
      <c r="D109" s="632"/>
      <c r="E109" s="632"/>
      <c r="F109" s="632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1" t="s">
        <v>27</v>
      </c>
      <c r="C110" s="632"/>
      <c r="D110" s="632"/>
      <c r="E110" s="632"/>
      <c r="F110" s="632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1" t="s">
        <v>29</v>
      </c>
      <c r="C111" s="632"/>
      <c r="D111" s="632"/>
      <c r="E111" s="632"/>
      <c r="F111" s="632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1" t="s">
        <v>31</v>
      </c>
      <c r="C112" s="632"/>
      <c r="D112" s="632"/>
      <c r="E112" s="632"/>
      <c r="F112" s="632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1" t="s">
        <v>33</v>
      </c>
      <c r="C113" s="632"/>
      <c r="D113" s="632"/>
      <c r="E113" s="632"/>
      <c r="F113" s="632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1" t="s">
        <v>721</v>
      </c>
      <c r="C114" s="632"/>
      <c r="D114" s="632"/>
      <c r="E114" s="632"/>
      <c r="F114" s="632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1" t="s">
        <v>37</v>
      </c>
      <c r="C115" s="662"/>
      <c r="D115" s="662"/>
      <c r="E115" s="662"/>
      <c r="F115" s="662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1" t="s">
        <v>39</v>
      </c>
      <c r="C116" s="632"/>
      <c r="D116" s="632"/>
      <c r="E116" s="632"/>
      <c r="F116" s="632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1" t="s">
        <v>41</v>
      </c>
      <c r="C117" s="632"/>
      <c r="D117" s="632"/>
      <c r="E117" s="632"/>
      <c r="F117" s="632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1" t="s">
        <v>43</v>
      </c>
      <c r="C118" s="632"/>
      <c r="D118" s="632"/>
      <c r="E118" s="632"/>
      <c r="F118" s="632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1" t="s">
        <v>45</v>
      </c>
      <c r="C119" s="632"/>
      <c r="D119" s="632"/>
      <c r="E119" s="632"/>
      <c r="F119" s="632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1" t="s">
        <v>47</v>
      </c>
      <c r="C120" s="642"/>
      <c r="D120" s="642"/>
      <c r="E120" s="642"/>
      <c r="F120" s="642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1" t="s">
        <v>61</v>
      </c>
      <c r="C121" s="642"/>
      <c r="D121" s="642"/>
      <c r="E121" s="642"/>
      <c r="F121" s="642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1" t="s">
        <v>81</v>
      </c>
      <c r="C122" s="642"/>
      <c r="D122" s="642"/>
      <c r="E122" s="642"/>
      <c r="F122" s="642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1" t="s">
        <v>99</v>
      </c>
      <c r="C123" s="642"/>
      <c r="D123" s="642"/>
      <c r="E123" s="642"/>
      <c r="F123" s="642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3" t="s">
        <v>105</v>
      </c>
      <c r="C124" s="644"/>
      <c r="D124" s="644"/>
      <c r="E124" s="644"/>
      <c r="F124" s="644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7" t="s">
        <v>808</v>
      </c>
      <c r="C125" s="628"/>
      <c r="D125" s="628"/>
      <c r="E125" s="628"/>
      <c r="F125" s="628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9" t="s">
        <v>773</v>
      </c>
      <c r="C126" s="670"/>
      <c r="D126" s="670"/>
      <c r="E126" s="670"/>
      <c r="F126" s="670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5" t="s">
        <v>120</v>
      </c>
      <c r="C127" s="646"/>
      <c r="D127" s="646"/>
      <c r="E127" s="646"/>
      <c r="F127" s="646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1" t="s">
        <v>122</v>
      </c>
      <c r="C128" s="632"/>
      <c r="D128" s="632"/>
      <c r="E128" s="632"/>
      <c r="F128" s="632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1" t="s">
        <v>133</v>
      </c>
      <c r="C129" s="632"/>
      <c r="D129" s="632"/>
      <c r="E129" s="632"/>
      <c r="F129" s="632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1" t="s">
        <v>148</v>
      </c>
      <c r="C130" s="632"/>
      <c r="D130" s="632"/>
      <c r="E130" s="632"/>
      <c r="F130" s="632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1" t="s">
        <v>162</v>
      </c>
      <c r="C131" s="632"/>
      <c r="D131" s="632"/>
      <c r="E131" s="632"/>
      <c r="F131" s="632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1" t="s">
        <v>182</v>
      </c>
      <c r="C132" s="632"/>
      <c r="D132" s="632"/>
      <c r="E132" s="632"/>
      <c r="F132" s="632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1" t="s">
        <v>190</v>
      </c>
      <c r="C133" s="632"/>
      <c r="D133" s="632"/>
      <c r="E133" s="632"/>
      <c r="F133" s="632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1" t="s">
        <v>196</v>
      </c>
      <c r="C134" s="632"/>
      <c r="D134" s="632"/>
      <c r="E134" s="632"/>
      <c r="F134" s="632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1" t="s">
        <v>204</v>
      </c>
      <c r="C135" s="632"/>
      <c r="D135" s="632"/>
      <c r="E135" s="632"/>
      <c r="F135" s="632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1" t="s">
        <v>212</v>
      </c>
      <c r="C136" s="632"/>
      <c r="D136" s="632"/>
      <c r="E136" s="632"/>
      <c r="F136" s="632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1" t="s">
        <v>802</v>
      </c>
      <c r="C137" s="632"/>
      <c r="D137" s="632"/>
      <c r="E137" s="632"/>
      <c r="F137" s="632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1" t="s">
        <v>230</v>
      </c>
      <c r="C138" s="652"/>
      <c r="D138" s="652"/>
      <c r="E138" s="652"/>
      <c r="F138" s="652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1" t="s">
        <v>232</v>
      </c>
      <c r="C139" s="632"/>
      <c r="D139" s="632"/>
      <c r="E139" s="632"/>
      <c r="F139" s="632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1" t="s">
        <v>248</v>
      </c>
      <c r="C140" s="632"/>
      <c r="D140" s="632"/>
      <c r="E140" s="632"/>
      <c r="F140" s="632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1" t="s">
        <v>259</v>
      </c>
      <c r="C141" s="632"/>
      <c r="D141" s="632"/>
      <c r="E141" s="632"/>
      <c r="F141" s="632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1" t="s">
        <v>274</v>
      </c>
      <c r="C142" s="632"/>
      <c r="D142" s="632"/>
      <c r="E142" s="632"/>
      <c r="F142" s="632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1" t="s">
        <v>278</v>
      </c>
      <c r="C143" s="632"/>
      <c r="D143" s="632"/>
      <c r="E143" s="632"/>
      <c r="F143" s="632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7" t="s">
        <v>286</v>
      </c>
      <c r="C144" s="648"/>
      <c r="D144" s="648"/>
      <c r="E144" s="648"/>
      <c r="F144" s="648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7" t="s">
        <v>809</v>
      </c>
      <c r="C145" s="648"/>
      <c r="D145" s="648"/>
      <c r="E145" s="648"/>
      <c r="F145" s="648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49" t="s">
        <v>113</v>
      </c>
      <c r="C146" s="650"/>
      <c r="D146" s="650"/>
      <c r="E146" s="650"/>
      <c r="F146" s="650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49" t="s">
        <v>366</v>
      </c>
      <c r="C147" s="650"/>
      <c r="D147" s="650"/>
      <c r="E147" s="650"/>
      <c r="F147" s="650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49" t="s">
        <v>359</v>
      </c>
      <c r="C148" s="650"/>
      <c r="D148" s="650"/>
      <c r="E148" s="650"/>
      <c r="F148" s="650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7" t="s">
        <v>545</v>
      </c>
      <c r="C150" s="658"/>
      <c r="D150" s="658"/>
      <c r="E150" s="658"/>
      <c r="F150" s="658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59" t="s">
        <v>810</v>
      </c>
      <c r="C151" s="660"/>
      <c r="D151" s="660"/>
      <c r="E151" s="660"/>
      <c r="F151" s="660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1" t="s">
        <v>352</v>
      </c>
      <c r="C152" s="652"/>
      <c r="D152" s="652"/>
      <c r="E152" s="652"/>
      <c r="F152" s="652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5" t="s">
        <v>355</v>
      </c>
      <c r="C153" s="656"/>
      <c r="D153" s="656"/>
      <c r="E153" s="656"/>
      <c r="F153" s="656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49" t="s">
        <v>357</v>
      </c>
      <c r="C154" s="650"/>
      <c r="D154" s="650"/>
      <c r="E154" s="650"/>
      <c r="F154" s="650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49" t="s">
        <v>365</v>
      </c>
      <c r="C155" s="650"/>
      <c r="D155" s="650"/>
      <c r="E155" s="650"/>
      <c r="F155" s="650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3" t="s">
        <v>543</v>
      </c>
      <c r="C157" s="654"/>
      <c r="D157" s="654"/>
      <c r="E157" s="654"/>
      <c r="F157" s="654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7" t="s">
        <v>544</v>
      </c>
      <c r="C158" s="628"/>
      <c r="D158" s="628"/>
      <c r="E158" s="628"/>
      <c r="F158" s="628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5" t="s">
        <v>114</v>
      </c>
      <c r="C159" s="656"/>
      <c r="D159" s="656"/>
      <c r="E159" s="656"/>
      <c r="F159" s="656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49" t="s">
        <v>116</v>
      </c>
      <c r="C160" s="650"/>
      <c r="D160" s="650"/>
      <c r="E160" s="650"/>
      <c r="F160" s="650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49" t="s">
        <v>93</v>
      </c>
      <c r="C161" s="650"/>
      <c r="D161" s="650"/>
      <c r="E161" s="650"/>
      <c r="F161" s="650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8" t="s">
        <v>554</v>
      </c>
      <c r="F6" s="675">
        <v>2006</v>
      </c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7"/>
      <c r="R6" s="675">
        <v>2007</v>
      </c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7"/>
      <c r="AD6" s="675">
        <v>2008</v>
      </c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7"/>
      <c r="AP6" s="675">
        <v>2009</v>
      </c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7"/>
      <c r="BB6" s="675">
        <v>2010</v>
      </c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7"/>
      <c r="BN6" s="675">
        <v>2011</v>
      </c>
      <c r="BO6" s="676"/>
      <c r="BP6" s="676"/>
      <c r="BQ6" s="676"/>
      <c r="BR6" s="676"/>
      <c r="BS6" s="676"/>
      <c r="BT6" s="676"/>
      <c r="BU6" s="676"/>
      <c r="BV6" s="676"/>
      <c r="BW6" s="676"/>
      <c r="BX6" s="676"/>
      <c r="BY6" s="677"/>
      <c r="BZ6" s="676">
        <v>2012</v>
      </c>
      <c r="CA6" s="676"/>
      <c r="CB6" s="676"/>
      <c r="CC6" s="676"/>
      <c r="CD6" s="676"/>
      <c r="CE6" s="676"/>
      <c r="CF6" s="676"/>
      <c r="CG6" s="676"/>
      <c r="CH6" s="676"/>
      <c r="CI6" s="676"/>
      <c r="CJ6" s="676"/>
      <c r="CK6" s="676"/>
      <c r="CL6" s="675">
        <v>2013</v>
      </c>
      <c r="CM6" s="676"/>
      <c r="CN6" s="676"/>
      <c r="CO6" s="676"/>
      <c r="CP6" s="676"/>
      <c r="CQ6" s="676"/>
      <c r="CR6" s="676"/>
      <c r="CS6" s="676"/>
      <c r="CT6" s="676"/>
      <c r="CU6" s="676"/>
      <c r="CV6" s="676"/>
      <c r="CW6" s="677"/>
      <c r="CX6" s="675">
        <v>2014</v>
      </c>
      <c r="CY6" s="676"/>
      <c r="CZ6" s="676"/>
      <c r="DA6" s="676"/>
      <c r="DB6" s="676"/>
      <c r="DC6" s="676"/>
      <c r="DD6" s="676"/>
      <c r="DE6" s="676"/>
      <c r="DF6" s="676"/>
      <c r="DG6" s="676"/>
      <c r="DH6" s="676"/>
      <c r="DI6" s="677"/>
      <c r="DJ6" s="675">
        <v>2015</v>
      </c>
      <c r="DK6" s="676"/>
      <c r="DL6" s="676"/>
      <c r="DM6" s="676"/>
      <c r="DN6" s="676"/>
      <c r="DO6" s="676"/>
      <c r="DP6" s="676"/>
      <c r="DQ6" s="676"/>
      <c r="DR6" s="676"/>
      <c r="DS6" s="676"/>
      <c r="DT6" s="676"/>
      <c r="DU6" s="677"/>
    </row>
    <row r="7" spans="1:321">
      <c r="E7" s="678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8" t="s">
        <v>675</v>
      </c>
      <c r="F214" s="675">
        <v>2006</v>
      </c>
      <c r="G214" s="676"/>
      <c r="H214" s="676"/>
      <c r="I214" s="676"/>
      <c r="J214" s="676"/>
      <c r="K214" s="676"/>
      <c r="L214" s="676"/>
      <c r="M214" s="676"/>
      <c r="N214" s="676"/>
      <c r="O214" s="676"/>
      <c r="P214" s="676"/>
      <c r="Q214" s="677"/>
      <c r="R214" s="675">
        <v>2007</v>
      </c>
      <c r="S214" s="676"/>
      <c r="T214" s="676"/>
      <c r="U214" s="676"/>
      <c r="V214" s="676"/>
      <c r="W214" s="676"/>
      <c r="X214" s="676"/>
      <c r="Y214" s="676"/>
      <c r="Z214" s="676"/>
      <c r="AA214" s="676"/>
      <c r="AB214" s="676"/>
      <c r="AC214" s="677"/>
      <c r="AD214" s="675">
        <v>2008</v>
      </c>
      <c r="AE214" s="676"/>
      <c r="AF214" s="676"/>
      <c r="AG214" s="676"/>
      <c r="AH214" s="676"/>
      <c r="AI214" s="676"/>
      <c r="AJ214" s="676"/>
      <c r="AK214" s="676"/>
      <c r="AL214" s="676"/>
      <c r="AM214" s="676"/>
      <c r="AN214" s="676"/>
      <c r="AO214" s="677"/>
      <c r="AP214" s="675">
        <v>2009</v>
      </c>
      <c r="AQ214" s="676"/>
      <c r="AR214" s="676"/>
      <c r="AS214" s="676"/>
      <c r="AT214" s="676"/>
      <c r="AU214" s="676"/>
      <c r="AV214" s="676"/>
      <c r="AW214" s="676"/>
      <c r="AX214" s="676"/>
      <c r="AY214" s="676"/>
      <c r="AZ214" s="676"/>
      <c r="BA214" s="677"/>
      <c r="BB214" s="675">
        <v>2010</v>
      </c>
      <c r="BC214" s="676"/>
      <c r="BD214" s="676"/>
      <c r="BE214" s="676"/>
      <c r="BF214" s="676"/>
      <c r="BG214" s="676"/>
      <c r="BH214" s="676"/>
      <c r="BI214" s="676"/>
      <c r="BJ214" s="676"/>
      <c r="BK214" s="676"/>
      <c r="BL214" s="676"/>
      <c r="BM214" s="677"/>
      <c r="BN214" s="675">
        <v>2011</v>
      </c>
      <c r="BO214" s="676"/>
      <c r="BP214" s="676"/>
      <c r="BQ214" s="676"/>
      <c r="BR214" s="676"/>
      <c r="BS214" s="676"/>
      <c r="BT214" s="676"/>
      <c r="BU214" s="676"/>
      <c r="BV214" s="676"/>
      <c r="BW214" s="676"/>
      <c r="BX214" s="676"/>
      <c r="BY214" s="677"/>
      <c r="BZ214" s="676">
        <v>2012</v>
      </c>
      <c r="CA214" s="676"/>
      <c r="CB214" s="676"/>
      <c r="CC214" s="676"/>
      <c r="CD214" s="676"/>
      <c r="CE214" s="676"/>
      <c r="CF214" s="676"/>
      <c r="CG214" s="676"/>
      <c r="CH214" s="676"/>
      <c r="CI214" s="676"/>
      <c r="CJ214" s="676"/>
      <c r="CK214" s="676"/>
      <c r="CL214" s="675">
        <v>2013</v>
      </c>
      <c r="CM214" s="676"/>
      <c r="CN214" s="676"/>
      <c r="CO214" s="676"/>
      <c r="CP214" s="676"/>
      <c r="CQ214" s="676"/>
      <c r="CR214" s="676"/>
      <c r="CS214" s="676"/>
      <c r="CT214" s="676"/>
      <c r="CU214" s="676"/>
      <c r="CV214" s="676"/>
      <c r="CW214" s="677"/>
      <c r="CX214" s="675">
        <v>2014</v>
      </c>
      <c r="CY214" s="676"/>
      <c r="CZ214" s="676"/>
      <c r="DA214" s="676"/>
      <c r="DB214" s="676"/>
      <c r="DC214" s="676"/>
      <c r="DD214" s="676"/>
      <c r="DE214" s="676"/>
      <c r="DF214" s="676"/>
      <c r="DG214" s="676"/>
      <c r="DH214" s="676"/>
      <c r="DI214" s="677"/>
      <c r="DJ214" s="675">
        <v>2015</v>
      </c>
      <c r="DK214" s="676"/>
      <c r="DL214" s="676"/>
      <c r="DM214" s="676"/>
      <c r="DN214" s="676"/>
      <c r="DO214" s="676"/>
      <c r="DP214" s="676"/>
      <c r="DQ214" s="676"/>
      <c r="DR214" s="676"/>
      <c r="DS214" s="676"/>
      <c r="DT214" s="676"/>
      <c r="DU214" s="677"/>
    </row>
    <row r="215" spans="1:187">
      <c r="E215" s="678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6"/>
  <sheetViews>
    <sheetView zoomScaleNormal="100" workbookViewId="0">
      <pane ySplit="4" topLeftCell="A14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2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Februar</v>
      </c>
    </row>
    <row r="246" spans="4:7">
      <c r="D246" s="41"/>
      <c r="G246" s="44" t="str">
        <f>+CONCATENATE("Jan - ",LEFT(G245,3))</f>
        <v>Jan - Feb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Feb</v>
      </c>
      <c r="F254" s="6" t="str">
        <f>+CONCATENATE("Analytics for period ",G246)</f>
        <v>Analytics for period Jan - Feb</v>
      </c>
      <c r="G254" s="44" t="str">
        <f>+IF(ISBLANK(IF($B$2=1,E254,F254)),"",IF($B$2=1,E254,F254))</f>
        <v>Analitika za period Jan - Feb</v>
      </c>
    </row>
    <row r="255" spans="4:7">
      <c r="E255" s="5" t="str">
        <f>+CONCATENATE("Analitika za period ",G245)</f>
        <v>Analitika za period Februar</v>
      </c>
      <c r="F255" s="6" t="str">
        <f>+CONCATENATE("Analytics for period ",G245)</f>
        <v>Analytics for period Februar</v>
      </c>
      <c r="G255" s="44" t="str">
        <f>+IF(ISBLANK(IF($B$2=1,E255,F255)),"",IF($B$2=1,E255,F255))</f>
        <v>Analitika za period Februar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Februar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Februar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Februar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Februar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Februar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Februar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A6" sqref="A6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Februar</v>
      </c>
      <c r="G11" s="122" t="str">
        <f>+Master!G274</f>
        <v>Prihodi za period Januar - Februar</v>
      </c>
      <c r="J11" s="121"/>
    </row>
    <row r="12" spans="3:10">
      <c r="C12" s="120"/>
      <c r="D12" s="123">
        <f>+'Analitika 2025'!N10</f>
        <v>178294066.69000003</v>
      </c>
      <c r="E12" s="427">
        <f>+D12/'2025'!T7</f>
        <v>2.2383567264669699E-2</v>
      </c>
      <c r="G12" s="123">
        <f>+'Analitika 2025'!G10</f>
        <v>335017151.07999998</v>
      </c>
      <c r="H12" s="427">
        <f>+G12/'2025'!T7</f>
        <v>4.2059049273106185E-2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Februar</v>
      </c>
      <c r="G15" s="122" t="str">
        <f>+Master!G275</f>
        <v>Rashodi za period Januar - Februar</v>
      </c>
      <c r="J15" s="121"/>
    </row>
    <row r="16" spans="3:10">
      <c r="C16" s="120"/>
      <c r="D16" s="123">
        <f>+'Analitika 2025'!N29</f>
        <v>212760659.81000003</v>
      </c>
      <c r="E16" s="427">
        <f>+D16/'2025'!T7</f>
        <v>2.6710605846536273E-2</v>
      </c>
      <c r="G16" s="123">
        <f>+'Analitika 2025'!G29</f>
        <v>367151206.41999996</v>
      </c>
      <c r="H16" s="427">
        <f>+G16/'2025'!T7</f>
        <v>4.6093254126597531E-2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Februar</v>
      </c>
      <c r="G19" s="122" t="str">
        <f>+Master!G276</f>
        <v>Suficit/Deficit za period Januar - Februar</v>
      </c>
      <c r="J19" s="121"/>
    </row>
    <row r="20" spans="3:11">
      <c r="C20" s="120"/>
      <c r="D20" s="123">
        <f>+'Analitika 2025'!N53</f>
        <v>-34466593.120000005</v>
      </c>
      <c r="E20" s="427">
        <f>+D20/'2025'!T7</f>
        <v>-4.3270385818665732E-3</v>
      </c>
      <c r="G20" s="123">
        <f>+'Analitika 2025'!G53</f>
        <v>-32134055.340000004</v>
      </c>
      <c r="H20" s="427">
        <f>+G20/'2025'!T7</f>
        <v>-4.0342048534913509E-3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stdnfBpGTGZdeo18CBAOUCvRXH+IyVZ9J0+FDwXz6D9UyaaqcUBKq7P+HFo775MPH0T17vrxiMRx6OUOMNKbPA==" saltValue="o2rR7dintXGMXEsqrJAG/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D6" sqref="D6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2025-02</v>
      </c>
      <c r="O6" s="128" t="str">
        <f>+CONCATENATE(N6,"p")</f>
        <v>2025-02p</v>
      </c>
      <c r="P6" s="116"/>
      <c r="Q6" s="116"/>
      <c r="R6" s="128" t="str">
        <f>+IF(Master!B3-10&gt;=0,CONCATENATE(Master!B4-1,"-",Master!B3),CONCATENATE(Master!B4-1,"-0",Master!B3))</f>
        <v>2024-02</v>
      </c>
      <c r="S6" s="116"/>
      <c r="T6" s="116"/>
    </row>
    <row r="7" spans="1:25" ht="14.25" customHeight="1">
      <c r="A7" s="129"/>
      <c r="B7" s="564" t="str">
        <f>+Master!G254</f>
        <v>Analitika za period Jan - Feb</v>
      </c>
      <c r="C7" s="565"/>
      <c r="D7" s="565"/>
      <c r="E7" s="565"/>
      <c r="F7" s="565"/>
      <c r="G7" s="573" t="str">
        <f>+Master!G246</f>
        <v>Jan - Feb</v>
      </c>
      <c r="H7" s="574"/>
      <c r="I7" s="574"/>
      <c r="J7" s="574"/>
      <c r="K7" s="574"/>
      <c r="L7" s="574"/>
      <c r="M7" s="577"/>
      <c r="N7" s="574" t="str">
        <f>+Master!G245</f>
        <v>Februar</v>
      </c>
      <c r="O7" s="574"/>
      <c r="P7" s="574"/>
      <c r="Q7" s="574"/>
      <c r="R7" s="574"/>
      <c r="S7" s="574"/>
      <c r="T7" s="577"/>
    </row>
    <row r="8" spans="1:25" ht="29.25" customHeight="1">
      <c r="A8" s="129"/>
      <c r="B8" s="566"/>
      <c r="C8" s="567"/>
      <c r="D8" s="567"/>
      <c r="E8" s="567"/>
      <c r="F8" s="568"/>
      <c r="G8" s="487" t="str">
        <f>+Master!G26</f>
        <v>Ostvarenje</v>
      </c>
      <c r="H8" s="330" t="str">
        <f>+Master!G25</f>
        <v>Plan</v>
      </c>
      <c r="I8" s="560" t="str">
        <f>+Master!G261</f>
        <v>Odstupanje</v>
      </c>
      <c r="J8" s="560"/>
      <c r="K8" s="130" t="str">
        <f>+CONCATENATE(Master!G246," ",Master!B4-1)</f>
        <v>Jan - Feb 2024</v>
      </c>
      <c r="L8" s="560" t="str">
        <f>+I8</f>
        <v>Odstupanje</v>
      </c>
      <c r="M8" s="561"/>
      <c r="N8" s="487" t="str">
        <f>+G8</f>
        <v>Ostvarenje</v>
      </c>
      <c r="O8" s="130" t="str">
        <f>+H8</f>
        <v>Plan</v>
      </c>
      <c r="P8" s="560" t="str">
        <f>+I8</f>
        <v>Odstupanje</v>
      </c>
      <c r="Q8" s="560"/>
      <c r="R8" s="130" t="str">
        <f>+CONCATENATE(Master!G245," ",Master!B4-1)</f>
        <v>Februar 2024</v>
      </c>
      <c r="S8" s="560" t="str">
        <f>+P8</f>
        <v>Odstupanje</v>
      </c>
      <c r="T8" s="561"/>
    </row>
    <row r="9" spans="1:25" ht="15.75" thickBot="1">
      <c r="A9" s="129"/>
      <c r="B9" s="569"/>
      <c r="C9" s="570"/>
      <c r="D9" s="570"/>
      <c r="E9" s="570"/>
      <c r="F9" s="571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'2025'!S10</f>
        <v>335017151.07999998</v>
      </c>
      <c r="H10" s="136">
        <f>SUM('2025'!G86:H86)</f>
        <v>342631136.18270147</v>
      </c>
      <c r="I10" s="137">
        <f>+G10-H10</f>
        <v>-7613985.1027014852</v>
      </c>
      <c r="J10" s="139">
        <f>IF(+IF(ISERROR(G10/H10),"…",G10/H10-1)&gt;200%,"...",IF(ISERROR(G10/H10),"…",G10/H10-1))</f>
        <v>-2.2222105053060548E-2</v>
      </c>
      <c r="K10" s="136">
        <f>SUM('2024'!G10:H10)</f>
        <v>331179491</v>
      </c>
      <c r="L10" s="137">
        <f>+G10-K10</f>
        <v>3837660.0799999833</v>
      </c>
      <c r="M10" s="141">
        <f>IF(+IF(ISERROR(G10/K10),"…",G10/K10-1)&gt;200%,"...",IF(ISERROR(G10/K10),"…",G10/K10-1))</f>
        <v>1.1587855481062892E-2</v>
      </c>
      <c r="N10" s="136">
        <f>'2025'!H10</f>
        <v>178294066.69000003</v>
      </c>
      <c r="O10" s="136">
        <f>'2025'!H86</f>
        <v>186465774.61270151</v>
      </c>
      <c r="P10" s="137">
        <f>+N10-O10</f>
        <v>-8171707.922701478</v>
      </c>
      <c r="Q10" s="139">
        <f>IF(+IF(ISERROR(N10/O10),"…",N10/O10-1)&gt;200%,"...",IF(ISERROR(N10/O10),"…",N10/O10-1))</f>
        <v>-4.3824170626885928E-2</v>
      </c>
      <c r="R10" s="136">
        <f>'2024'!H10</f>
        <v>180248667.54000002</v>
      </c>
      <c r="S10" s="137">
        <f>+N10-R10</f>
        <v>-1954600.849999994</v>
      </c>
      <c r="T10" s="141">
        <f>IF(+IF(ISERROR(N10/R10),"…",N10/R10-1)&gt;200%,"...",IF(ISERROR(N10/R10),"…",N10/R10-1))</f>
        <v>-1.0843912893648611E-2</v>
      </c>
      <c r="W10" s="470"/>
      <c r="Y10" s="470"/>
    </row>
    <row r="11" spans="1:25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262">
        <f>'2025'!S11</f>
        <v>267359863.06</v>
      </c>
      <c r="H11" s="262">
        <f>SUM('2025'!G87:H87)</f>
        <v>269558812.99622846</v>
      </c>
      <c r="I11" s="143">
        <f t="shared" ref="I11:I57" si="0">+G11-H11</f>
        <v>-2198949.9362284541</v>
      </c>
      <c r="J11" s="145">
        <f t="shared" ref="J11:J66" si="1">IF(+IF(ISERROR(G11/H11-1),"…",G11/H11-1)&gt;200%,"...",IF(ISERROR(G11/H11-1),"…",G11/H11-1))</f>
        <v>-8.1575887346677645E-3</v>
      </c>
      <c r="K11" s="262">
        <f>SUM('2024'!G11:H11)</f>
        <v>243320551.23000002</v>
      </c>
      <c r="L11" s="143">
        <f>+G11-K11</f>
        <v>24039311.829999983</v>
      </c>
      <c r="M11" s="147">
        <f t="shared" ref="M11:M66" si="2">IF(+IF(ISERROR(G11/K11),"…",G11/K11-1)&gt;200%,"...",IF(ISERROR(G11/K11),"…",G11/K11-1))</f>
        <v>9.879688217242566E-2</v>
      </c>
      <c r="N11" s="262">
        <f>'2025'!H11</f>
        <v>134657233.55000001</v>
      </c>
      <c r="O11" s="262">
        <f>'2025'!H87</f>
        <v>136856183.48622844</v>
      </c>
      <c r="P11" s="143">
        <f>+N11-O11</f>
        <v>-2198949.9362284243</v>
      </c>
      <c r="Q11" s="145">
        <f t="shared" ref="Q11:Q66" si="3">IF(+IF(ISERROR(N11/O11),"…",N11/O11-1)&gt;200%,"...",IF(ISERROR(N11/O11),"…",N11/O11-1))</f>
        <v>-1.6067596510534687E-2</v>
      </c>
      <c r="R11" s="262">
        <f>'2024'!H11</f>
        <v>121308599.17000002</v>
      </c>
      <c r="S11" s="143">
        <f t="shared" ref="S11:S57" si="4">+N11-R11</f>
        <v>13348634.379999995</v>
      </c>
      <c r="T11" s="147">
        <f t="shared" ref="T11:T66" si="5">IF(+IF(ISERROR(N11/R11),"…",N11/R11-1)&gt;200%,"...",IF(ISERROR(N11/R11),"…",N11/R11-1))</f>
        <v>0.11003864912571792</v>
      </c>
      <c r="W11" s="470"/>
      <c r="Y11" s="470"/>
    </row>
    <row r="12" spans="1:25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f>'2025'!S12</f>
        <v>11462214.049999999</v>
      </c>
      <c r="H12" s="148">
        <f>SUM('2025'!G88:H88)</f>
        <v>11161357.627536774</v>
      </c>
      <c r="I12" s="149">
        <f t="shared" si="0"/>
        <v>300856.4224632252</v>
      </c>
      <c r="J12" s="151">
        <f t="shared" si="1"/>
        <v>2.6955181663650629E-2</v>
      </c>
      <c r="K12" s="148">
        <f>SUM('2024'!G12:H12)</f>
        <v>8160835.0600000005</v>
      </c>
      <c r="L12" s="149">
        <f>+G12-K12</f>
        <v>3301378.9899999984</v>
      </c>
      <c r="M12" s="153">
        <f t="shared" si="2"/>
        <v>0.40453935972576782</v>
      </c>
      <c r="N12" s="148">
        <f>'2025'!H12</f>
        <v>8431658.6199999992</v>
      </c>
      <c r="O12" s="148">
        <f>'2025'!H88</f>
        <v>8130802.197536774</v>
      </c>
      <c r="P12" s="149">
        <f t="shared" ref="P12:P57" si="6">+N12-O12</f>
        <v>300856.4224632252</v>
      </c>
      <c r="Q12" s="151">
        <f t="shared" si="3"/>
        <v>3.7002058979416441E-2</v>
      </c>
      <c r="R12" s="148">
        <f>'2024'!H12</f>
        <v>6162755.9100000001</v>
      </c>
      <c r="S12" s="149">
        <f t="shared" si="4"/>
        <v>2268902.709999999</v>
      </c>
      <c r="T12" s="153">
        <f t="shared" si="5"/>
        <v>0.36816365001871354</v>
      </c>
      <c r="W12" s="470"/>
      <c r="Y12" s="470"/>
    </row>
    <row r="13" spans="1:25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f>'2025'!S13</f>
        <v>9132928.379999999</v>
      </c>
      <c r="H13" s="148">
        <f>SUM('2025'!G89:H89)</f>
        <v>9673566.4826296903</v>
      </c>
      <c r="I13" s="149">
        <f t="shared" si="0"/>
        <v>-540638.10262969136</v>
      </c>
      <c r="J13" s="151">
        <f t="shared" si="1"/>
        <v>-5.5888188043208942E-2</v>
      </c>
      <c r="K13" s="148">
        <f>SUM('2024'!G13:H13)</f>
        <v>7723192.8399999999</v>
      </c>
      <c r="L13" s="149">
        <f t="shared" ref="L13:L57" si="7">+G13-K13</f>
        <v>1409735.5399999991</v>
      </c>
      <c r="M13" s="153">
        <f t="shared" si="2"/>
        <v>0.18253273862316233</v>
      </c>
      <c r="N13" s="148">
        <f>'2025'!H13</f>
        <v>4374185.16</v>
      </c>
      <c r="O13" s="148">
        <f>'2025'!H89</f>
        <v>4914823.2626296896</v>
      </c>
      <c r="P13" s="149">
        <f t="shared" si="6"/>
        <v>-540638.1026296895</v>
      </c>
      <c r="Q13" s="151">
        <f t="shared" si="3"/>
        <v>-0.11000153489556397</v>
      </c>
      <c r="R13" s="148">
        <f>'2024'!H13</f>
        <v>5771727.9400000004</v>
      </c>
      <c r="S13" s="149">
        <f t="shared" si="4"/>
        <v>-1397542.7800000003</v>
      </c>
      <c r="T13" s="153">
        <f t="shared" si="5"/>
        <v>-0.24213594170206165</v>
      </c>
      <c r="W13" s="470"/>
      <c r="Y13" s="470"/>
    </row>
    <row r="14" spans="1:25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f>'2025'!S14</f>
        <v>0</v>
      </c>
      <c r="H14" s="148">
        <f>SUM('2025'!G90:H90)</f>
        <v>0</v>
      </c>
      <c r="I14" s="149">
        <f t="shared" si="0"/>
        <v>0</v>
      </c>
      <c r="J14" s="151" t="str">
        <f t="shared" si="1"/>
        <v>...</v>
      </c>
      <c r="K14" s="148">
        <f>SUM('2024'!G14:H14)</f>
        <v>0</v>
      </c>
      <c r="L14" s="149">
        <f t="shared" si="7"/>
        <v>0</v>
      </c>
      <c r="M14" s="153" t="str">
        <f t="shared" si="2"/>
        <v>...</v>
      </c>
      <c r="N14" s="148">
        <f>'2025'!H14</f>
        <v>0</v>
      </c>
      <c r="O14" s="148">
        <f>'2025'!H90</f>
        <v>0</v>
      </c>
      <c r="P14" s="149">
        <f t="shared" si="6"/>
        <v>0</v>
      </c>
      <c r="Q14" s="151" t="str">
        <f t="shared" si="3"/>
        <v>...</v>
      </c>
      <c r="R14" s="148">
        <f>'2024'!H14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f>'2025'!S15</f>
        <v>187093024.86000001</v>
      </c>
      <c r="H15" s="148">
        <f>SUM('2025'!G91:H91)</f>
        <v>191293134.12824935</v>
      </c>
      <c r="I15" s="149">
        <f t="shared" si="0"/>
        <v>-4200109.2682493329</v>
      </c>
      <c r="J15" s="151">
        <f t="shared" si="1"/>
        <v>-2.195640364924667E-2</v>
      </c>
      <c r="K15" s="148">
        <f>SUM('2024'!G15:H15)</f>
        <v>173553046.88999999</v>
      </c>
      <c r="L15" s="149">
        <f t="shared" si="7"/>
        <v>13539977.970000029</v>
      </c>
      <c r="M15" s="153">
        <f t="shared" si="2"/>
        <v>7.8016365673959198E-2</v>
      </c>
      <c r="N15" s="148">
        <f>'2025'!H15</f>
        <v>90486320.040000007</v>
      </c>
      <c r="O15" s="148">
        <f>'2025'!H91</f>
        <v>94686429.308249339</v>
      </c>
      <c r="P15" s="149">
        <f t="shared" si="6"/>
        <v>-4200109.2682493329</v>
      </c>
      <c r="Q15" s="151">
        <f t="shared" si="3"/>
        <v>-4.4358091216809781E-2</v>
      </c>
      <c r="R15" s="148">
        <f>'2024'!H15</f>
        <v>81980319.980000004</v>
      </c>
      <c r="S15" s="149">
        <f t="shared" si="4"/>
        <v>8506000.0600000024</v>
      </c>
      <c r="T15" s="153">
        <f t="shared" si="5"/>
        <v>0.10375660966040545</v>
      </c>
      <c r="W15" s="470"/>
      <c r="Y15" s="470"/>
    </row>
    <row r="16" spans="1:25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f>'2025'!S16</f>
        <v>49068499.310000002</v>
      </c>
      <c r="H16" s="148">
        <f>SUM('2025'!G92:H92)</f>
        <v>47651764.850000001</v>
      </c>
      <c r="I16" s="149">
        <f t="shared" si="0"/>
        <v>1416734.4600000009</v>
      </c>
      <c r="J16" s="151">
        <f t="shared" si="1"/>
        <v>2.9730996626455397E-2</v>
      </c>
      <c r="K16" s="148">
        <f>SUM('2024'!G16:H16)</f>
        <v>44923191.510000005</v>
      </c>
      <c r="L16" s="149">
        <f t="shared" si="7"/>
        <v>4145307.799999997</v>
      </c>
      <c r="M16" s="153">
        <f t="shared" si="2"/>
        <v>9.2275451958421906E-2</v>
      </c>
      <c r="N16" s="148">
        <f>'2025'!H16</f>
        <v>25416734.460000001</v>
      </c>
      <c r="O16" s="148">
        <f>'2025'!H92</f>
        <v>24000000</v>
      </c>
      <c r="P16" s="149">
        <f t="shared" si="6"/>
        <v>1416734.4600000009</v>
      </c>
      <c r="Q16" s="151">
        <f t="shared" si="3"/>
        <v>5.9030602500000029E-2</v>
      </c>
      <c r="R16" s="148">
        <f>'2024'!H16</f>
        <v>22366846.550000001</v>
      </c>
      <c r="S16" s="149">
        <f t="shared" si="4"/>
        <v>3049887.91</v>
      </c>
      <c r="T16" s="153">
        <f t="shared" si="5"/>
        <v>0.13635752823636205</v>
      </c>
      <c r="W16" s="470"/>
      <c r="Y16" s="470"/>
    </row>
    <row r="17" spans="1:25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f>'2025'!S17</f>
        <v>8321952.8700000001</v>
      </c>
      <c r="H17" s="148">
        <f>SUM('2025'!G93:H93)</f>
        <v>7487066.1366202729</v>
      </c>
      <c r="I17" s="149">
        <f t="shared" si="0"/>
        <v>834886.73337972723</v>
      </c>
      <c r="J17" s="151">
        <f t="shared" si="1"/>
        <v>0.11151053271670475</v>
      </c>
      <c r="K17" s="148">
        <f>SUM('2024'!G17:H17)</f>
        <v>6847014.3899999997</v>
      </c>
      <c r="L17" s="149">
        <f t="shared" si="7"/>
        <v>1474938.4800000004</v>
      </c>
      <c r="M17" s="153">
        <f t="shared" si="2"/>
        <v>0.21541337523025139</v>
      </c>
      <c r="N17" s="148">
        <f>'2025'!H17</f>
        <v>4794688.67</v>
      </c>
      <c r="O17" s="148">
        <f>'2025'!H93</f>
        <v>3959801.9366202727</v>
      </c>
      <c r="P17" s="149" t="s">
        <v>92</v>
      </c>
      <c r="Q17" s="151">
        <f>IF(+IF(ISERROR(N17/O17),"…",N17/O17-1)&gt;200%,"...",IF(ISERROR(N17/O17),"…",N17/O17-1))</f>
        <v>0.21084052857762647</v>
      </c>
      <c r="R17" s="148">
        <f>'2024'!H17</f>
        <v>3849203.28</v>
      </c>
      <c r="S17" s="149">
        <f t="shared" si="4"/>
        <v>945485.39000000013</v>
      </c>
      <c r="T17" s="153">
        <f t="shared" si="5"/>
        <v>0.24563145181565993</v>
      </c>
      <c r="W17" s="470"/>
      <c r="Y17" s="470"/>
    </row>
    <row r="18" spans="1:25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f>'2025'!S18</f>
        <v>2281243.59</v>
      </c>
      <c r="H18" s="148">
        <f>SUM('2025'!G94:H94)</f>
        <v>2291923.7711923751</v>
      </c>
      <c r="I18" s="149">
        <f t="shared" si="0"/>
        <v>-10680.181192375254</v>
      </c>
      <c r="J18" s="151">
        <f t="shared" si="1"/>
        <v>-4.6599199007473224E-3</v>
      </c>
      <c r="K18" s="148">
        <f>SUM('2024'!G18:H18)</f>
        <v>2113270.54</v>
      </c>
      <c r="L18" s="149">
        <f t="shared" si="7"/>
        <v>167973.04999999981</v>
      </c>
      <c r="M18" s="153">
        <f t="shared" si="2"/>
        <v>7.9484877501770246E-2</v>
      </c>
      <c r="N18" s="148">
        <f>'2025'!H18</f>
        <v>1153646.6000000001</v>
      </c>
      <c r="O18" s="148">
        <f>'2025'!H94</f>
        <v>1164326.7811923751</v>
      </c>
      <c r="P18" s="149">
        <f t="shared" si="6"/>
        <v>-10680.181192375021</v>
      </c>
      <c r="Q18" s="151">
        <f t="shared" si="3"/>
        <v>-9.172838214231871E-3</v>
      </c>
      <c r="R18" s="148">
        <f>'2024'!H18</f>
        <v>1177745.51</v>
      </c>
      <c r="S18" s="149">
        <f t="shared" si="4"/>
        <v>-24098.909999999916</v>
      </c>
      <c r="T18" s="153">
        <f t="shared" si="5"/>
        <v>-2.0461899277374407E-2</v>
      </c>
      <c r="W18" s="470"/>
      <c r="Y18" s="470"/>
    </row>
    <row r="19" spans="1:25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f>'2025'!S19</f>
        <v>51967428.469999999</v>
      </c>
      <c r="H19" s="154">
        <f>SUM('2025'!G95:H95)</f>
        <v>54465500.111846775</v>
      </c>
      <c r="I19" s="155">
        <f t="shared" si="0"/>
        <v>-2498071.641846776</v>
      </c>
      <c r="J19" s="157">
        <f t="shared" si="1"/>
        <v>-4.5865210761250719E-2</v>
      </c>
      <c r="K19" s="154">
        <f>SUM('2024'!G19:H19)</f>
        <v>64757515.380000003</v>
      </c>
      <c r="L19" s="155">
        <f t="shared" si="7"/>
        <v>-12790086.910000004</v>
      </c>
      <c r="M19" s="159">
        <f t="shared" si="2"/>
        <v>-0.19750737555243125</v>
      </c>
      <c r="N19" s="154">
        <f>'2025'!H19</f>
        <v>35354452.780000001</v>
      </c>
      <c r="O19" s="154">
        <f>'2025'!H95</f>
        <v>37852524.42184677</v>
      </c>
      <c r="P19" s="155">
        <f t="shared" si="6"/>
        <v>-2498071.6418467686</v>
      </c>
      <c r="Q19" s="157">
        <f t="shared" si="3"/>
        <v>-6.5994849220809004E-2</v>
      </c>
      <c r="R19" s="154">
        <f>'2024'!H19</f>
        <v>51209301.960000001</v>
      </c>
      <c r="S19" s="155">
        <f t="shared" si="4"/>
        <v>-15854849.18</v>
      </c>
      <c r="T19" s="159">
        <f t="shared" si="5"/>
        <v>-0.30960877366351036</v>
      </c>
      <c r="W19" s="470"/>
      <c r="Y19" s="470"/>
    </row>
    <row r="20" spans="1:25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f>'2025'!S20</f>
        <v>43816601.700000003</v>
      </c>
      <c r="H20" s="148">
        <f>SUM('2025'!G96:H96)</f>
        <v>47955915.9876142</v>
      </c>
      <c r="I20" s="149">
        <f t="shared" si="0"/>
        <v>-4139314.2876141965</v>
      </c>
      <c r="J20" s="151">
        <f t="shared" si="1"/>
        <v>-8.6314987470644478E-2</v>
      </c>
      <c r="K20" s="148">
        <f>SUM('2024'!G20:H20)</f>
        <v>59368540.660000004</v>
      </c>
      <c r="L20" s="149">
        <f t="shared" si="7"/>
        <v>-15551938.960000001</v>
      </c>
      <c r="M20" s="153">
        <f t="shared" si="2"/>
        <v>-0.26195589089960969</v>
      </c>
      <c r="N20" s="148">
        <f>'2025'!H20</f>
        <v>29554149.210000001</v>
      </c>
      <c r="O20" s="148">
        <f>'2025'!H96</f>
        <v>33693463.497614197</v>
      </c>
      <c r="P20" s="149">
        <f t="shared" si="6"/>
        <v>-4139314.2876141965</v>
      </c>
      <c r="Q20" s="151">
        <f t="shared" si="3"/>
        <v>-0.12285214572575176</v>
      </c>
      <c r="R20" s="148">
        <f>'2024'!H20</f>
        <v>47091163.350000001</v>
      </c>
      <c r="S20" s="149">
        <f t="shared" si="4"/>
        <v>-17537014.140000001</v>
      </c>
      <c r="T20" s="153">
        <f t="shared" si="5"/>
        <v>-0.37240562543885425</v>
      </c>
      <c r="W20" s="470"/>
      <c r="Y20" s="470"/>
    </row>
    <row r="21" spans="1:25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f>'2025'!S21</f>
        <v>1469228.81</v>
      </c>
      <c r="H21" s="148">
        <f>SUM('2025'!G97:H97)</f>
        <v>814682.74869410798</v>
      </c>
      <c r="I21" s="149">
        <f t="shared" si="0"/>
        <v>654546.06130589207</v>
      </c>
      <c r="J21" s="151">
        <f t="shared" si="1"/>
        <v>0.8034367517356833</v>
      </c>
      <c r="K21" s="148">
        <f>SUM('2024'!G21:H21)</f>
        <v>690004.15999999992</v>
      </c>
      <c r="L21" s="149">
        <f t="shared" si="7"/>
        <v>779224.65000000014</v>
      </c>
      <c r="M21" s="153">
        <f t="shared" si="2"/>
        <v>1.1293042783973943</v>
      </c>
      <c r="N21" s="148">
        <f>'2025'!H21</f>
        <v>1154569.93</v>
      </c>
      <c r="O21" s="148">
        <f>'2025'!H97</f>
        <v>500023.86869410798</v>
      </c>
      <c r="P21" s="149">
        <f t="shared" si="6"/>
        <v>654546.06130589196</v>
      </c>
      <c r="Q21" s="151">
        <f t="shared" si="3"/>
        <v>1.3090296329560092</v>
      </c>
      <c r="R21" s="148">
        <f>'2024'!H21</f>
        <v>382153.8</v>
      </c>
      <c r="S21" s="149">
        <f t="shared" si="4"/>
        <v>772416.12999999989</v>
      </c>
      <c r="T21" s="153" t="str">
        <f t="shared" si="5"/>
        <v>...</v>
      </c>
      <c r="W21" s="470"/>
      <c r="Y21" s="470"/>
    </row>
    <row r="22" spans="1:25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f>'2025'!S22</f>
        <v>3980870.59</v>
      </c>
      <c r="H22" s="148">
        <f>SUM('2025'!G98:H98)</f>
        <v>3159518.4293115544</v>
      </c>
      <c r="I22" s="149">
        <f t="shared" si="0"/>
        <v>821352.16068844544</v>
      </c>
      <c r="J22" s="151">
        <f t="shared" si="1"/>
        <v>0.25996118682789726</v>
      </c>
      <c r="K22" s="148">
        <f>SUM('2024'!G22:H22)</f>
        <v>2773217.87</v>
      </c>
      <c r="L22" s="149">
        <f t="shared" si="7"/>
        <v>1207652.7199999997</v>
      </c>
      <c r="M22" s="153">
        <f t="shared" si="2"/>
        <v>0.4354698320186432</v>
      </c>
      <c r="N22" s="148">
        <f>'2025'!H22</f>
        <v>2764148.03</v>
      </c>
      <c r="O22" s="148">
        <f>'2025'!H98</f>
        <v>1942795.8693115544</v>
      </c>
      <c r="P22" s="149">
        <f t="shared" si="6"/>
        <v>821352.16068844544</v>
      </c>
      <c r="Q22" s="151">
        <f t="shared" si="3"/>
        <v>0.42276812178908862</v>
      </c>
      <c r="R22" s="148">
        <f>'2024'!H22</f>
        <v>2203988.56</v>
      </c>
      <c r="S22" s="149">
        <f t="shared" si="4"/>
        <v>560159.46999999974</v>
      </c>
      <c r="T22" s="153">
        <f t="shared" si="5"/>
        <v>0.25415715860158539</v>
      </c>
      <c r="W22" s="470"/>
      <c r="Y22" s="470"/>
    </row>
    <row r="23" spans="1:25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f>'2025'!S23</f>
        <v>2700727.37</v>
      </c>
      <c r="H23" s="148">
        <f>SUM('2025'!G99:H99)</f>
        <v>2535382.9462269116</v>
      </c>
      <c r="I23" s="149">
        <f t="shared" si="0"/>
        <v>165344.42377308849</v>
      </c>
      <c r="J23" s="151">
        <f t="shared" si="1"/>
        <v>6.5214773184125718E-2</v>
      </c>
      <c r="K23" s="148">
        <f>SUM('2024'!G23:H23)</f>
        <v>1925752.69</v>
      </c>
      <c r="L23" s="149">
        <f t="shared" si="7"/>
        <v>774974.68000000017</v>
      </c>
      <c r="M23" s="153">
        <f t="shared" si="2"/>
        <v>0.40242689729801184</v>
      </c>
      <c r="N23" s="148">
        <f>'2025'!H23</f>
        <v>1881585.61</v>
      </c>
      <c r="O23" s="148">
        <f>'2025'!H99</f>
        <v>1716241.1862269118</v>
      </c>
      <c r="P23" s="149">
        <f t="shared" si="6"/>
        <v>165344.42377308826</v>
      </c>
      <c r="Q23" s="151">
        <f t="shared" si="3"/>
        <v>9.6341018441930881E-2</v>
      </c>
      <c r="R23" s="148">
        <f>'2024'!H23</f>
        <v>1531996.25</v>
      </c>
      <c r="S23" s="149">
        <f t="shared" si="4"/>
        <v>349589.3600000001</v>
      </c>
      <c r="T23" s="153">
        <f t="shared" si="5"/>
        <v>0.22819204681473604</v>
      </c>
      <c r="W23" s="470"/>
      <c r="Y23" s="470"/>
    </row>
    <row r="24" spans="1:25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f>'2025'!S24</f>
        <v>1853378.8099999998</v>
      </c>
      <c r="H24" s="160">
        <f>SUM('2025'!G100:H100)</f>
        <v>2010131.8404724922</v>
      </c>
      <c r="I24" s="161">
        <f t="shared" si="0"/>
        <v>-156753.03047249233</v>
      </c>
      <c r="J24" s="163">
        <f t="shared" si="1"/>
        <v>-7.7981467342782218E-2</v>
      </c>
      <c r="K24" s="160">
        <f>SUM('2024'!G24:H24)</f>
        <v>1858267.87</v>
      </c>
      <c r="L24" s="161">
        <f t="shared" si="7"/>
        <v>-4889.0600000002887</v>
      </c>
      <c r="M24" s="165">
        <f t="shared" si="2"/>
        <v>-2.6309769861113663E-3</v>
      </c>
      <c r="N24" s="160">
        <f>'2025'!H24</f>
        <v>997054.85999999987</v>
      </c>
      <c r="O24" s="160">
        <f>'2025'!H100</f>
        <v>1153807.8904724922</v>
      </c>
      <c r="P24" s="161">
        <f t="shared" si="6"/>
        <v>-156753.03047249233</v>
      </c>
      <c r="Q24" s="163">
        <f t="shared" si="3"/>
        <v>-0.13585713164806046</v>
      </c>
      <c r="R24" s="160">
        <f>'2024'!H24</f>
        <v>998586.78</v>
      </c>
      <c r="S24" s="161">
        <f t="shared" si="4"/>
        <v>-1531.9200000001583</v>
      </c>
      <c r="T24" s="165">
        <f t="shared" si="5"/>
        <v>-1.5340880038489102E-3</v>
      </c>
      <c r="W24" s="470"/>
      <c r="Y24" s="470"/>
    </row>
    <row r="25" spans="1:25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f>'2025'!S25</f>
        <v>7770300.9400000004</v>
      </c>
      <c r="H25" s="160">
        <f>SUM('2025'!G101:H101)</f>
        <v>9492828.0314465314</v>
      </c>
      <c r="I25" s="161">
        <f t="shared" si="0"/>
        <v>-1722527.091446531</v>
      </c>
      <c r="J25" s="163">
        <f t="shared" si="1"/>
        <v>-0.1814556300546456</v>
      </c>
      <c r="K25" s="160">
        <f>SUM('2024'!G25:H25)</f>
        <v>6603333.9100000001</v>
      </c>
      <c r="L25" s="161">
        <f t="shared" si="7"/>
        <v>1166967.0300000003</v>
      </c>
      <c r="M25" s="165">
        <f t="shared" si="2"/>
        <v>0.17672391641936525</v>
      </c>
      <c r="N25" s="160">
        <f>'2025'!H25</f>
        <v>3496530.8</v>
      </c>
      <c r="O25" s="160">
        <f>'2025'!H101</f>
        <v>5219057.8914465308</v>
      </c>
      <c r="P25" s="161">
        <f t="shared" si="6"/>
        <v>-1722527.091446531</v>
      </c>
      <c r="Q25" s="163">
        <f t="shared" si="3"/>
        <v>-0.33004559966072922</v>
      </c>
      <c r="R25" s="160">
        <f>'2024'!H25</f>
        <v>4111753.23</v>
      </c>
      <c r="S25" s="161">
        <f t="shared" si="4"/>
        <v>-615222.43000000017</v>
      </c>
      <c r="T25" s="165">
        <f t="shared" si="5"/>
        <v>-0.1496253290472882</v>
      </c>
      <c r="W25" s="470"/>
      <c r="Y25" s="470"/>
    </row>
    <row r="26" spans="1:25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f>'2025'!S26</f>
        <v>5213329.6899999995</v>
      </c>
      <c r="H26" s="160">
        <f>SUM('2025'!G102:H102)</f>
        <v>4103863.2027072464</v>
      </c>
      <c r="I26" s="161">
        <f t="shared" si="0"/>
        <v>1109466.4872927531</v>
      </c>
      <c r="J26" s="163">
        <f t="shared" si="1"/>
        <v>0.27034684941760667</v>
      </c>
      <c r="K26" s="160">
        <f>SUM('2024'!G26:H26)</f>
        <v>10293562.52</v>
      </c>
      <c r="L26" s="161">
        <f t="shared" si="7"/>
        <v>-5080232.83</v>
      </c>
      <c r="M26" s="165">
        <f t="shared" si="2"/>
        <v>-0.49353494673290232</v>
      </c>
      <c r="N26" s="160">
        <f>'2025'!H26</f>
        <v>2935944.59</v>
      </c>
      <c r="O26" s="160">
        <f>'2025'!H102</f>
        <v>2384200.9227072466</v>
      </c>
      <c r="P26" s="161">
        <f t="shared" si="6"/>
        <v>551743.66729275323</v>
      </c>
      <c r="Q26" s="163">
        <f t="shared" si="3"/>
        <v>0.2314165983403158</v>
      </c>
      <c r="R26" s="160">
        <f>'2024'!H26</f>
        <v>2506490.67</v>
      </c>
      <c r="S26" s="161">
        <f t="shared" si="4"/>
        <v>429453.91999999993</v>
      </c>
      <c r="T26" s="165">
        <f t="shared" si="5"/>
        <v>0.17133673192567667</v>
      </c>
      <c r="W26" s="470"/>
      <c r="Y26" s="470"/>
    </row>
    <row r="27" spans="1:25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f>'2025'!S27</f>
        <v>0</v>
      </c>
      <c r="H27" s="160">
        <f>SUM('2025'!G103:H103)</f>
        <v>0</v>
      </c>
      <c r="I27" s="161">
        <f t="shared" si="0"/>
        <v>0</v>
      </c>
      <c r="J27" s="163" t="str">
        <f t="shared" si="1"/>
        <v>...</v>
      </c>
      <c r="K27" s="160">
        <f>SUM('2024'!G27:H27)</f>
        <v>0</v>
      </c>
      <c r="L27" s="161">
        <f t="shared" si="7"/>
        <v>0</v>
      </c>
      <c r="M27" s="165" t="str">
        <f t="shared" si="2"/>
        <v>...</v>
      </c>
      <c r="N27" s="160">
        <f>'2025'!H27</f>
        <v>0</v>
      </c>
      <c r="O27" s="160">
        <f>'2025'!H103</f>
        <v>0</v>
      </c>
      <c r="P27" s="161">
        <f t="shared" si="6"/>
        <v>0</v>
      </c>
      <c r="Q27" s="163" t="str">
        <f t="shared" si="3"/>
        <v>...</v>
      </c>
      <c r="R27" s="160">
        <f>'2024'!H27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f>'2025'!S28</f>
        <v>852850.11</v>
      </c>
      <c r="H28" s="160">
        <f>SUM('2025'!G104:H104)</f>
        <v>3000000</v>
      </c>
      <c r="I28" s="161">
        <f t="shared" si="0"/>
        <v>-2147149.89</v>
      </c>
      <c r="J28" s="163">
        <f t="shared" si="1"/>
        <v>-0.71571662999999996</v>
      </c>
      <c r="K28" s="160">
        <f>SUM('2024'!G28:H28)</f>
        <v>4346260.0900000008</v>
      </c>
      <c r="L28" s="161">
        <f t="shared" si="7"/>
        <v>-3493409.9800000009</v>
      </c>
      <c r="M28" s="165">
        <f t="shared" si="2"/>
        <v>-0.80377379808395222</v>
      </c>
      <c r="N28" s="160">
        <f>'2025'!H28</f>
        <v>852850.11</v>
      </c>
      <c r="O28" s="160">
        <f>'2025'!H104</f>
        <v>3000000</v>
      </c>
      <c r="P28" s="161">
        <f t="shared" si="6"/>
        <v>-2147149.89</v>
      </c>
      <c r="Q28" s="163">
        <f t="shared" si="3"/>
        <v>-0.71571662999999996</v>
      </c>
      <c r="R28" s="160">
        <f>'2024'!H28</f>
        <v>113935.73</v>
      </c>
      <c r="S28" s="161">
        <f t="shared" si="4"/>
        <v>738914.38</v>
      </c>
      <c r="T28" s="165" t="str">
        <f t="shared" si="5"/>
        <v>...</v>
      </c>
      <c r="W28" s="470"/>
      <c r="Y28" s="470"/>
    </row>
    <row r="29" spans="1:25" ht="15.7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'2025'!S29</f>
        <v>367151206.41999996</v>
      </c>
      <c r="H29" s="136">
        <f>SUM('2025'!G105:H105)</f>
        <v>446140434.17000002</v>
      </c>
      <c r="I29" s="137">
        <f t="shared" si="0"/>
        <v>-78989227.75000006</v>
      </c>
      <c r="J29" s="139">
        <f t="shared" si="1"/>
        <v>-0.17705014318406642</v>
      </c>
      <c r="K29" s="136">
        <f>SUM('2024'!G29:H29)</f>
        <v>352274154.19999999</v>
      </c>
      <c r="L29" s="137">
        <f t="shared" si="7"/>
        <v>14877052.219999969</v>
      </c>
      <c r="M29" s="141">
        <f t="shared" si="2"/>
        <v>4.223146104426867E-2</v>
      </c>
      <c r="N29" s="136">
        <f>'2025'!H29</f>
        <v>212760659.81000003</v>
      </c>
      <c r="O29" s="136">
        <f>'2025'!H105</f>
        <v>234904209.56</v>
      </c>
      <c r="P29" s="137">
        <f t="shared" si="6"/>
        <v>-22143549.74999997</v>
      </c>
      <c r="Q29" s="139">
        <f t="shared" si="3"/>
        <v>-9.4266295999876459E-2</v>
      </c>
      <c r="R29" s="136">
        <f>'2024'!H29</f>
        <v>214357140.56999999</v>
      </c>
      <c r="S29" s="137">
        <f t="shared" si="4"/>
        <v>-1596480.7599999607</v>
      </c>
      <c r="T29" s="141">
        <f t="shared" si="5"/>
        <v>-7.4477610391459059E-3</v>
      </c>
      <c r="W29" s="470"/>
      <c r="Y29" s="470"/>
    </row>
    <row r="30" spans="1:25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294">
        <f>'2025'!S30</f>
        <v>137221917.27000004</v>
      </c>
      <c r="H30" s="294">
        <f>SUM('2025'!G106:H106)</f>
        <v>165548550.28000003</v>
      </c>
      <c r="I30" s="173">
        <f t="shared" si="0"/>
        <v>-28326633.00999999</v>
      </c>
      <c r="J30" s="556">
        <f t="shared" si="1"/>
        <v>-0.17110770805355791</v>
      </c>
      <c r="K30" s="294">
        <f>SUM('2024'!G30:H30)</f>
        <v>143649794.44999996</v>
      </c>
      <c r="L30" s="173">
        <f t="shared" si="7"/>
        <v>-6427877.1799999177</v>
      </c>
      <c r="M30" s="177">
        <f t="shared" si="2"/>
        <v>-4.4746859573386089E-2</v>
      </c>
      <c r="N30" s="294">
        <f>'2025'!H30</f>
        <v>75178373.720000044</v>
      </c>
      <c r="O30" s="294">
        <f>'2025'!H106</f>
        <v>85369477.120000005</v>
      </c>
      <c r="P30" s="173">
        <f t="shared" si="6"/>
        <v>-10191103.399999961</v>
      </c>
      <c r="Q30" s="175">
        <f t="shared" si="3"/>
        <v>-0.11937642988810615</v>
      </c>
      <c r="R30" s="294">
        <f>'2024'!H30</f>
        <v>82044417.609999955</v>
      </c>
      <c r="S30" s="173">
        <f t="shared" si="4"/>
        <v>-6866043.8899999112</v>
      </c>
      <c r="T30" s="177">
        <f t="shared" si="5"/>
        <v>-8.3686911188008084E-2</v>
      </c>
      <c r="W30" s="470"/>
      <c r="Y30" s="470"/>
    </row>
    <row r="31" spans="1:25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f>'2025'!S31</f>
        <v>113366550.90000001</v>
      </c>
      <c r="H31" s="148">
        <f>SUM('2025'!G107:H107)</f>
        <v>115182983.94</v>
      </c>
      <c r="I31" s="149">
        <f t="shared" si="0"/>
        <v>-1816433.0399999917</v>
      </c>
      <c r="J31" s="557">
        <f t="shared" si="1"/>
        <v>-1.5769977281941183E-2</v>
      </c>
      <c r="K31" s="148">
        <f>SUM('2024'!G31:H31)</f>
        <v>110828860.47999997</v>
      </c>
      <c r="L31" s="149">
        <f t="shared" si="7"/>
        <v>2537690.4200000316</v>
      </c>
      <c r="M31" s="153">
        <f t="shared" si="2"/>
        <v>2.2897378977003724E-2</v>
      </c>
      <c r="N31" s="148">
        <f>'2025'!H31</f>
        <v>57530041.020000033</v>
      </c>
      <c r="O31" s="148">
        <f>'2025'!H107</f>
        <v>59047491.199999981</v>
      </c>
      <c r="P31" s="149">
        <f>+N31-O31</f>
        <v>-1517450.1799999475</v>
      </c>
      <c r="Q31" s="151">
        <f>IF(+IF(ISERROR(N31/O31),"…",N31/O31-1)&gt;200%,"...",IF(ISERROR(N31/O31),"…",N31/O31-1))</f>
        <v>-2.5698808690452046E-2</v>
      </c>
      <c r="R31" s="148">
        <f>'2024'!H31</f>
        <v>55692244.729999967</v>
      </c>
      <c r="S31" s="149">
        <f t="shared" si="4"/>
        <v>1837796.2900000662</v>
      </c>
      <c r="T31" s="153">
        <f t="shared" si="5"/>
        <v>3.2999141961503442E-2</v>
      </c>
      <c r="W31" s="470"/>
      <c r="Y31" s="470"/>
    </row>
    <row r="32" spans="1:25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f>'2025'!S32</f>
        <v>1873932.6900000016</v>
      </c>
      <c r="H32" s="148">
        <f>SUM('2025'!G108:H108)</f>
        <v>3763821.4300000006</v>
      </c>
      <c r="I32" s="149">
        <f t="shared" si="0"/>
        <v>-1889888.7399999991</v>
      </c>
      <c r="J32" s="557">
        <f t="shared" si="1"/>
        <v>-0.50211966086818283</v>
      </c>
      <c r="K32" s="148">
        <f>SUM('2024'!G32:H32)</f>
        <v>1942675.1000000003</v>
      </c>
      <c r="L32" s="149">
        <f t="shared" si="7"/>
        <v>-68742.409999998752</v>
      </c>
      <c r="M32" s="153">
        <f t="shared" si="2"/>
        <v>-3.5385438357653731E-2</v>
      </c>
      <c r="N32" s="148">
        <f>'2025'!H32</f>
        <v>1842166.1700000016</v>
      </c>
      <c r="O32" s="148">
        <f>'2025'!H108</f>
        <v>2007086.4100000001</v>
      </c>
      <c r="P32" s="149">
        <f t="shared" si="6"/>
        <v>-164920.23999999859</v>
      </c>
      <c r="Q32" s="151">
        <f t="shared" si="3"/>
        <v>-8.2168978464658426E-2</v>
      </c>
      <c r="R32" s="148">
        <f>'2024'!H32</f>
        <v>1837884.4900000002</v>
      </c>
      <c r="S32" s="149">
        <f t="shared" si="4"/>
        <v>4281.6800000013318</v>
      </c>
      <c r="T32" s="153">
        <f t="shared" si="5"/>
        <v>2.329678509883637E-3</v>
      </c>
      <c r="W32" s="470"/>
      <c r="Y32" s="470"/>
    </row>
    <row r="33" spans="1:25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f>'2025'!S33</f>
        <v>1526714.1900000004</v>
      </c>
      <c r="H33" s="148">
        <f>SUM('2025'!G109:H109)</f>
        <v>3857185.5299999993</v>
      </c>
      <c r="I33" s="149">
        <f t="shared" si="0"/>
        <v>-2330471.3399999989</v>
      </c>
      <c r="J33" s="557">
        <f t="shared" si="1"/>
        <v>-0.60418958898251374</v>
      </c>
      <c r="K33" s="148">
        <f>SUM('2024'!G33:H33)</f>
        <v>3387203.47</v>
      </c>
      <c r="L33" s="149">
        <f t="shared" si="7"/>
        <v>-1860489.2799999998</v>
      </c>
      <c r="M33" s="153">
        <f t="shared" si="2"/>
        <v>-0.54927000886663579</v>
      </c>
      <c r="N33" s="148">
        <f>'2025'!H33</f>
        <v>1487088.8500000003</v>
      </c>
      <c r="O33" s="148">
        <f>'2025'!H109</f>
        <v>2059853.9899999995</v>
      </c>
      <c r="P33" s="149">
        <f t="shared" si="6"/>
        <v>-572765.1399999992</v>
      </c>
      <c r="Q33" s="151">
        <f t="shared" si="3"/>
        <v>-0.27806103868556209</v>
      </c>
      <c r="R33" s="148">
        <f>'2024'!H33</f>
        <v>3185464.5300000003</v>
      </c>
      <c r="S33" s="149">
        <f t="shared" si="4"/>
        <v>-1698375.6799999999</v>
      </c>
      <c r="T33" s="153">
        <f t="shared" si="5"/>
        <v>-0.53316421011914383</v>
      </c>
      <c r="W33" s="470"/>
      <c r="Y33" s="470"/>
    </row>
    <row r="34" spans="1:25">
      <c r="A34" s="135">
        <v>414</v>
      </c>
      <c r="B34" s="594" t="str">
        <f>+VLOOKUP($A34,Master!$D$30:$G$226,4,FALSE)</f>
        <v>Rashodi za usluge</v>
      </c>
      <c r="C34" s="595"/>
      <c r="D34" s="595"/>
      <c r="E34" s="595"/>
      <c r="F34" s="595"/>
      <c r="G34" s="148">
        <f>'2025'!S34</f>
        <v>4408355.3899999997</v>
      </c>
      <c r="H34" s="148">
        <f>SUM('2025'!G110:H110)</f>
        <v>8091121.5900000045</v>
      </c>
      <c r="I34" s="149">
        <f t="shared" si="0"/>
        <v>-3682766.2000000048</v>
      </c>
      <c r="J34" s="557">
        <f t="shared" si="1"/>
        <v>-0.45516139623357244</v>
      </c>
      <c r="K34" s="148">
        <f>SUM('2024'!G34:H34)</f>
        <v>4074727.62</v>
      </c>
      <c r="L34" s="149">
        <f t="shared" si="7"/>
        <v>333627.76999999955</v>
      </c>
      <c r="M34" s="153">
        <f t="shared" si="2"/>
        <v>8.1877318219370832E-2</v>
      </c>
      <c r="N34" s="148">
        <f>'2025'!H34</f>
        <v>3162657.5499999993</v>
      </c>
      <c r="O34" s="148">
        <f>'2025'!H110</f>
        <v>3949104.120000002</v>
      </c>
      <c r="P34" s="149">
        <f t="shared" si="6"/>
        <v>-786446.57000000263</v>
      </c>
      <c r="Q34" s="151">
        <f t="shared" si="3"/>
        <v>-0.19914556469075884</v>
      </c>
      <c r="R34" s="148">
        <f>'2024'!H34</f>
        <v>3306116.05</v>
      </c>
      <c r="S34" s="149">
        <f t="shared" si="4"/>
        <v>-143458.50000000047</v>
      </c>
      <c r="T34" s="153">
        <f t="shared" si="5"/>
        <v>-4.3391852503181338E-2</v>
      </c>
      <c r="W34" s="470"/>
      <c r="Y34" s="470"/>
    </row>
    <row r="35" spans="1:25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f>'2025'!S35</f>
        <v>950567.47</v>
      </c>
      <c r="H35" s="148">
        <f>SUM('2025'!G111:H111)</f>
        <v>5457862.9100000001</v>
      </c>
      <c r="I35" s="149">
        <f t="shared" si="0"/>
        <v>-4507295.4400000004</v>
      </c>
      <c r="J35" s="557">
        <f t="shared" si="1"/>
        <v>-0.82583522421232813</v>
      </c>
      <c r="K35" s="148">
        <f>SUM('2024'!G35:H35)</f>
        <v>1448798.2199999997</v>
      </c>
      <c r="L35" s="149">
        <f t="shared" si="7"/>
        <v>-498230.74999999977</v>
      </c>
      <c r="M35" s="153">
        <f t="shared" si="2"/>
        <v>-0.34389243658789137</v>
      </c>
      <c r="N35" s="148">
        <f>'2025'!H35</f>
        <v>948846.46</v>
      </c>
      <c r="O35" s="148">
        <f>'2025'!H111</f>
        <v>3033187.83</v>
      </c>
      <c r="P35" s="149">
        <f t="shared" si="6"/>
        <v>-2084341.37</v>
      </c>
      <c r="Q35" s="151">
        <f t="shared" si="3"/>
        <v>-0.68717846926083703</v>
      </c>
      <c r="R35" s="148">
        <f>'2024'!H35</f>
        <v>1444596.6199999996</v>
      </c>
      <c r="S35" s="149">
        <f t="shared" si="4"/>
        <v>-495750.15999999968</v>
      </c>
      <c r="T35" s="153">
        <f t="shared" si="5"/>
        <v>-0.34317549490043786</v>
      </c>
      <c r="W35" s="470"/>
      <c r="Y35" s="470"/>
    </row>
    <row r="36" spans="1:25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f>'2025'!S36</f>
        <v>7109193.5700000003</v>
      </c>
      <c r="H36" s="148">
        <f>SUM('2025'!G112:H112)</f>
        <v>7383486.75</v>
      </c>
      <c r="I36" s="149">
        <f t="shared" si="0"/>
        <v>-274293.1799999997</v>
      </c>
      <c r="J36" s="557">
        <f t="shared" si="1"/>
        <v>-3.7149545910676873E-2</v>
      </c>
      <c r="K36" s="148">
        <f>SUM('2024'!G36:H36)</f>
        <v>8158521.4300000006</v>
      </c>
      <c r="L36" s="149">
        <f t="shared" si="7"/>
        <v>-1049327.8600000003</v>
      </c>
      <c r="M36" s="153">
        <f t="shared" si="2"/>
        <v>-0.12861740561733137</v>
      </c>
      <c r="N36" s="148">
        <f>'2025'!H36</f>
        <v>3320574.02</v>
      </c>
      <c r="O36" s="148">
        <f>'2025'!H112</f>
        <v>3578253.08</v>
      </c>
      <c r="P36" s="149">
        <f t="shared" si="6"/>
        <v>-257679.06000000006</v>
      </c>
      <c r="Q36" s="151">
        <f t="shared" si="3"/>
        <v>-7.2012530762636806E-2</v>
      </c>
      <c r="R36" s="148">
        <f>'2024'!H36</f>
        <v>4129191.9600000004</v>
      </c>
      <c r="S36" s="149">
        <f t="shared" si="4"/>
        <v>-808617.94000000041</v>
      </c>
      <c r="T36" s="153">
        <f t="shared" si="5"/>
        <v>-0.19582958308385356</v>
      </c>
      <c r="W36" s="470"/>
      <c r="Y36" s="470"/>
    </row>
    <row r="37" spans="1:25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f>'2025'!S37</f>
        <v>676652.85</v>
      </c>
      <c r="H37" s="148">
        <f>SUM('2025'!G113:H113)</f>
        <v>2176189.3399999994</v>
      </c>
      <c r="I37" s="149">
        <f t="shared" si="0"/>
        <v>-1499536.4899999993</v>
      </c>
      <c r="J37" s="557">
        <f t="shared" si="1"/>
        <v>-0.6890652676388902</v>
      </c>
      <c r="K37" s="148">
        <f>SUM('2024'!G37:H37)</f>
        <v>1060288.4699999997</v>
      </c>
      <c r="L37" s="149">
        <f t="shared" si="7"/>
        <v>-383635.61999999976</v>
      </c>
      <c r="M37" s="153">
        <f t="shared" si="2"/>
        <v>-0.36182192946038527</v>
      </c>
      <c r="N37" s="148">
        <f>'2025'!H37</f>
        <v>658913.61</v>
      </c>
      <c r="O37" s="148">
        <f>'2025'!H113</f>
        <v>1081221.8299999994</v>
      </c>
      <c r="P37" s="149">
        <f t="shared" si="6"/>
        <v>-422308.21999999939</v>
      </c>
      <c r="Q37" s="151">
        <f t="shared" si="3"/>
        <v>-0.39058425226209093</v>
      </c>
      <c r="R37" s="148">
        <f>'2024'!H37</f>
        <v>1060132.9999999998</v>
      </c>
      <c r="S37" s="149">
        <f t="shared" si="4"/>
        <v>-401219.38999999978</v>
      </c>
      <c r="T37" s="153">
        <f t="shared" si="5"/>
        <v>-0.37846137229951327</v>
      </c>
      <c r="W37" s="470"/>
      <c r="Y37" s="470"/>
    </row>
    <row r="38" spans="1:25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f>'2025'!S38</f>
        <v>4785114.8199999984</v>
      </c>
      <c r="H38" s="148">
        <f>SUM('2025'!G114:H114)</f>
        <v>11747270.640000001</v>
      </c>
      <c r="I38" s="149">
        <f t="shared" si="0"/>
        <v>-6962155.8200000022</v>
      </c>
      <c r="J38" s="557">
        <f t="shared" si="1"/>
        <v>-0.59266156653389257</v>
      </c>
      <c r="K38" s="148">
        <f>SUM('2024'!G38:H38)</f>
        <v>5084763.8499999922</v>
      </c>
      <c r="L38" s="149">
        <f t="shared" si="7"/>
        <v>-299649.02999999374</v>
      </c>
      <c r="M38" s="153">
        <f t="shared" si="2"/>
        <v>-5.8930766273441404E-2</v>
      </c>
      <c r="N38" s="148">
        <f>'2025'!H38</f>
        <v>4133251.8899999987</v>
      </c>
      <c r="O38" s="148">
        <f>'2025'!H114</f>
        <v>6000915.620000001</v>
      </c>
      <c r="P38" s="149">
        <f t="shared" si="6"/>
        <v>-1867663.7300000023</v>
      </c>
      <c r="Q38" s="151">
        <f t="shared" si="3"/>
        <v>-0.31122979362939318</v>
      </c>
      <c r="R38" s="148">
        <f>'2024'!H38</f>
        <v>3823193.8399999933</v>
      </c>
      <c r="S38" s="149">
        <f t="shared" si="4"/>
        <v>310058.0500000054</v>
      </c>
      <c r="T38" s="153">
        <f t="shared" si="5"/>
        <v>8.1099223051689595E-2</v>
      </c>
      <c r="W38" s="470"/>
      <c r="Y38" s="470"/>
    </row>
    <row r="39" spans="1:25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f>'2025'!S39</f>
        <v>2524835.3899999992</v>
      </c>
      <c r="H39" s="148">
        <f>SUM('2025'!G115:H115)</f>
        <v>7888628.1500000032</v>
      </c>
      <c r="I39" s="149">
        <f t="shared" si="0"/>
        <v>-5363792.7600000035</v>
      </c>
      <c r="J39" s="557">
        <f t="shared" si="1"/>
        <v>-0.67993986508287907</v>
      </c>
      <c r="K39" s="148">
        <f>SUM('2024'!G39:H39)</f>
        <v>7663955.8099999987</v>
      </c>
      <c r="L39" s="149">
        <f t="shared" si="7"/>
        <v>-5139120.42</v>
      </c>
      <c r="M39" s="153">
        <f t="shared" si="2"/>
        <v>-0.67055715708778341</v>
      </c>
      <c r="N39" s="148">
        <f>'2025'!H39</f>
        <v>2094834.1499999992</v>
      </c>
      <c r="O39" s="148">
        <f>'2025'!H115</f>
        <v>4612363.0400000019</v>
      </c>
      <c r="P39" s="149">
        <f t="shared" si="6"/>
        <v>-2517528.8900000025</v>
      </c>
      <c r="Q39" s="151">
        <f t="shared" si="3"/>
        <v>-0.545821928622514</v>
      </c>
      <c r="R39" s="148">
        <f>'2024'!H39</f>
        <v>7565592.3899999987</v>
      </c>
      <c r="S39" s="149">
        <f t="shared" si="4"/>
        <v>-5470758.2399999993</v>
      </c>
      <c r="T39" s="153">
        <f t="shared" si="5"/>
        <v>-0.72311036043008392</v>
      </c>
      <c r="W39" s="470"/>
      <c r="Y39" s="470"/>
    </row>
    <row r="40" spans="1:25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'2025'!S40</f>
        <v>176522196.35999995</v>
      </c>
      <c r="H40" s="178">
        <f>SUM('2025'!G116:H116)</f>
        <v>180973115.97999999</v>
      </c>
      <c r="I40" s="179">
        <f t="shared" si="0"/>
        <v>-4450919.6200000346</v>
      </c>
      <c r="J40" s="181">
        <f t="shared" si="1"/>
        <v>-2.4594369146475503E-2</v>
      </c>
      <c r="K40" s="178">
        <f>SUM('2024'!G40:H40)</f>
        <v>150106349.72000003</v>
      </c>
      <c r="L40" s="179">
        <f t="shared" si="7"/>
        <v>26415846.639999926</v>
      </c>
      <c r="M40" s="183">
        <f t="shared" si="2"/>
        <v>0.17598087415538766</v>
      </c>
      <c r="N40" s="178">
        <f>'2025'!H40</f>
        <v>94353481.819999963</v>
      </c>
      <c r="O40" s="178">
        <f>'2025'!H116</f>
        <v>94581114.409999996</v>
      </c>
      <c r="P40" s="179">
        <f t="shared" si="6"/>
        <v>-227632.59000003338</v>
      </c>
      <c r="Q40" s="181">
        <f t="shared" si="3"/>
        <v>-2.406744638398628E-3</v>
      </c>
      <c r="R40" s="178">
        <f>'2024'!H40</f>
        <v>82001953.830000028</v>
      </c>
      <c r="S40" s="179">
        <f t="shared" si="4"/>
        <v>12351527.989999935</v>
      </c>
      <c r="T40" s="183">
        <f t="shared" si="5"/>
        <v>0.15062480115542298</v>
      </c>
      <c r="W40" s="470"/>
      <c r="Y40" s="470"/>
    </row>
    <row r="41" spans="1:25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f>'2025'!S41</f>
        <v>41595291.800000012</v>
      </c>
      <c r="H41" s="148">
        <f>SUM('2025'!G117:H117)</f>
        <v>41828531.310000002</v>
      </c>
      <c r="I41" s="149">
        <f t="shared" si="0"/>
        <v>-233239.50999999046</v>
      </c>
      <c r="J41" s="151">
        <f t="shared" si="1"/>
        <v>-5.576086529823443E-3</v>
      </c>
      <c r="K41" s="148">
        <f>SUM('2024'!G41:H41)</f>
        <v>34691194.149999999</v>
      </c>
      <c r="L41" s="149">
        <f t="shared" si="7"/>
        <v>6904097.6500000134</v>
      </c>
      <c r="M41" s="153">
        <f t="shared" si="2"/>
        <v>0.19901585457530335</v>
      </c>
      <c r="N41" s="148">
        <f>'2025'!H41</f>
        <v>22395140.600000005</v>
      </c>
      <c r="O41" s="148">
        <f>'2025'!H117</f>
        <v>22628380.109999999</v>
      </c>
      <c r="P41" s="149">
        <f t="shared" si="6"/>
        <v>-233239.50999999419</v>
      </c>
      <c r="Q41" s="151">
        <f t="shared" si="3"/>
        <v>-1.0307388724521194E-2</v>
      </c>
      <c r="R41" s="148">
        <f>'2024'!H41</f>
        <v>17507547.41</v>
      </c>
      <c r="S41" s="149">
        <f t="shared" si="4"/>
        <v>4887593.1900000051</v>
      </c>
      <c r="T41" s="153">
        <f t="shared" si="5"/>
        <v>0.27917063855604929</v>
      </c>
      <c r="W41" s="470"/>
      <c r="Y41" s="470"/>
    </row>
    <row r="42" spans="1:25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f>'2025'!S42</f>
        <v>2186415.9300000002</v>
      </c>
      <c r="H42" s="148">
        <f>SUM('2025'!G118:H118)</f>
        <v>4443937.34</v>
      </c>
      <c r="I42" s="149">
        <f t="shared" si="0"/>
        <v>-2257521.4099999997</v>
      </c>
      <c r="J42" s="151">
        <f t="shared" si="1"/>
        <v>-0.50800027931986991</v>
      </c>
      <c r="K42" s="148">
        <f>SUM('2024'!G42:H42)</f>
        <v>1977301.41</v>
      </c>
      <c r="L42" s="149">
        <f t="shared" si="7"/>
        <v>209114.52000000025</v>
      </c>
      <c r="M42" s="153">
        <f t="shared" si="2"/>
        <v>0.10575753344554606</v>
      </c>
      <c r="N42" s="148">
        <f>'2025'!H42</f>
        <v>2149155.9300000002</v>
      </c>
      <c r="O42" s="148">
        <f>'2025'!H118</f>
        <v>2230218.67</v>
      </c>
      <c r="P42" s="149">
        <f t="shared" si="6"/>
        <v>-81062.739999999758</v>
      </c>
      <c r="Q42" s="151">
        <f t="shared" si="3"/>
        <v>-3.6347440316244706E-2</v>
      </c>
      <c r="R42" s="148">
        <f>'2024'!H42</f>
        <v>1977301.41</v>
      </c>
      <c r="S42" s="149">
        <f t="shared" si="4"/>
        <v>171854.52000000025</v>
      </c>
      <c r="T42" s="153">
        <f t="shared" si="5"/>
        <v>8.6913668867509841E-2</v>
      </c>
      <c r="W42" s="470"/>
      <c r="Y42" s="470"/>
    </row>
    <row r="43" spans="1:25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f>'2025'!S43</f>
        <v>128428833.18999995</v>
      </c>
      <c r="H43" s="148">
        <f>SUM('2025'!G119:H119)</f>
        <v>128946681.22</v>
      </c>
      <c r="I43" s="149">
        <f t="shared" si="0"/>
        <v>-517848.0300000459</v>
      </c>
      <c r="J43" s="151">
        <f t="shared" si="1"/>
        <v>-4.0159857167361146E-3</v>
      </c>
      <c r="K43" s="148">
        <f>SUM('2024'!G43:H43)</f>
        <v>110429674.24000001</v>
      </c>
      <c r="L43" s="149">
        <f t="shared" si="7"/>
        <v>17999158.949999943</v>
      </c>
      <c r="M43" s="153">
        <f t="shared" si="2"/>
        <v>0.16299204968115588</v>
      </c>
      <c r="N43" s="148">
        <f>'2025'!H43</f>
        <v>65497529.849999964</v>
      </c>
      <c r="O43" s="148">
        <f>'2025'!H119</f>
        <v>65944050.810000002</v>
      </c>
      <c r="P43" s="149">
        <f t="shared" si="6"/>
        <v>-446520.96000003815</v>
      </c>
      <c r="Q43" s="151">
        <f t="shared" si="3"/>
        <v>-6.7712091464712243E-3</v>
      </c>
      <c r="R43" s="148">
        <f>'2024'!H43</f>
        <v>60436837.38000001</v>
      </c>
      <c r="S43" s="149">
        <f t="shared" si="4"/>
        <v>5060692.4699999541</v>
      </c>
      <c r="T43" s="153">
        <f t="shared" si="5"/>
        <v>8.3735229859573268E-2</v>
      </c>
      <c r="W43" s="470"/>
      <c r="Y43" s="470"/>
    </row>
    <row r="44" spans="1:25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f>'2025'!S44</f>
        <v>2943314.7199999997</v>
      </c>
      <c r="H44" s="148">
        <f>SUM('2025'!G120:H120)</f>
        <v>3789074.9800000004</v>
      </c>
      <c r="I44" s="149">
        <f t="shared" si="0"/>
        <v>-845760.26000000071</v>
      </c>
      <c r="J44" s="151">
        <f t="shared" si="1"/>
        <v>-0.22321022003106428</v>
      </c>
      <c r="K44" s="148">
        <f>SUM('2024'!G44:H44)</f>
        <v>1750526.3899999997</v>
      </c>
      <c r="L44" s="149">
        <f t="shared" si="7"/>
        <v>1192788.33</v>
      </c>
      <c r="M44" s="153">
        <f t="shared" si="2"/>
        <v>0.68138837369941063</v>
      </c>
      <c r="N44" s="148">
        <f>'2025'!H44</f>
        <v>2943314.7199999997</v>
      </c>
      <c r="O44" s="148">
        <f>'2025'!H120</f>
        <v>2492958.5700000003</v>
      </c>
      <c r="P44" s="149">
        <f t="shared" si="6"/>
        <v>450356.14999999944</v>
      </c>
      <c r="Q44" s="151">
        <f t="shared" si="3"/>
        <v>0.18065127732949016</v>
      </c>
      <c r="R44" s="148">
        <f>'2024'!H44</f>
        <v>857362.14999999979</v>
      </c>
      <c r="S44" s="149">
        <f t="shared" si="4"/>
        <v>2085952.5699999998</v>
      </c>
      <c r="T44" s="153" t="str">
        <f t="shared" si="5"/>
        <v>...</v>
      </c>
      <c r="W44" s="470"/>
      <c r="Y44" s="470"/>
    </row>
    <row r="45" spans="1:25">
      <c r="A45" s="135">
        <v>425</v>
      </c>
      <c r="B45" s="594" t="str">
        <f>+VLOOKUP($A45,Master!$D$30:$G$226,4,FALSE)</f>
        <v>Ostala prava iz zdravstvenog osiguranja</v>
      </c>
      <c r="C45" s="595"/>
      <c r="D45" s="595"/>
      <c r="E45" s="595"/>
      <c r="F45" s="595"/>
      <c r="G45" s="148">
        <f>'2025'!S45</f>
        <v>1368340.72</v>
      </c>
      <c r="H45" s="148">
        <f>SUM('2025'!G121:H121)</f>
        <v>1964891.13</v>
      </c>
      <c r="I45" s="149">
        <f t="shared" si="0"/>
        <v>-596550.40999999992</v>
      </c>
      <c r="J45" s="151">
        <f t="shared" si="1"/>
        <v>-0.30360481600830469</v>
      </c>
      <c r="K45" s="148">
        <f>SUM('2024'!G45:H45)</f>
        <v>1257653.53</v>
      </c>
      <c r="L45" s="149">
        <f t="shared" si="7"/>
        <v>110687.18999999994</v>
      </c>
      <c r="M45" s="153">
        <f t="shared" si="2"/>
        <v>8.8010876890712408E-2</v>
      </c>
      <c r="N45" s="148">
        <f>'2025'!H45</f>
        <v>1368340.72</v>
      </c>
      <c r="O45" s="148">
        <f>'2025'!H121</f>
        <v>1285506.25</v>
      </c>
      <c r="P45" s="149">
        <f t="shared" si="6"/>
        <v>82834.469999999972</v>
      </c>
      <c r="Q45" s="151">
        <f t="shared" si="3"/>
        <v>6.4437236302818501E-2</v>
      </c>
      <c r="R45" s="148">
        <f>'2024'!H45</f>
        <v>1222905.48</v>
      </c>
      <c r="S45" s="149">
        <f t="shared" si="4"/>
        <v>145435.24</v>
      </c>
      <c r="T45" s="153">
        <f t="shared" si="5"/>
        <v>0.1189259860050671</v>
      </c>
      <c r="W45" s="470"/>
      <c r="Y45" s="470"/>
    </row>
    <row r="46" spans="1:25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f>'2025'!S46</f>
        <v>34058295.370000005</v>
      </c>
      <c r="H46" s="160">
        <f>SUM('2025'!G122:H122)</f>
        <v>56111941.75999999</v>
      </c>
      <c r="I46" s="161">
        <f t="shared" si="0"/>
        <v>-22053646.389999986</v>
      </c>
      <c r="J46" s="163">
        <f t="shared" si="1"/>
        <v>-0.39302946392992533</v>
      </c>
      <c r="K46" s="160">
        <f>SUM('2024'!G46:H46)</f>
        <v>38894779.160000004</v>
      </c>
      <c r="L46" s="161">
        <f t="shared" si="7"/>
        <v>-4836483.7899999991</v>
      </c>
      <c r="M46" s="165">
        <f t="shared" si="2"/>
        <v>-0.12434789178527883</v>
      </c>
      <c r="N46" s="160">
        <f>'2025'!H46</f>
        <v>29118491.300000001</v>
      </c>
      <c r="O46" s="160">
        <f>'2025'!H122</f>
        <v>31180928.069999997</v>
      </c>
      <c r="P46" s="161">
        <f t="shared" si="6"/>
        <v>-2062436.7699999958</v>
      </c>
      <c r="Q46" s="163">
        <f t="shared" si="3"/>
        <v>-6.6144175226917623E-2</v>
      </c>
      <c r="R46" s="160">
        <f>'2024'!H46</f>
        <v>35873257.970000006</v>
      </c>
      <c r="S46" s="161">
        <f t="shared" si="4"/>
        <v>-6754766.6700000055</v>
      </c>
      <c r="T46" s="165">
        <f t="shared" si="5"/>
        <v>-0.18829532226063395</v>
      </c>
      <c r="W46" s="470"/>
      <c r="Y46" s="470"/>
    </row>
    <row r="47" spans="1:25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f>'2025'!S47</f>
        <v>11828486.49</v>
      </c>
      <c r="H47" s="160">
        <f>SUM('2025'!G123:H123)</f>
        <v>19061149.119999997</v>
      </c>
      <c r="I47" s="161">
        <f t="shared" si="0"/>
        <v>-7232662.6299999971</v>
      </c>
      <c r="J47" s="163">
        <f t="shared" si="1"/>
        <v>-0.37944525718080102</v>
      </c>
      <c r="K47" s="160">
        <f>SUM('2024'!G47:H47)</f>
        <v>13363994.270000001</v>
      </c>
      <c r="L47" s="161">
        <f t="shared" si="7"/>
        <v>-1535507.7800000012</v>
      </c>
      <c r="M47" s="165">
        <f t="shared" si="2"/>
        <v>-0.11489886548716699</v>
      </c>
      <c r="N47" s="160">
        <f>'2025'!H47</f>
        <v>11702685.83</v>
      </c>
      <c r="O47" s="160">
        <f>'2025'!H123</f>
        <v>13559201.519999998</v>
      </c>
      <c r="P47" s="161">
        <f t="shared" si="6"/>
        <v>-1856515.6899999976</v>
      </c>
      <c r="Q47" s="163">
        <f t="shared" si="3"/>
        <v>-0.13691924906209363</v>
      </c>
      <c r="R47" s="160">
        <f>'2024'!H47</f>
        <v>9832570.8200000003</v>
      </c>
      <c r="S47" s="161">
        <f t="shared" si="4"/>
        <v>1870115.0099999998</v>
      </c>
      <c r="T47" s="165">
        <f t="shared" si="5"/>
        <v>0.19019593595970652</v>
      </c>
      <c r="W47" s="470"/>
      <c r="Y47" s="470"/>
    </row>
    <row r="48" spans="1:25">
      <c r="A48" s="135">
        <v>451</v>
      </c>
      <c r="B48" s="562" t="str">
        <f>+VLOOKUP($A48,Master!$D$30:$G$226,4,FALSE)</f>
        <v>Pozajmice i krediti</v>
      </c>
      <c r="C48" s="563"/>
      <c r="D48" s="563"/>
      <c r="E48" s="563"/>
      <c r="F48" s="563"/>
      <c r="G48" s="148">
        <f>'2025'!S48</f>
        <v>0</v>
      </c>
      <c r="H48" s="148">
        <f>SUM('2025'!G124:H124)</f>
        <v>0</v>
      </c>
      <c r="I48" s="149">
        <f>G48-H48</f>
        <v>0</v>
      </c>
      <c r="J48" s="266" t="str">
        <f t="shared" si="1"/>
        <v>...</v>
      </c>
      <c r="K48" s="148">
        <f>SUM('2024'!G48:H48)</f>
        <v>0</v>
      </c>
      <c r="L48" s="263">
        <f t="shared" si="7"/>
        <v>0</v>
      </c>
      <c r="M48" s="475" t="str">
        <f t="shared" si="2"/>
        <v>...</v>
      </c>
      <c r="N48" s="148">
        <f>'2025'!H48</f>
        <v>0</v>
      </c>
      <c r="O48" s="148">
        <f>'2025'!H124</f>
        <v>0</v>
      </c>
      <c r="P48" s="149">
        <f t="shared" si="6"/>
        <v>0</v>
      </c>
      <c r="Q48" s="266" t="str">
        <f t="shared" si="3"/>
        <v>...</v>
      </c>
      <c r="R48" s="148">
        <f>'2024'!H48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2" t="str">
        <f>+VLOOKUP($A49,Master!$D$30:$G$226,4,FALSE)</f>
        <v>Rezerve</v>
      </c>
      <c r="C49" s="563"/>
      <c r="D49" s="563"/>
      <c r="E49" s="563"/>
      <c r="F49" s="563"/>
      <c r="G49" s="148">
        <f>'2025'!S49</f>
        <v>209850</v>
      </c>
      <c r="H49" s="148">
        <f>SUM('2025'!G125:H125)</f>
        <v>16100000</v>
      </c>
      <c r="I49" s="149">
        <f t="shared" ref="I49:I50" si="8">G49-H49</f>
        <v>-15890150</v>
      </c>
      <c r="J49" s="267">
        <f t="shared" si="1"/>
        <v>-0.98696583850931674</v>
      </c>
      <c r="K49" s="148">
        <f>SUM('2024'!G49:H49)</f>
        <v>0</v>
      </c>
      <c r="L49" s="264">
        <f t="shared" si="7"/>
        <v>209850</v>
      </c>
      <c r="M49" s="476" t="str">
        <f t="shared" si="2"/>
        <v>...</v>
      </c>
      <c r="N49" s="148">
        <f>'2025'!H49</f>
        <v>209850</v>
      </c>
      <c r="O49" s="148">
        <f>'2025'!H125</f>
        <v>8050000</v>
      </c>
      <c r="P49" s="149">
        <f t="shared" si="6"/>
        <v>-7840150</v>
      </c>
      <c r="Q49" s="267">
        <f t="shared" si="3"/>
        <v>-0.97393167701863359</v>
      </c>
      <c r="R49" s="148">
        <f>'2024'!H49</f>
        <v>0</v>
      </c>
      <c r="S49" s="264">
        <f t="shared" si="4"/>
        <v>209850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f>'2025'!S50</f>
        <v>4062322.96</v>
      </c>
      <c r="H50" s="148">
        <f>SUM('2025'!G126:H126)</f>
        <v>4100000</v>
      </c>
      <c r="I50" s="149">
        <f t="shared" si="8"/>
        <v>-37677.040000000037</v>
      </c>
      <c r="J50" s="268">
        <f t="shared" si="1"/>
        <v>-9.1895219512194704E-3</v>
      </c>
      <c r="K50" s="148">
        <f>SUM('2024'!G50:H50)</f>
        <v>2301161.16</v>
      </c>
      <c r="L50" s="264">
        <f t="shared" si="7"/>
        <v>1761161.7999999998</v>
      </c>
      <c r="M50" s="477">
        <f t="shared" si="2"/>
        <v>0.76533614012501405</v>
      </c>
      <c r="N50" s="148">
        <f>'2025'!H50</f>
        <v>0</v>
      </c>
      <c r="O50" s="148">
        <f>'2025'!H126</f>
        <v>0</v>
      </c>
      <c r="P50" s="149">
        <f t="shared" si="6"/>
        <v>0</v>
      </c>
      <c r="Q50" s="268" t="str">
        <f t="shared" si="3"/>
        <v>...</v>
      </c>
      <c r="R50" s="148">
        <f>'2024'!H50</f>
        <v>2301161.16</v>
      </c>
      <c r="S50" s="264">
        <f t="shared" si="4"/>
        <v>-2301161.16</v>
      </c>
      <c r="T50" s="477">
        <f t="shared" si="5"/>
        <v>-1</v>
      </c>
      <c r="W50" s="470"/>
      <c r="Y50" s="470"/>
    </row>
    <row r="51" spans="1:25" ht="15" customHeight="1" thickBot="1">
      <c r="A51" s="129">
        <v>4630</v>
      </c>
      <c r="B51" s="580" t="str">
        <f>+VLOOKUP($A51,Master!$D$30:$G$226,4,FALSE)</f>
        <v>Otplata obaveza iz prethodnog perioda</v>
      </c>
      <c r="C51" s="581"/>
      <c r="D51" s="581"/>
      <c r="E51" s="581"/>
      <c r="F51" s="581"/>
      <c r="G51" s="295">
        <f>'2025'!S51</f>
        <v>3248137.9699999997</v>
      </c>
      <c r="H51" s="295">
        <f>SUM('2025'!G127:H127)</f>
        <v>4245677.0299999993</v>
      </c>
      <c r="I51" s="265">
        <f>G51-H51</f>
        <v>-997539.05999999959</v>
      </c>
      <c r="J51" s="269">
        <f t="shared" si="1"/>
        <v>-0.23495406102522121</v>
      </c>
      <c r="K51" s="295">
        <f>SUM('2024'!G51:H51)</f>
        <v>3958075.44</v>
      </c>
      <c r="L51" s="271">
        <f t="shared" si="7"/>
        <v>-709937.4700000002</v>
      </c>
      <c r="M51" s="478">
        <f t="shared" si="2"/>
        <v>-0.17936430994352148</v>
      </c>
      <c r="N51" s="295">
        <f>'2025'!H51</f>
        <v>2197777.1399999997</v>
      </c>
      <c r="O51" s="295">
        <f>'2025'!H127</f>
        <v>2163488.44</v>
      </c>
      <c r="P51" s="265">
        <f>N51-O51</f>
        <v>34288.699999999721</v>
      </c>
      <c r="Q51" s="269">
        <f t="shared" si="3"/>
        <v>1.5848802039358123E-2</v>
      </c>
      <c r="R51" s="295">
        <f>'2024'!H51</f>
        <v>2303779.1800000002</v>
      </c>
      <c r="S51" s="271">
        <f>+N51-R51</f>
        <v>-106002.0400000005</v>
      </c>
      <c r="T51" s="478">
        <f t="shared" si="5"/>
        <v>-4.6012239766834107E-2</v>
      </c>
      <c r="W51" s="470"/>
      <c r="Y51" s="470"/>
    </row>
    <row r="52" spans="1:25" ht="15.75" thickBot="1">
      <c r="A52" s="129">
        <v>1005</v>
      </c>
      <c r="B52" s="580" t="str">
        <f>+VLOOKUP($A52,Master!$D$30:$G$228,4,FALSE)</f>
        <v>Neto povećanje obaveza</v>
      </c>
      <c r="C52" s="581"/>
      <c r="D52" s="581"/>
      <c r="E52" s="581"/>
      <c r="F52" s="581"/>
      <c r="G52" s="148">
        <f>'2025'!S52</f>
        <v>0</v>
      </c>
      <c r="H52" s="148">
        <f>SUM('2025'!G128:H128)</f>
        <v>0</v>
      </c>
      <c r="I52" s="265">
        <f>G52-H52</f>
        <v>0</v>
      </c>
      <c r="J52" s="269" t="str">
        <f t="shared" si="1"/>
        <v>...</v>
      </c>
      <c r="K52" s="148">
        <f>SUM('2024'!G52:H52)</f>
        <v>0</v>
      </c>
      <c r="L52" s="271">
        <f t="shared" si="7"/>
        <v>0</v>
      </c>
      <c r="M52" s="478" t="str">
        <f t="shared" si="2"/>
        <v>...</v>
      </c>
      <c r="N52" s="148">
        <f>'2025'!H52</f>
        <v>0</v>
      </c>
      <c r="O52" s="148">
        <f>'2025'!H128</f>
        <v>0</v>
      </c>
      <c r="P52" s="265">
        <f>N52-O52</f>
        <v>0</v>
      </c>
      <c r="Q52" s="269" t="str">
        <f t="shared" si="3"/>
        <v>...</v>
      </c>
      <c r="R52" s="148">
        <f>'2024'!H52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>'2025'!S53</f>
        <v>-32134055.340000004</v>
      </c>
      <c r="H53" s="136">
        <f>SUM('2025'!G129:H129)</f>
        <v>-103509297.98729855</v>
      </c>
      <c r="I53" s="299">
        <f>+G53-H53</f>
        <v>71375242.647298545</v>
      </c>
      <c r="J53" s="270">
        <f t="shared" si="1"/>
        <v>-0.68955392447987496</v>
      </c>
      <c r="K53" s="136">
        <f>SUM('2024'!G53:H53)</f>
        <v>-21094663.199999958</v>
      </c>
      <c r="L53" s="272">
        <f t="shared" si="7"/>
        <v>-11039392.140000045</v>
      </c>
      <c r="M53" s="479">
        <f t="shared" si="2"/>
        <v>0.52332630463614449</v>
      </c>
      <c r="N53" s="136">
        <f>'2025'!H53</f>
        <v>-34466593.120000005</v>
      </c>
      <c r="O53" s="136">
        <f>'2025'!H129</f>
        <v>-48438434.947298497</v>
      </c>
      <c r="P53" s="299">
        <f>N53-O53</f>
        <v>13971841.827298492</v>
      </c>
      <c r="Q53" s="270">
        <f t="shared" si="3"/>
        <v>-0.28844536043536495</v>
      </c>
      <c r="R53" s="136">
        <f>'2024'!H53</f>
        <v>-34108473.029999971</v>
      </c>
      <c r="S53" s="272">
        <f t="shared" si="4"/>
        <v>-358120.09000003338</v>
      </c>
      <c r="T53" s="479">
        <f t="shared" si="5"/>
        <v>1.0499446565228832E-2</v>
      </c>
      <c r="W53" s="470"/>
      <c r="Y53" s="470"/>
    </row>
    <row r="54" spans="1:25" ht="15.7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36">
        <f>'2025'!S54</f>
        <v>-25024861.770000003</v>
      </c>
      <c r="H54" s="136">
        <f>SUM('2025'!G130:H130)</f>
        <v>-96125811.237298548</v>
      </c>
      <c r="I54" s="191">
        <f t="shared" si="0"/>
        <v>71100949.467298537</v>
      </c>
      <c r="J54" s="193">
        <f t="shared" si="1"/>
        <v>-0.73966553365960142</v>
      </c>
      <c r="K54" s="136">
        <f>SUM('2024'!G54:H54)</f>
        <v>-12936141.769999959</v>
      </c>
      <c r="L54" s="191">
        <f t="shared" si="7"/>
        <v>-12088720.000000045</v>
      </c>
      <c r="M54" s="195">
        <f t="shared" si="2"/>
        <v>0.93449192308906515</v>
      </c>
      <c r="N54" s="136">
        <f>'2025'!H54</f>
        <v>-31146019.100000005</v>
      </c>
      <c r="O54" s="136">
        <f>'2025'!H130</f>
        <v>-44860181.867298499</v>
      </c>
      <c r="P54" s="191">
        <f t="shared" si="6"/>
        <v>13714162.767298494</v>
      </c>
      <c r="Q54" s="193">
        <f t="shared" si="3"/>
        <v>-0.30570903185070764</v>
      </c>
      <c r="R54" s="136">
        <f>'2024'!H54</f>
        <v>-29979281.06999997</v>
      </c>
      <c r="S54" s="191">
        <f t="shared" si="4"/>
        <v>-1166738.0300000347</v>
      </c>
      <c r="T54" s="195">
        <f t="shared" si="5"/>
        <v>3.8918145744581523E-2</v>
      </c>
      <c r="W54" s="470"/>
      <c r="Y54" s="470"/>
    </row>
    <row r="55" spans="1:25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460">
        <f>'2025'!S55</f>
        <v>42901017.030000001</v>
      </c>
      <c r="H55" s="460">
        <f>SUM('2025'!G131:H131)</f>
        <v>43887935.700000003</v>
      </c>
      <c r="I55" s="461">
        <f t="shared" si="0"/>
        <v>-986918.67000000179</v>
      </c>
      <c r="J55" s="462">
        <f t="shared" si="1"/>
        <v>-2.2487242889393855E-2</v>
      </c>
      <c r="K55" s="460">
        <f>SUM('2024'!G55:H55)</f>
        <v>41549971.400000006</v>
      </c>
      <c r="L55" s="461">
        <f t="shared" si="7"/>
        <v>1351045.6299999952</v>
      </c>
      <c r="M55" s="480">
        <f t="shared" si="2"/>
        <v>3.2516162694638862E-2</v>
      </c>
      <c r="N55" s="460">
        <f>'2025'!H55</f>
        <v>8280354.3400000008</v>
      </c>
      <c r="O55" s="460">
        <f>'2025'!H131</f>
        <v>9258152.0600000005</v>
      </c>
      <c r="P55" s="461">
        <f t="shared" si="6"/>
        <v>-977797.71999999974</v>
      </c>
      <c r="Q55" s="462">
        <f t="shared" si="3"/>
        <v>-0.1056147829138161</v>
      </c>
      <c r="R55" s="460">
        <f>'2024'!H55</f>
        <v>6742029.2100000009</v>
      </c>
      <c r="S55" s="461">
        <f t="shared" si="4"/>
        <v>1538325.13</v>
      </c>
      <c r="T55" s="480">
        <f t="shared" si="5"/>
        <v>0.22816945493477014</v>
      </c>
      <c r="W55" s="470"/>
      <c r="Y55" s="470"/>
    </row>
    <row r="56" spans="1:25">
      <c r="A56" s="129">
        <v>4611</v>
      </c>
      <c r="B56" s="562" t="str">
        <f>+VLOOKUP($A56,Master!$D$30:$G$226,4,FALSE)</f>
        <v>Otplata hartija od vrijednosti i kredita rezidentima</v>
      </c>
      <c r="C56" s="563"/>
      <c r="D56" s="563"/>
      <c r="E56" s="563"/>
      <c r="F56" s="563"/>
      <c r="G56" s="148">
        <f>'2025'!S56</f>
        <v>3690385.42</v>
      </c>
      <c r="H56" s="148">
        <f>SUM('2025'!G132:H132)</f>
        <v>3702228.01</v>
      </c>
      <c r="I56" s="197">
        <f t="shared" si="0"/>
        <v>-11842.589999999851</v>
      </c>
      <c r="J56" s="199">
        <f t="shared" si="1"/>
        <v>-3.1987738108004704E-3</v>
      </c>
      <c r="K56" s="148">
        <f>SUM('2024'!G56:H56)</f>
        <v>5449001.129999999</v>
      </c>
      <c r="L56" s="197">
        <f t="shared" si="7"/>
        <v>-1758615.709999999</v>
      </c>
      <c r="M56" s="201">
        <f t="shared" si="2"/>
        <v>-0.32274093325431175</v>
      </c>
      <c r="N56" s="148">
        <f>'2025'!H56</f>
        <v>1705490.1300000001</v>
      </c>
      <c r="O56" s="148">
        <f>'2025'!H132</f>
        <v>1708211.7699999998</v>
      </c>
      <c r="P56" s="197">
        <f t="shared" si="6"/>
        <v>-2721.6399999996647</v>
      </c>
      <c r="Q56" s="199">
        <f t="shared" si="3"/>
        <v>-1.5932684973828382E-3</v>
      </c>
      <c r="R56" s="148">
        <f>'2024'!H56</f>
        <v>2954245.6799999997</v>
      </c>
      <c r="S56" s="197">
        <f t="shared" si="4"/>
        <v>-1248755.5499999996</v>
      </c>
      <c r="T56" s="201">
        <f t="shared" si="5"/>
        <v>-0.42269861252703933</v>
      </c>
      <c r="W56" s="470"/>
      <c r="Y56" s="470"/>
    </row>
    <row r="57" spans="1:25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48">
        <f>'2025'!S57</f>
        <v>39210631.609999999</v>
      </c>
      <c r="H57" s="148">
        <f>SUM('2025'!G133:H133)</f>
        <v>40185707.689999998</v>
      </c>
      <c r="I57" s="197">
        <f t="shared" si="0"/>
        <v>-975076.07999999821</v>
      </c>
      <c r="J57" s="199">
        <f t="shared" si="1"/>
        <v>-2.4264250552010092E-2</v>
      </c>
      <c r="K57" s="148">
        <f>SUM('2024'!G57:H57)</f>
        <v>36100970.270000003</v>
      </c>
      <c r="L57" s="197">
        <f t="shared" si="7"/>
        <v>3109661.3399999961</v>
      </c>
      <c r="M57" s="201">
        <f t="shared" si="2"/>
        <v>8.6137888171502475E-2</v>
      </c>
      <c r="N57" s="148">
        <f>'2025'!H57</f>
        <v>6574864.2100000009</v>
      </c>
      <c r="O57" s="148">
        <f>'2025'!H133</f>
        <v>7549940.29</v>
      </c>
      <c r="P57" s="197">
        <f t="shared" si="6"/>
        <v>-975076.07999999914</v>
      </c>
      <c r="Q57" s="199">
        <f t="shared" si="3"/>
        <v>-0.12915017106711435</v>
      </c>
      <c r="R57" s="148">
        <f>'2024'!H57</f>
        <v>3787783.5300000007</v>
      </c>
      <c r="S57" s="197">
        <f t="shared" si="4"/>
        <v>2787080.68</v>
      </c>
      <c r="T57" s="201">
        <f t="shared" si="5"/>
        <v>0.7358078036735114</v>
      </c>
      <c r="W57" s="470"/>
      <c r="Y57" s="470"/>
    </row>
    <row r="58" spans="1:25" ht="15.75" thickBot="1">
      <c r="A58" s="129">
        <v>4418</v>
      </c>
      <c r="B58" s="590" t="str">
        <f>+VLOOKUP($A58,Master!$D$30:$G$226,4,FALSE)</f>
        <v>Izdaci za kupovinu hartija od vrijednosti</v>
      </c>
      <c r="C58" s="591"/>
      <c r="D58" s="591"/>
      <c r="E58" s="591"/>
      <c r="F58" s="591"/>
      <c r="G58" s="313">
        <f>'2025'!S58</f>
        <v>0</v>
      </c>
      <c r="H58" s="313">
        <f>SUM('2025'!G134:H134)</f>
        <v>5000</v>
      </c>
      <c r="I58" s="314">
        <f t="shared" ref="I58:I66" si="9">+G58-H58</f>
        <v>-5000</v>
      </c>
      <c r="J58" s="315">
        <f t="shared" si="1"/>
        <v>-1</v>
      </c>
      <c r="K58" s="313">
        <f>SUM('2024'!G58:H58)</f>
        <v>0</v>
      </c>
      <c r="L58" s="314">
        <f t="shared" ref="L58:L66" si="10">+G58-K58</f>
        <v>0</v>
      </c>
      <c r="M58" s="481" t="str">
        <f t="shared" si="2"/>
        <v>...</v>
      </c>
      <c r="N58" s="313">
        <f>'2025'!H58</f>
        <v>0</v>
      </c>
      <c r="O58" s="313">
        <f>'2025'!H134</f>
        <v>5000</v>
      </c>
      <c r="P58" s="314">
        <f t="shared" ref="P58:P66" si="11">+N58-O58</f>
        <v>-5000</v>
      </c>
      <c r="Q58" s="315">
        <f t="shared" si="3"/>
        <v>-1</v>
      </c>
      <c r="R58" s="313">
        <f>'2024'!H58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313">
        <f>'2025'!S59</f>
        <v>1478222</v>
      </c>
      <c r="H59" s="313">
        <f>SUM('2025'!G135:H135)</f>
        <v>1500000</v>
      </c>
      <c r="I59" s="314">
        <f t="shared" si="9"/>
        <v>-21778</v>
      </c>
      <c r="J59" s="315">
        <f t="shared" si="1"/>
        <v>-1.451866666666668E-2</v>
      </c>
      <c r="K59" s="313">
        <f>SUM('2024'!G59:H59)</f>
        <v>1226031.6099999999</v>
      </c>
      <c r="L59" s="314">
        <f t="shared" si="10"/>
        <v>252190.39000000013</v>
      </c>
      <c r="M59" s="481">
        <f t="shared" si="2"/>
        <v>0.20569648281743746</v>
      </c>
      <c r="N59" s="313">
        <f>'2025'!H59</f>
        <v>1478222</v>
      </c>
      <c r="O59" s="313">
        <f>'2025'!H135</f>
        <v>1500000</v>
      </c>
      <c r="P59" s="314">
        <f t="shared" si="11"/>
        <v>-21778</v>
      </c>
      <c r="Q59" s="315">
        <f t="shared" si="3"/>
        <v>-1.451866666666668E-2</v>
      </c>
      <c r="R59" s="313">
        <f>'2024'!H59</f>
        <v>511310</v>
      </c>
      <c r="S59" s="314">
        <f t="shared" si="12"/>
        <v>966912</v>
      </c>
      <c r="T59" s="481">
        <f t="shared" si="5"/>
        <v>1.8910484833075825</v>
      </c>
      <c r="W59" s="470"/>
      <c r="Y59" s="470"/>
    </row>
    <row r="60" spans="1:25" ht="15.7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98">
        <f>'2025'!S60</f>
        <v>-76513294.370000005</v>
      </c>
      <c r="H60" s="298">
        <f>SUM('2025'!G136:H136)</f>
        <v>-148902233.68729854</v>
      </c>
      <c r="I60" s="300">
        <f t="shared" si="9"/>
        <v>72388939.317298532</v>
      </c>
      <c r="J60" s="301">
        <f t="shared" si="1"/>
        <v>-0.48615079522123616</v>
      </c>
      <c r="K60" s="298">
        <f>SUM('2024'!G60:H60)</f>
        <v>-63870666.209999964</v>
      </c>
      <c r="L60" s="300">
        <f>+G60-K60</f>
        <v>-12642628.160000041</v>
      </c>
      <c r="M60" s="482">
        <f t="shared" si="2"/>
        <v>0.19794107232939173</v>
      </c>
      <c r="N60" s="298">
        <f>'2025'!H60</f>
        <v>-44225169.460000008</v>
      </c>
      <c r="O60" s="298">
        <f>'2025'!H136</f>
        <v>-59201587.007298499</v>
      </c>
      <c r="P60" s="300">
        <f t="shared" si="11"/>
        <v>14976417.547298491</v>
      </c>
      <c r="Q60" s="301">
        <f t="shared" si="3"/>
        <v>-0.25297324454245063</v>
      </c>
      <c r="R60" s="298">
        <f>'2024'!H60</f>
        <v>-41361812.239999972</v>
      </c>
      <c r="S60" s="300">
        <f t="shared" si="12"/>
        <v>-2863357.2200000361</v>
      </c>
      <c r="T60" s="482">
        <f t="shared" si="5"/>
        <v>6.9227073595942601E-2</v>
      </c>
      <c r="W60" s="470"/>
      <c r="Y60" s="470"/>
    </row>
    <row r="61" spans="1:25" ht="15.7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'2025'!S61</f>
        <v>76513294.370000005</v>
      </c>
      <c r="H61" s="136">
        <f>SUM('2025'!G137:H137)</f>
        <v>148902233.68729854</v>
      </c>
      <c r="I61" s="299">
        <f t="shared" si="9"/>
        <v>-72388939.317298532</v>
      </c>
      <c r="J61" s="302">
        <f t="shared" si="1"/>
        <v>-0.48615079522123616</v>
      </c>
      <c r="K61" s="136">
        <f>SUM('2024'!G61:H61)</f>
        <v>63870666.209999964</v>
      </c>
      <c r="L61" s="299">
        <f t="shared" si="10"/>
        <v>12642628.160000041</v>
      </c>
      <c r="M61" s="483">
        <f t="shared" si="2"/>
        <v>0.19794107232939173</v>
      </c>
      <c r="N61" s="136">
        <f>'2025'!H61</f>
        <v>44225169.460000008</v>
      </c>
      <c r="O61" s="136">
        <f>'2025'!H137</f>
        <v>59201587.007298499</v>
      </c>
      <c r="P61" s="300">
        <f t="shared" si="11"/>
        <v>-14976417.547298491</v>
      </c>
      <c r="Q61" s="302">
        <f t="shared" si="3"/>
        <v>-0.25297324454245063</v>
      </c>
      <c r="R61" s="136">
        <f>'2024'!H61</f>
        <v>41361812.239999972</v>
      </c>
      <c r="S61" s="299">
        <f t="shared" si="12"/>
        <v>2863357.2200000361</v>
      </c>
      <c r="T61" s="483">
        <f t="shared" si="5"/>
        <v>6.9227073595942601E-2</v>
      </c>
      <c r="W61" s="470"/>
      <c r="Y61" s="470"/>
    </row>
    <row r="62" spans="1:25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48">
        <f>'2025'!S62</f>
        <v>0</v>
      </c>
      <c r="H62" s="148">
        <f>SUM('2025'!G138:H138)</f>
        <v>0</v>
      </c>
      <c r="I62" s="197">
        <f t="shared" si="9"/>
        <v>0</v>
      </c>
      <c r="J62" s="199" t="str">
        <f t="shared" si="1"/>
        <v>...</v>
      </c>
      <c r="K62" s="148">
        <f>SUM('2024'!G62:H62)</f>
        <v>0</v>
      </c>
      <c r="L62" s="197">
        <f t="shared" si="10"/>
        <v>0</v>
      </c>
      <c r="M62" s="201" t="str">
        <f t="shared" si="2"/>
        <v>...</v>
      </c>
      <c r="N62" s="148">
        <f>'2025'!H62</f>
        <v>0</v>
      </c>
      <c r="O62" s="148">
        <f>'2025'!H138</f>
        <v>0</v>
      </c>
      <c r="P62" s="197">
        <f t="shared" si="11"/>
        <v>0</v>
      </c>
      <c r="Q62" s="199" t="str">
        <f t="shared" si="3"/>
        <v>...</v>
      </c>
      <c r="R62" s="148">
        <f>'2024'!H62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148">
        <f>'2025'!S63</f>
        <v>14225051.699999999</v>
      </c>
      <c r="H63" s="148">
        <f>SUM('2025'!G139:H139)</f>
        <v>0</v>
      </c>
      <c r="I63" s="197">
        <f t="shared" si="9"/>
        <v>14225051.699999999</v>
      </c>
      <c r="J63" s="199" t="str">
        <f t="shared" si="1"/>
        <v>...</v>
      </c>
      <c r="K63" s="148">
        <f>SUM('2024'!G63:H63)</f>
        <v>3350141.27</v>
      </c>
      <c r="L63" s="197">
        <f t="shared" si="10"/>
        <v>10874910.43</v>
      </c>
      <c r="M63" s="201" t="str">
        <f t="shared" si="2"/>
        <v>...</v>
      </c>
      <c r="N63" s="148">
        <f>'2025'!H63</f>
        <v>12400327.83</v>
      </c>
      <c r="O63" s="148">
        <f>'2025'!H139</f>
        <v>0</v>
      </c>
      <c r="P63" s="197">
        <f t="shared" si="11"/>
        <v>12400327.83</v>
      </c>
      <c r="Q63" s="199" t="str">
        <f t="shared" si="3"/>
        <v>...</v>
      </c>
      <c r="R63" s="148">
        <f>'2024'!H63</f>
        <v>1779527.23</v>
      </c>
      <c r="S63" s="197">
        <f t="shared" si="12"/>
        <v>10620800.6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48">
        <f>'2025'!S64</f>
        <v>539797.4</v>
      </c>
      <c r="H64" s="148">
        <f>SUM('2025'!G140:H140)</f>
        <v>1000000</v>
      </c>
      <c r="I64" s="197">
        <f t="shared" si="9"/>
        <v>-460202.6</v>
      </c>
      <c r="J64" s="199">
        <f t="shared" si="1"/>
        <v>-0.46020260000000002</v>
      </c>
      <c r="K64" s="148">
        <f>SUM('2024'!G64:H64)</f>
        <v>252247.26</v>
      </c>
      <c r="L64" s="197">
        <f t="shared" si="10"/>
        <v>287550.14</v>
      </c>
      <c r="M64" s="201">
        <f t="shared" si="2"/>
        <v>1.139953472636333</v>
      </c>
      <c r="N64" s="148">
        <f>'2025'!H64</f>
        <v>433611.13</v>
      </c>
      <c r="O64" s="148">
        <f>'2025'!H140</f>
        <v>500000</v>
      </c>
      <c r="P64" s="197">
        <f t="shared" si="11"/>
        <v>-66388.87</v>
      </c>
      <c r="Q64" s="199">
        <f t="shared" si="3"/>
        <v>-0.13277773999999998</v>
      </c>
      <c r="R64" s="148">
        <f>'2024'!H64</f>
        <v>223106.54</v>
      </c>
      <c r="S64" s="197">
        <f t="shared" si="12"/>
        <v>210504.59</v>
      </c>
      <c r="T64" s="201">
        <f t="shared" si="5"/>
        <v>0.94351599912759165</v>
      </c>
      <c r="W64" s="470"/>
      <c r="Y64" s="470"/>
    </row>
    <row r="65" spans="1:25">
      <c r="A65" s="129">
        <v>73</v>
      </c>
      <c r="B65" s="562" t="str">
        <f>+VLOOKUP($A65,Master!$D$30:$G$226,4,FALSE)</f>
        <v>Primici od otplate kredita i sredstva prenesena iz prethodne godine</v>
      </c>
      <c r="C65" s="563"/>
      <c r="D65" s="563"/>
      <c r="E65" s="563"/>
      <c r="F65" s="563"/>
      <c r="G65" s="148">
        <f>'2025'!S65</f>
        <v>3612150.79</v>
      </c>
      <c r="H65" s="148">
        <f>SUM('2025'!G141:H141)</f>
        <v>527495.44963042066</v>
      </c>
      <c r="I65" s="197">
        <f t="shared" si="9"/>
        <v>3084655.3403695794</v>
      </c>
      <c r="J65" s="199" t="str">
        <f t="shared" si="1"/>
        <v>...</v>
      </c>
      <c r="K65" s="148">
        <f>SUM('2024'!G65:H65)</f>
        <v>4438481.3600000003</v>
      </c>
      <c r="L65" s="197">
        <f t="shared" si="10"/>
        <v>-826330.5700000003</v>
      </c>
      <c r="M65" s="201">
        <f t="shared" si="2"/>
        <v>-0.18617416701283618</v>
      </c>
      <c r="N65" s="148">
        <f>'2025'!H65</f>
        <v>678005.91</v>
      </c>
      <c r="O65" s="148">
        <f>'2025'!H141</f>
        <v>445973.11311571056</v>
      </c>
      <c r="P65" s="197">
        <f t="shared" si="11"/>
        <v>232032.79688428948</v>
      </c>
      <c r="Q65" s="199">
        <f t="shared" si="3"/>
        <v>0.52028427288639501</v>
      </c>
      <c r="R65" s="148">
        <f>'2024'!H65</f>
        <v>1296535.4000000001</v>
      </c>
      <c r="S65" s="197">
        <f t="shared" si="12"/>
        <v>-618529.49000000011</v>
      </c>
      <c r="T65" s="201">
        <f t="shared" si="5"/>
        <v>-0.47706332584517175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58136294.480000004</v>
      </c>
      <c r="H66" s="296">
        <f>SUM('2025'!G142:H142)</f>
        <v>147374738.23766813</v>
      </c>
      <c r="I66" s="211">
        <f t="shared" si="9"/>
        <v>-89238443.757668123</v>
      </c>
      <c r="J66" s="213">
        <f t="shared" si="1"/>
        <v>-0.60552062602313272</v>
      </c>
      <c r="K66" s="296">
        <f>SUM('2024'!G66:H66)</f>
        <v>55829796.319999963</v>
      </c>
      <c r="L66" s="211">
        <f t="shared" si="10"/>
        <v>2306498.1600000411</v>
      </c>
      <c r="M66" s="215">
        <f t="shared" si="2"/>
        <v>4.1313031965581004E-2</v>
      </c>
      <c r="N66" s="296">
        <f>'2025'!H66</f>
        <v>30713224.590000007</v>
      </c>
      <c r="O66" s="296">
        <f>'2025'!H142</f>
        <v>58255613.894182786</v>
      </c>
      <c r="P66" s="211">
        <f t="shared" si="11"/>
        <v>-27542389.304182779</v>
      </c>
      <c r="Q66" s="213">
        <f t="shared" si="3"/>
        <v>-0.47278515258995613</v>
      </c>
      <c r="R66" s="296">
        <f>'2024'!H66</f>
        <v>38062643.06999997</v>
      </c>
      <c r="S66" s="211">
        <f t="shared" si="12"/>
        <v>-7349418.4799999632</v>
      </c>
      <c r="T66" s="215">
        <f t="shared" si="5"/>
        <v>-0.19308744446579418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JzyxYBxkorhYCNifBYLurdRo71VoPTmz+vIM4z5pf0g4BjKnnURjqjfazxfzjPieX7RuSFd20dH/tKOjJ/ov4A==" saltValue="HXtzHXxCvfDrA2wWygA2ww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topLeftCell="Q1" zoomScale="90" zoomScaleNormal="90" workbookViewId="0">
      <pane ySplit="1" topLeftCell="A2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2024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7459213000</v>
      </c>
    </row>
    <row r="8" spans="1:24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4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513">
        <f>G11+G19+G24+G25+G26+G27+G28</f>
        <v>150930823.46000001</v>
      </c>
      <c r="H10" s="513">
        <f t="shared" ref="H10:L10" si="2">+H11+H19+SUM(H24:H28)</f>
        <v>180248667.54000002</v>
      </c>
      <c r="I10" s="513">
        <f t="shared" si="2"/>
        <v>244547117.82000002</v>
      </c>
      <c r="J10" s="513">
        <f t="shared" si="2"/>
        <v>317572444.20999998</v>
      </c>
      <c r="K10" s="513">
        <f t="shared" si="2"/>
        <v>195199291.53999999</v>
      </c>
      <c r="L10" s="513">
        <f t="shared" si="2"/>
        <v>222631238.46000001</v>
      </c>
      <c r="M10" s="513">
        <f t="shared" ref="M10:R10" si="3">+M11+M19+SUM(M24:M28)</f>
        <v>263240821.07000005</v>
      </c>
      <c r="N10" s="513">
        <f t="shared" si="3"/>
        <v>254940204.98000002</v>
      </c>
      <c r="O10" s="513">
        <f t="shared" si="3"/>
        <v>247912124.41</v>
      </c>
      <c r="P10" s="513">
        <f t="shared" si="3"/>
        <v>241537495.28</v>
      </c>
      <c r="Q10" s="513">
        <f t="shared" si="3"/>
        <v>178985113.79999998</v>
      </c>
      <c r="R10" s="513">
        <f t="shared" si="3"/>
        <v>257322530.34999999</v>
      </c>
      <c r="S10" s="514">
        <f>+SUM(G10:R10)</f>
        <v>2755067872.9200001</v>
      </c>
      <c r="T10" s="515">
        <f>+S10/$T$7*100</f>
        <v>36.935101235478861</v>
      </c>
      <c r="V10" s="493"/>
    </row>
    <row r="11" spans="1:24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516">
        <f t="shared" ref="G11:I11" si="4">+SUM(G12:G18)</f>
        <v>122011952.05999999</v>
      </c>
      <c r="H11" s="516">
        <f t="shared" si="4"/>
        <v>121308599.17000002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176287449.87000003</v>
      </c>
      <c r="N11" s="516">
        <f t="shared" si="5"/>
        <v>187772027.16000003</v>
      </c>
      <c r="O11" s="516">
        <f t="shared" si="5"/>
        <v>174666714.86000001</v>
      </c>
      <c r="P11" s="516">
        <f t="shared" si="5"/>
        <v>170940704.73000002</v>
      </c>
      <c r="Q11" s="516">
        <f t="shared" si="5"/>
        <v>130980738.95999998</v>
      </c>
      <c r="R11" s="517">
        <f t="shared" si="5"/>
        <v>168637973.13</v>
      </c>
      <c r="S11" s="518">
        <f>+SUM(G11:R11)</f>
        <v>1968599583.2600002</v>
      </c>
      <c r="T11" s="519">
        <f t="shared" ref="T11:T66" si="6">+S11/$T$7*100</f>
        <v>26.391518559129501</v>
      </c>
      <c r="V11" s="276"/>
    </row>
    <row r="12" spans="1:24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499">
        <v>1998079.15</v>
      </c>
      <c r="H12" s="499">
        <v>6162755.9100000001</v>
      </c>
      <c r="I12" s="499">
        <v>6774640.8399999999</v>
      </c>
      <c r="J12" s="499">
        <v>9120679.6699999999</v>
      </c>
      <c r="K12" s="499">
        <v>7999182.8499999996</v>
      </c>
      <c r="L12" s="148">
        <v>5714143.4299999997</v>
      </c>
      <c r="M12" s="148">
        <v>8103849.4699999997</v>
      </c>
      <c r="N12" s="148">
        <v>7506393.2000000002</v>
      </c>
      <c r="O12" s="148">
        <v>6129815.1900000004</v>
      </c>
      <c r="P12" s="148">
        <v>10490866.800000001</v>
      </c>
      <c r="Q12" s="148">
        <v>5042014.29</v>
      </c>
      <c r="R12" s="148">
        <v>13112925.42</v>
      </c>
      <c r="S12" s="227">
        <f>+SUM(G12:R12)</f>
        <v>88155346.220000014</v>
      </c>
      <c r="T12" s="436">
        <f t="shared" si="6"/>
        <v>1.1818317323824914</v>
      </c>
    </row>
    <row r="13" spans="1:24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499">
        <v>1951464.9</v>
      </c>
      <c r="H13" s="499">
        <v>5771727.9400000004</v>
      </c>
      <c r="I13" s="499">
        <v>71210822.510000005</v>
      </c>
      <c r="J13" s="499">
        <v>100269900.84</v>
      </c>
      <c r="K13" s="499">
        <v>6533790.1500000004</v>
      </c>
      <c r="L13" s="148">
        <v>5452063.1399999997</v>
      </c>
      <c r="M13" s="148">
        <v>6399901.1399999997</v>
      </c>
      <c r="N13" s="148">
        <v>3297843.93</v>
      </c>
      <c r="O13" s="148">
        <v>3451625.75</v>
      </c>
      <c r="P13" s="148">
        <v>1559675.82</v>
      </c>
      <c r="Q13" s="148">
        <v>1503515.81</v>
      </c>
      <c r="R13" s="148">
        <v>6565545.0700000003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499">
        <v>91572726.909999996</v>
      </c>
      <c r="H15" s="499">
        <v>81980319.980000004</v>
      </c>
      <c r="I15" s="499">
        <v>78800496.590000004</v>
      </c>
      <c r="J15" s="499">
        <v>94537941.620000005</v>
      </c>
      <c r="K15" s="499">
        <v>88184792.75</v>
      </c>
      <c r="L15" s="148">
        <v>100885481.09</v>
      </c>
      <c r="M15" s="148">
        <v>119418214.70999999</v>
      </c>
      <c r="N15" s="148">
        <v>126480010.05</v>
      </c>
      <c r="O15" s="148">
        <v>119699878.62</v>
      </c>
      <c r="P15" s="148">
        <v>118929652.58</v>
      </c>
      <c r="Q15" s="148">
        <v>90529869.280000001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499">
        <v>22556344.960000001</v>
      </c>
      <c r="H16" s="499">
        <v>22366846.550000001</v>
      </c>
      <c r="I16" s="499">
        <v>21994790.370000001</v>
      </c>
      <c r="J16" s="499">
        <v>26932676.210000001</v>
      </c>
      <c r="K16" s="499">
        <v>31723753.75</v>
      </c>
      <c r="L16" s="148">
        <v>34644163.43</v>
      </c>
      <c r="M16" s="148">
        <v>34841981.670000002</v>
      </c>
      <c r="N16" s="148">
        <v>43213446.43</v>
      </c>
      <c r="O16" s="148">
        <v>38641287.920000002</v>
      </c>
      <c r="P16" s="148">
        <v>33032024.920000002</v>
      </c>
      <c r="Q16" s="148">
        <v>28020758.82</v>
      </c>
      <c r="R16" s="148">
        <v>30621579.68</v>
      </c>
      <c r="S16" s="227">
        <f t="shared" si="7"/>
        <v>368589654.71000004</v>
      </c>
      <c r="T16" s="436">
        <f t="shared" si="6"/>
        <v>4.9414013879212195</v>
      </c>
      <c r="V16" s="276"/>
      <c r="W16" s="276"/>
      <c r="X16" s="494"/>
    </row>
    <row r="17" spans="1:24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499">
        <v>2997811.11</v>
      </c>
      <c r="H17" s="499">
        <v>3849203.28</v>
      </c>
      <c r="I17" s="499">
        <v>4636318.09</v>
      </c>
      <c r="J17" s="499">
        <v>5632584.1600000001</v>
      </c>
      <c r="K17" s="499">
        <v>5010618.79</v>
      </c>
      <c r="L17" s="148">
        <v>5120393.08</v>
      </c>
      <c r="M17" s="148">
        <v>6113583.7999999998</v>
      </c>
      <c r="N17" s="148">
        <v>5829872.2699999996</v>
      </c>
      <c r="O17" s="148">
        <v>5498962.25</v>
      </c>
      <c r="P17" s="148">
        <v>5536331.3300000001</v>
      </c>
      <c r="Q17" s="148">
        <v>4591287.2699999996</v>
      </c>
      <c r="R17" s="148">
        <v>5559914.0899999999</v>
      </c>
      <c r="S17" s="227">
        <f t="shared" si="7"/>
        <v>60376879.519999996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499">
        <v>935525.03</v>
      </c>
      <c r="H18" s="499">
        <v>1177745.51</v>
      </c>
      <c r="I18" s="499">
        <v>1140306.55</v>
      </c>
      <c r="J18" s="499">
        <v>1213350.5</v>
      </c>
      <c r="K18" s="499">
        <v>1273370.29</v>
      </c>
      <c r="L18" s="148">
        <v>1187162.6200000001</v>
      </c>
      <c r="M18" s="148">
        <v>1409919.08</v>
      </c>
      <c r="N18" s="148">
        <v>1444461.28</v>
      </c>
      <c r="O18" s="148">
        <v>1245145.1299999999</v>
      </c>
      <c r="P18" s="148">
        <v>1392153.28</v>
      </c>
      <c r="Q18" s="148">
        <v>1293293.49</v>
      </c>
      <c r="R18" s="148">
        <v>1200461.8799999999</v>
      </c>
      <c r="S18" s="227">
        <f t="shared" si="7"/>
        <v>14912894.639999997</v>
      </c>
      <c r="T18" s="436">
        <f t="shared" si="6"/>
        <v>0.19992584526008303</v>
      </c>
      <c r="V18" s="276"/>
      <c r="W18" s="276"/>
      <c r="X18" s="494"/>
    </row>
    <row r="19" spans="1:24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520">
        <f t="shared" ref="G19" si="8">SUM(G20:G23)</f>
        <v>13548213.42</v>
      </c>
      <c r="H19" s="520">
        <f t="shared" ref="H19:L19" si="9">SUM(H20:H23)</f>
        <v>51209301.960000001</v>
      </c>
      <c r="I19" s="520">
        <f t="shared" si="9"/>
        <v>50079162.990000002</v>
      </c>
      <c r="J19" s="520">
        <f t="shared" si="9"/>
        <v>58312079.649999999</v>
      </c>
      <c r="K19" s="520">
        <f t="shared" si="9"/>
        <v>44239433.410000004</v>
      </c>
      <c r="L19" s="520">
        <f t="shared" si="9"/>
        <v>48567223.640000001</v>
      </c>
      <c r="M19" s="520">
        <f t="shared" ref="M19:R19" si="10">SUM(M20:M23)</f>
        <v>55016979.530000001</v>
      </c>
      <c r="N19" s="520">
        <f t="shared" si="10"/>
        <v>54498567.900000006</v>
      </c>
      <c r="O19" s="520">
        <f t="shared" si="10"/>
        <v>54697462.289999999</v>
      </c>
      <c r="P19" s="520">
        <f t="shared" si="10"/>
        <v>54762650.329999998</v>
      </c>
      <c r="Q19" s="520">
        <f t="shared" si="10"/>
        <v>37399955.219999999</v>
      </c>
      <c r="R19" s="520">
        <f t="shared" si="10"/>
        <v>62375513.169999994</v>
      </c>
      <c r="S19" s="521">
        <f t="shared" si="7"/>
        <v>584706543.50999999</v>
      </c>
      <c r="T19" s="522">
        <f t="shared" si="6"/>
        <v>7.8387162762345035</v>
      </c>
      <c r="V19" s="276"/>
      <c r="W19" s="276"/>
      <c r="X19" s="494"/>
    </row>
    <row r="20" spans="1:24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499">
        <v>12277377.310000001</v>
      </c>
      <c r="H20" s="499">
        <v>47091163.350000001</v>
      </c>
      <c r="I20" s="499">
        <v>45892077.740000002</v>
      </c>
      <c r="J20" s="499">
        <v>53612426.219999999</v>
      </c>
      <c r="K20" s="499">
        <v>40659761.590000004</v>
      </c>
      <c r="L20" s="148">
        <v>44568700.899999999</v>
      </c>
      <c r="M20" s="148">
        <v>50382564.299999997</v>
      </c>
      <c r="N20" s="148">
        <v>49830258.149999999</v>
      </c>
      <c r="O20" s="148">
        <v>50178879.670000002</v>
      </c>
      <c r="P20" s="148">
        <v>50008955.340000004</v>
      </c>
      <c r="Q20" s="148">
        <v>33816105.539999999</v>
      </c>
      <c r="R20" s="148">
        <v>54430290.539999999</v>
      </c>
      <c r="S20" s="227">
        <f>+SUM(G20:R20)</f>
        <v>532748560.6500001</v>
      </c>
      <c r="T20" s="436">
        <f t="shared" si="6"/>
        <v>7.1421550859319893</v>
      </c>
      <c r="V20" s="276"/>
      <c r="W20" s="276"/>
      <c r="X20" s="494"/>
    </row>
    <row r="21" spans="1:24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499">
        <v>307850.36</v>
      </c>
      <c r="H21" s="499">
        <v>382153.8</v>
      </c>
      <c r="I21" s="499">
        <v>494660.43</v>
      </c>
      <c r="J21" s="499">
        <v>456232.43</v>
      </c>
      <c r="K21" s="499">
        <v>296984.02</v>
      </c>
      <c r="L21" s="148">
        <v>372046.09</v>
      </c>
      <c r="M21" s="148">
        <v>516613.79</v>
      </c>
      <c r="N21" s="148">
        <v>463962.06</v>
      </c>
      <c r="O21" s="148">
        <v>380875.64</v>
      </c>
      <c r="P21" s="148">
        <v>631287.55000000005</v>
      </c>
      <c r="Q21" s="148">
        <v>382115.57</v>
      </c>
      <c r="R21" s="148">
        <v>739249.91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499">
        <v>569229.31000000006</v>
      </c>
      <c r="H22" s="499">
        <v>2203988.56</v>
      </c>
      <c r="I22" s="499">
        <v>2137007.6800000002</v>
      </c>
      <c r="J22" s="499">
        <v>2464722.08</v>
      </c>
      <c r="K22" s="499">
        <v>1910648.69</v>
      </c>
      <c r="L22" s="148">
        <v>2095564.37</v>
      </c>
      <c r="M22" s="148">
        <v>2381944.41</v>
      </c>
      <c r="N22" s="148">
        <v>2401758.41</v>
      </c>
      <c r="O22" s="148">
        <v>2372941.4300000002</v>
      </c>
      <c r="P22" s="148">
        <v>2360830.64</v>
      </c>
      <c r="Q22" s="148">
        <v>1848685.14</v>
      </c>
      <c r="R22" s="148">
        <v>4213340.57</v>
      </c>
      <c r="S22" s="227">
        <f t="shared" si="7"/>
        <v>26960661.290000003</v>
      </c>
      <c r="T22" s="436">
        <f t="shared" si="6"/>
        <v>0.36144109693609772</v>
      </c>
    </row>
    <row r="23" spans="1:24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499">
        <v>393756.44</v>
      </c>
      <c r="H23" s="499">
        <v>1531996.25</v>
      </c>
      <c r="I23" s="499">
        <v>1555417.14</v>
      </c>
      <c r="J23" s="499">
        <v>1778698.92</v>
      </c>
      <c r="K23" s="499">
        <v>1372039.11</v>
      </c>
      <c r="L23" s="148">
        <v>1530912.28</v>
      </c>
      <c r="M23" s="148">
        <v>1735857.03</v>
      </c>
      <c r="N23" s="148">
        <v>1802589.28</v>
      </c>
      <c r="O23" s="148">
        <v>1764765.55</v>
      </c>
      <c r="P23" s="148">
        <v>1761576.8</v>
      </c>
      <c r="Q23" s="148">
        <v>1353048.97</v>
      </c>
      <c r="R23" s="148">
        <v>2992632.15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859681.09</v>
      </c>
      <c r="H24" s="160">
        <v>998586.78</v>
      </c>
      <c r="I24" s="160">
        <v>986568.83000000007</v>
      </c>
      <c r="J24" s="160">
        <v>1424375.7499999998</v>
      </c>
      <c r="K24" s="160">
        <v>1250720.22</v>
      </c>
      <c r="L24" s="523">
        <v>1305037.74</v>
      </c>
      <c r="M24" s="523">
        <v>1842088.0599999998</v>
      </c>
      <c r="N24" s="523">
        <v>1839749.14</v>
      </c>
      <c r="O24" s="523">
        <v>1512960.99</v>
      </c>
      <c r="P24" s="523">
        <v>1483761.4700000002</v>
      </c>
      <c r="Q24" s="523">
        <v>1124852.74</v>
      </c>
      <c r="R24" s="523">
        <v>1603542.58</v>
      </c>
      <c r="S24" s="521">
        <f t="shared" si="7"/>
        <v>16231925.390000002</v>
      </c>
      <c r="T24" s="522">
        <f t="shared" si="6"/>
        <v>0.21760908811693677</v>
      </c>
    </row>
    <row r="25" spans="1:24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2491580.6799999997</v>
      </c>
      <c r="H25" s="160">
        <v>4111753.23</v>
      </c>
      <c r="I25" s="160">
        <v>3497306.59</v>
      </c>
      <c r="J25" s="160">
        <v>5307671.18</v>
      </c>
      <c r="K25" s="160">
        <v>3457943.4</v>
      </c>
      <c r="L25" s="523">
        <v>4104367.62</v>
      </c>
      <c r="M25" s="523">
        <v>6739444.4199999999</v>
      </c>
      <c r="N25" s="523">
        <v>3916013.25</v>
      </c>
      <c r="O25" s="523">
        <v>4184422.2199999997</v>
      </c>
      <c r="P25" s="523">
        <v>5561939.7699999996</v>
      </c>
      <c r="Q25" s="523">
        <v>4081588.3299999991</v>
      </c>
      <c r="R25" s="523">
        <v>5674135.9900000002</v>
      </c>
      <c r="S25" s="521">
        <f t="shared" si="7"/>
        <v>53128166.68</v>
      </c>
      <c r="T25" s="522">
        <f t="shared" si="6"/>
        <v>0.71224895548632272</v>
      </c>
    </row>
    <row r="26" spans="1:24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7787071.8500000006</v>
      </c>
      <c r="H26" s="160">
        <v>2506490.67</v>
      </c>
      <c r="I26" s="160">
        <v>2145824.85</v>
      </c>
      <c r="J26" s="160">
        <v>12834932.449999999</v>
      </c>
      <c r="K26" s="160">
        <v>3927502.05</v>
      </c>
      <c r="L26" s="523">
        <v>13138607.77</v>
      </c>
      <c r="M26" s="523">
        <v>20193025.280000001</v>
      </c>
      <c r="N26" s="523">
        <v>3567908.3099999996</v>
      </c>
      <c r="O26" s="523">
        <v>9668557.370000001</v>
      </c>
      <c r="P26" s="523">
        <v>3219272.99</v>
      </c>
      <c r="Q26" s="523">
        <v>2043908.05</v>
      </c>
      <c r="R26" s="523">
        <v>10514044.74</v>
      </c>
      <c r="S26" s="521">
        <f t="shared" si="7"/>
        <v>91547146.379999995</v>
      </c>
      <c r="T26" s="522">
        <f t="shared" si="6"/>
        <v>1.2273030195008507</v>
      </c>
    </row>
    <row r="27" spans="1:24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4232324.3600000003</v>
      </c>
      <c r="H28" s="160">
        <v>113935.73</v>
      </c>
      <c r="I28" s="160">
        <v>3280879.61</v>
      </c>
      <c r="J28" s="160">
        <v>1986252.18</v>
      </c>
      <c r="K28" s="160">
        <v>1598183.88</v>
      </c>
      <c r="L28" s="523">
        <v>2512594.9</v>
      </c>
      <c r="M28" s="523">
        <v>3161833.91</v>
      </c>
      <c r="N28" s="523">
        <v>3345939.22</v>
      </c>
      <c r="O28" s="523">
        <v>3182006.68</v>
      </c>
      <c r="P28" s="523">
        <v>5569165.9900000002</v>
      </c>
      <c r="Q28" s="523">
        <v>3354070.5</v>
      </c>
      <c r="R28" s="523">
        <v>8517320.7400000002</v>
      </c>
      <c r="S28" s="521">
        <f t="shared" si="7"/>
        <v>40854507.700000003</v>
      </c>
      <c r="T28" s="524">
        <f t="shared" si="6"/>
        <v>0.5477053370107543</v>
      </c>
    </row>
    <row r="29" spans="1:24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137917013.63</v>
      </c>
      <c r="H29" s="136">
        <f t="shared" ref="H29:L29" si="11">+H30+H40+H46+SUM(H47:H51)</f>
        <v>214357140.56999999</v>
      </c>
      <c r="I29" s="136">
        <f t="shared" si="11"/>
        <v>231119506.67999998</v>
      </c>
      <c r="J29" s="136">
        <f t="shared" si="11"/>
        <v>258880577.03999999</v>
      </c>
      <c r="K29" s="136">
        <f t="shared" si="11"/>
        <v>214022176.51000005</v>
      </c>
      <c r="L29" s="136">
        <f t="shared" si="11"/>
        <v>224344749.5</v>
      </c>
      <c r="M29" s="136">
        <f t="shared" ref="M29:R29" si="12">+M30+M40+M46+SUM(M47:M51)</f>
        <v>248903594.07999998</v>
      </c>
      <c r="N29" s="136">
        <f t="shared" si="12"/>
        <v>204255101.17999998</v>
      </c>
      <c r="O29" s="136">
        <f t="shared" si="12"/>
        <v>254448666.02999997</v>
      </c>
      <c r="P29" s="136">
        <f t="shared" si="12"/>
        <v>253534655.30999997</v>
      </c>
      <c r="Q29" s="136">
        <f t="shared" si="12"/>
        <v>255617995.34999996</v>
      </c>
      <c r="R29" s="136">
        <f t="shared" si="12"/>
        <v>488587091.8499999</v>
      </c>
      <c r="S29" s="525">
        <f t="shared" si="7"/>
        <v>2985988267.73</v>
      </c>
      <c r="T29" s="526">
        <f t="shared" si="6"/>
        <v>40.030875478820619</v>
      </c>
    </row>
    <row r="30" spans="1:24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" si="13">+SUM(G31:G39)</f>
        <v>61605376.840000004</v>
      </c>
      <c r="H30" s="172">
        <f t="shared" ref="H30:L30" si="14">+SUM(H31:H39)</f>
        <v>82044417.609999955</v>
      </c>
      <c r="I30" s="172">
        <f t="shared" si="14"/>
        <v>89984626.639999986</v>
      </c>
      <c r="J30" s="172">
        <f t="shared" si="14"/>
        <v>107677052.5</v>
      </c>
      <c r="K30" s="172">
        <f t="shared" si="14"/>
        <v>86442364.25000003</v>
      </c>
      <c r="L30" s="172">
        <f t="shared" si="14"/>
        <v>85962545.140000015</v>
      </c>
      <c r="M30" s="172">
        <f t="shared" ref="M30:R30" si="15">+SUM(M31:M39)</f>
        <v>88279555.040000021</v>
      </c>
      <c r="N30" s="172">
        <f t="shared" si="15"/>
        <v>78695582.790000007</v>
      </c>
      <c r="O30" s="172">
        <f t="shared" si="15"/>
        <v>109956476.82000002</v>
      </c>
      <c r="P30" s="172">
        <f t="shared" si="15"/>
        <v>104929268.66</v>
      </c>
      <c r="Q30" s="172">
        <f t="shared" si="15"/>
        <v>106663151.85999998</v>
      </c>
      <c r="R30" s="231">
        <f t="shared" si="15"/>
        <v>190222864.52999994</v>
      </c>
      <c r="S30" s="527">
        <f t="shared" si="7"/>
        <v>1192463282.6799998</v>
      </c>
      <c r="T30" s="519">
        <f t="shared" si="6"/>
        <v>15.986449008494594</v>
      </c>
      <c r="U30" s="472"/>
    </row>
    <row r="31" spans="1:24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499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59775787.140000023</v>
      </c>
      <c r="L31" s="499">
        <v>56818382.910000011</v>
      </c>
      <c r="M31" s="499">
        <v>56266659.160000019</v>
      </c>
      <c r="N31" s="499">
        <v>55237690.129999988</v>
      </c>
      <c r="O31" s="499">
        <v>57435269.210000031</v>
      </c>
      <c r="P31" s="499">
        <v>57178613.530000001</v>
      </c>
      <c r="Q31" s="499">
        <v>56317280.460000001</v>
      </c>
      <c r="R31" s="148">
        <v>57788253.059999973</v>
      </c>
      <c r="S31" s="227">
        <f t="shared" si="7"/>
        <v>675262883.24000013</v>
      </c>
      <c r="T31" s="436">
        <f t="shared" si="6"/>
        <v>9.0527363039505655</v>
      </c>
      <c r="U31" s="472"/>
    </row>
    <row r="32" spans="1:24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499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499">
        <v>1609176.6600000001</v>
      </c>
      <c r="M32" s="499">
        <v>1737204.9199999995</v>
      </c>
      <c r="N32" s="499">
        <v>1253291.9899999995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20705381.390000001</v>
      </c>
      <c r="T32" s="436">
        <f t="shared" si="6"/>
        <v>0.27758131306881839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499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499">
        <v>2355582.7499999995</v>
      </c>
      <c r="M33" s="499">
        <v>3351257.3600000003</v>
      </c>
      <c r="N33" s="499">
        <v>1740999.7799999998</v>
      </c>
      <c r="O33" s="499">
        <v>4493526.6500000013</v>
      </c>
      <c r="P33" s="499">
        <v>3461755.82</v>
      </c>
      <c r="Q33" s="499">
        <v>3009530.58</v>
      </c>
      <c r="R33" s="148">
        <v>9296726.089999998</v>
      </c>
      <c r="S33" s="227">
        <f t="shared" si="7"/>
        <v>40158186.759999998</v>
      </c>
      <c r="T33" s="436">
        <f t="shared" si="6"/>
        <v>0.53837029134306791</v>
      </c>
      <c r="U33" s="472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499">
        <v>768611.57000000007</v>
      </c>
      <c r="H34" s="499">
        <v>3306116.05</v>
      </c>
      <c r="I34" s="499">
        <v>6882103.8800000008</v>
      </c>
      <c r="J34" s="499">
        <v>6038423.1499999994</v>
      </c>
      <c r="K34" s="499">
        <v>4178033.2299999995</v>
      </c>
      <c r="L34" s="499">
        <v>5578834.5299999984</v>
      </c>
      <c r="M34" s="499">
        <v>6879280.6200000001</v>
      </c>
      <c r="N34" s="499">
        <v>3798717.7099999995</v>
      </c>
      <c r="O34" s="499">
        <v>4392465.6800000006</v>
      </c>
      <c r="P34" s="499">
        <v>7255308.7199999997</v>
      </c>
      <c r="Q34" s="499">
        <v>8218317.4400000013</v>
      </c>
      <c r="R34" s="148">
        <v>24152775.589999996</v>
      </c>
      <c r="S34" s="227">
        <f t="shared" si="7"/>
        <v>81448988.169999987</v>
      </c>
      <c r="T34" s="436">
        <f t="shared" si="6"/>
        <v>1.091924686558756</v>
      </c>
      <c r="U34" s="472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499">
        <v>4201.5999999999995</v>
      </c>
      <c r="H35" s="499">
        <v>1444596.6199999996</v>
      </c>
      <c r="I35" s="499">
        <v>1881519.3199999998</v>
      </c>
      <c r="J35" s="499">
        <v>3225908.9499999997</v>
      </c>
      <c r="K35" s="499">
        <v>504578.94999999995</v>
      </c>
      <c r="L35" s="499">
        <v>3145877.9800000004</v>
      </c>
      <c r="M35" s="499">
        <v>3731629.6500000004</v>
      </c>
      <c r="N35" s="499">
        <v>2811315.1200000006</v>
      </c>
      <c r="O35" s="499">
        <v>4062574.1599999997</v>
      </c>
      <c r="P35" s="499">
        <v>2530485.4200000004</v>
      </c>
      <c r="Q35" s="499">
        <v>2992759.4499999997</v>
      </c>
      <c r="R35" s="148">
        <v>7565106.5099999998</v>
      </c>
      <c r="S35" s="227">
        <f t="shared" si="7"/>
        <v>33900553.730000004</v>
      </c>
      <c r="T35" s="436">
        <f t="shared" si="6"/>
        <v>0.45447896085015943</v>
      </c>
      <c r="U35" s="47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499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499">
        <v>5854363.290000001</v>
      </c>
      <c r="M36" s="499">
        <v>3738849.7</v>
      </c>
      <c r="N36" s="499">
        <v>3977652.6799999997</v>
      </c>
      <c r="O36" s="499">
        <v>25966444.500000004</v>
      </c>
      <c r="P36" s="499">
        <v>14869850.659999998</v>
      </c>
      <c r="Q36" s="499">
        <v>13088141.829999998</v>
      </c>
      <c r="R36" s="148">
        <v>27216224.940000001</v>
      </c>
      <c r="S36" s="227">
        <f>+SUM(G36:R36)</f>
        <v>149283481.19</v>
      </c>
      <c r="T36" s="436">
        <f t="shared" si="6"/>
        <v>2.0013301830903609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996164.27000000025</v>
      </c>
      <c r="M37" s="499">
        <v>1022257.5800000003</v>
      </c>
      <c r="N37" s="499">
        <v>1097677.0900000001</v>
      </c>
      <c r="O37" s="499">
        <v>582375.03000000014</v>
      </c>
      <c r="P37" s="499">
        <v>871596.95000000019</v>
      </c>
      <c r="Q37" s="499">
        <v>1032976.0700000001</v>
      </c>
      <c r="R37" s="148">
        <v>3915830.2400000012</v>
      </c>
      <c r="S37" s="227">
        <f t="shared" si="7"/>
        <v>13883495.820000004</v>
      </c>
      <c r="T37" s="436">
        <f t="shared" si="6"/>
        <v>0.18612547758054374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499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499">
        <v>5603254.6099999957</v>
      </c>
      <c r="M38" s="499">
        <v>6020163.6199999992</v>
      </c>
      <c r="N38" s="499">
        <v>5377628.4600000018</v>
      </c>
      <c r="O38" s="499">
        <v>8420721.0699999966</v>
      </c>
      <c r="P38" s="499">
        <v>11936637.319999991</v>
      </c>
      <c r="Q38" s="499">
        <v>14006807.799999999</v>
      </c>
      <c r="R38" s="148">
        <v>17955567.600000001</v>
      </c>
      <c r="S38" s="227">
        <f t="shared" si="7"/>
        <v>88788160.519999951</v>
      </c>
      <c r="T38" s="436">
        <f t="shared" si="6"/>
        <v>1.1903153927900967</v>
      </c>
      <c r="U38" s="472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499">
        <v>98363.42</v>
      </c>
      <c r="H39" s="499">
        <v>7565592.3899999987</v>
      </c>
      <c r="I39" s="499">
        <v>5572488.7899999991</v>
      </c>
      <c r="J39" s="499">
        <v>4456229.17</v>
      </c>
      <c r="K39" s="499">
        <v>5359004.28</v>
      </c>
      <c r="L39" s="499">
        <v>4000908.1399999997</v>
      </c>
      <c r="M39" s="499">
        <v>5532252.4299999997</v>
      </c>
      <c r="N39" s="499">
        <v>3400609.830000001</v>
      </c>
      <c r="O39" s="499">
        <v>3066230.8499999996</v>
      </c>
      <c r="P39" s="499">
        <v>4835198.42</v>
      </c>
      <c r="Q39" s="499">
        <v>6182265.3500000006</v>
      </c>
      <c r="R39" s="148">
        <v>38963008.789999999</v>
      </c>
      <c r="S39" s="227">
        <f t="shared" si="7"/>
        <v>89032151.859999999</v>
      </c>
      <c r="T39" s="436">
        <f t="shared" si="6"/>
        <v>1.1935863992622278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88657241.409999952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86739794.689999983</v>
      </c>
      <c r="Q40" s="178">
        <f t="shared" si="17"/>
        <v>88251296.139999986</v>
      </c>
      <c r="R40" s="178">
        <f t="shared" si="17"/>
        <v>93256353.089999989</v>
      </c>
      <c r="S40" s="528">
        <f t="shared" si="7"/>
        <v>1008229217.2699997</v>
      </c>
      <c r="T40" s="529">
        <f t="shared" si="6"/>
        <v>13.516562903754052</v>
      </c>
      <c r="U40" s="472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18980290.810000002</v>
      </c>
      <c r="Q41" s="499">
        <v>20373669.920000002</v>
      </c>
      <c r="R41" s="148">
        <v>17695774.5</v>
      </c>
      <c r="S41" s="227">
        <f t="shared" si="7"/>
        <v>213056822.80000001</v>
      </c>
      <c r="T41" s="436">
        <f t="shared" si="6"/>
        <v>2.856290908973909</v>
      </c>
      <c r="U41" s="47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61550827.919999957</v>
      </c>
      <c r="N43" s="499">
        <v>62111987.969999999</v>
      </c>
      <c r="O43" s="499">
        <v>62041259.769999973</v>
      </c>
      <c r="P43" s="499">
        <v>62741828.979999974</v>
      </c>
      <c r="Q43" s="499">
        <v>62810408.869999982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499">
        <v>893164.23999999976</v>
      </c>
      <c r="H44" s="499">
        <v>857362.14999999979</v>
      </c>
      <c r="I44" s="499">
        <v>1257824.81</v>
      </c>
      <c r="J44" s="499">
        <v>1233497.5799999998</v>
      </c>
      <c r="K44" s="499">
        <v>1005825.6499999999</v>
      </c>
      <c r="L44" s="499">
        <v>1033640.7399999999</v>
      </c>
      <c r="M44" s="499">
        <v>6613796.0999999996</v>
      </c>
      <c r="N44" s="499">
        <v>1831545.6900000004</v>
      </c>
      <c r="O44" s="499">
        <v>1235670.44</v>
      </c>
      <c r="P44" s="499">
        <v>1750407.2900000003</v>
      </c>
      <c r="Q44" s="499">
        <v>1490076.6400000001</v>
      </c>
      <c r="R44" s="148">
        <v>2910809.95</v>
      </c>
      <c r="S44" s="227">
        <f t="shared" si="7"/>
        <v>22113621.280000001</v>
      </c>
      <c r="T44" s="436">
        <f t="shared" si="6"/>
        <v>0.2964605150704237</v>
      </c>
      <c r="U44" s="47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499">
        <v>34748.049999999996</v>
      </c>
      <c r="H45" s="499">
        <v>1222905.48</v>
      </c>
      <c r="I45" s="499">
        <v>2373259.1799999997</v>
      </c>
      <c r="J45" s="499">
        <v>1410333.5000000005</v>
      </c>
      <c r="K45" s="499">
        <v>1163295.2799999993</v>
      </c>
      <c r="L45" s="499">
        <v>1245194.8499999996</v>
      </c>
      <c r="M45" s="499">
        <v>1669001.2000000009</v>
      </c>
      <c r="N45" s="499">
        <v>679384.87999999989</v>
      </c>
      <c r="O45" s="499">
        <v>1758483.15</v>
      </c>
      <c r="P45" s="499">
        <v>1449378.3600000006</v>
      </c>
      <c r="Q45" s="499">
        <v>1884503.7700000007</v>
      </c>
      <c r="R45" s="148">
        <v>1742849.8100000003</v>
      </c>
      <c r="S45" s="227">
        <f t="shared" si="7"/>
        <v>16633337.510000005</v>
      </c>
      <c r="T45" s="436">
        <f t="shared" si="6"/>
        <v>0.22299051535329539</v>
      </c>
      <c r="U45" s="47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3021521.19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33632618.140000008</v>
      </c>
      <c r="M46" s="160">
        <v>42236253.310000002</v>
      </c>
      <c r="N46" s="160">
        <v>25401726.260000002</v>
      </c>
      <c r="O46" s="160">
        <v>33679241.530000001</v>
      </c>
      <c r="P46" s="160">
        <v>30731068.659999993</v>
      </c>
      <c r="Q46" s="160">
        <v>34754428.659999996</v>
      </c>
      <c r="R46" s="160">
        <v>86074511.290000021</v>
      </c>
      <c r="S46" s="521">
        <f t="shared" si="7"/>
        <v>429406210.39000005</v>
      </c>
      <c r="T46" s="522">
        <f t="shared" si="6"/>
        <v>5.7567227318753345</v>
      </c>
      <c r="U46" s="47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27899068.32</v>
      </c>
      <c r="Q47" s="160">
        <v>24238274.819999997</v>
      </c>
      <c r="R47" s="160">
        <v>91475231.98999998</v>
      </c>
      <c r="S47" s="521">
        <f t="shared" si="7"/>
        <v>280754371.82999992</v>
      </c>
      <c r="T47" s="522">
        <f t="shared" si="6"/>
        <v>3.7638605015033075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3778637.9000000004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2277126.5499999989</v>
      </c>
      <c r="N51" s="430">
        <v>644150.00000000012</v>
      </c>
      <c r="O51" s="430">
        <v>1059498.3099999998</v>
      </c>
      <c r="P51" s="430">
        <v>886392.03999999992</v>
      </c>
      <c r="Q51" s="430">
        <v>1087506.1600000001</v>
      </c>
      <c r="R51" s="430">
        <v>2189241.63</v>
      </c>
      <c r="S51" s="398">
        <f>+SUM(G51:R51)</f>
        <v>20476534.929999996</v>
      </c>
      <c r="T51" s="440">
        <f t="shared" si="6"/>
        <v>0.27451334249337023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" si="18">+G10-G29</f>
        <v>13013809.830000013</v>
      </c>
      <c r="H53" s="136">
        <f t="shared" ref="H53:L53" si="19">+H10-H29</f>
        <v>-34108473.029999971</v>
      </c>
      <c r="I53" s="136">
        <f t="shared" si="19"/>
        <v>13427611.140000045</v>
      </c>
      <c r="J53" s="136">
        <f t="shared" si="19"/>
        <v>58691867.169999987</v>
      </c>
      <c r="K53" s="136">
        <f t="shared" si="19"/>
        <v>-18822884.970000058</v>
      </c>
      <c r="L53" s="136">
        <f t="shared" si="19"/>
        <v>-1713511.0399999917</v>
      </c>
      <c r="M53" s="136">
        <f t="shared" ref="M53:R53" si="20">+M10-M29</f>
        <v>14337226.990000069</v>
      </c>
      <c r="N53" s="136">
        <f t="shared" si="20"/>
        <v>50685103.800000042</v>
      </c>
      <c r="O53" s="136">
        <f t="shared" si="20"/>
        <v>-6536541.619999975</v>
      </c>
      <c r="P53" s="136">
        <f t="shared" si="20"/>
        <v>-11997160.029999971</v>
      </c>
      <c r="Q53" s="136">
        <f t="shared" si="20"/>
        <v>-76632881.549999982</v>
      </c>
      <c r="R53" s="136">
        <f t="shared" si="20"/>
        <v>-231264561.49999991</v>
      </c>
      <c r="S53" s="530">
        <f>SUM(G53:R53)</f>
        <v>-230920394.8099997</v>
      </c>
      <c r="T53" s="531">
        <f t="shared" si="6"/>
        <v>-3.0957742433417534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" si="21">+G53+G36</f>
        <v>17043139.300000012</v>
      </c>
      <c r="H54" s="190">
        <f t="shared" ref="H54:L54" si="22">+H53+H36</f>
        <v>-29979281.06999997</v>
      </c>
      <c r="I54" s="190">
        <f t="shared" si="22"/>
        <v>20615459.830000043</v>
      </c>
      <c r="J54" s="190">
        <f t="shared" si="22"/>
        <v>89844724.049999982</v>
      </c>
      <c r="K54" s="190">
        <f t="shared" si="22"/>
        <v>-10750158.380000059</v>
      </c>
      <c r="L54" s="190">
        <f t="shared" si="22"/>
        <v>4140852.2500000093</v>
      </c>
      <c r="M54" s="190">
        <f t="shared" ref="M54:R54" si="23">+M53+M36</f>
        <v>18076076.690000068</v>
      </c>
      <c r="N54" s="190">
        <f t="shared" si="23"/>
        <v>54662756.480000041</v>
      </c>
      <c r="O54" s="190">
        <f t="shared" si="23"/>
        <v>19429902.880000029</v>
      </c>
      <c r="P54" s="190">
        <f t="shared" si="23"/>
        <v>2872690.6300000269</v>
      </c>
      <c r="Q54" s="190">
        <f t="shared" si="23"/>
        <v>-63544739.719999984</v>
      </c>
      <c r="R54" s="190">
        <f t="shared" si="23"/>
        <v>-204048336.55999991</v>
      </c>
      <c r="S54" s="530">
        <f t="shared" si="7"/>
        <v>-81636913.619999692</v>
      </c>
      <c r="T54" s="531">
        <f t="shared" si="6"/>
        <v>-1.0944440602513923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7153919.7600000007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495639249.9600001</v>
      </c>
      <c r="T55" s="533">
        <f t="shared" si="6"/>
        <v>6.6446587590406665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554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9977859.9299999978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554">
        <v>32313186.740000002</v>
      </c>
      <c r="H57" s="554">
        <v>3787783.5300000007</v>
      </c>
      <c r="I57" s="554">
        <v>36279673.010000005</v>
      </c>
      <c r="J57" s="554">
        <v>21526960.279999997</v>
      </c>
      <c r="K57" s="554">
        <v>29335488.09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4512450.24</v>
      </c>
      <c r="Q57" s="554">
        <v>46829980.980000004</v>
      </c>
      <c r="R57" s="196">
        <v>23391696.940000001</v>
      </c>
      <c r="S57" s="235">
        <f t="shared" si="7"/>
        <v>288874924.92000002</v>
      </c>
      <c r="T57" s="444">
        <f t="shared" si="6"/>
        <v>3.8727265854990334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0</v>
      </c>
      <c r="O59" s="499">
        <v>841263.3</v>
      </c>
      <c r="P59" s="499">
        <v>716355.96</v>
      </c>
      <c r="Q59" s="499">
        <v>341199.15</v>
      </c>
      <c r="R59" s="432">
        <v>1073189.8700000001</v>
      </c>
      <c r="S59" s="532">
        <f>SUM(G59:R59)</f>
        <v>7895734.4800000004</v>
      </c>
      <c r="T59" s="534">
        <f t="shared" si="6"/>
        <v>0.10585211174422825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-22508853.969999991</v>
      </c>
      <c r="H60" s="202">
        <f t="shared" ref="H60:L60" si="27">+H53-H55-H58-H59</f>
        <v>-41361812.239999972</v>
      </c>
      <c r="I60" s="202">
        <f t="shared" si="27"/>
        <v>-48653781.18999996</v>
      </c>
      <c r="J60" s="202">
        <f t="shared" si="27"/>
        <v>-59447143.130000018</v>
      </c>
      <c r="K60" s="202">
        <f t="shared" si="27"/>
        <v>-60179882.650000058</v>
      </c>
      <c r="L60" s="202">
        <f t="shared" si="27"/>
        <v>-53012930.079999991</v>
      </c>
      <c r="M60" s="202">
        <f t="shared" ref="M60" si="28">+M53-M55-M58-M59</f>
        <v>-21136417.299999934</v>
      </c>
      <c r="N60" s="202">
        <f t="shared" ref="N60" si="29">+N53-N55-N58-N59</f>
        <v>43103792.530000038</v>
      </c>
      <c r="O60" s="202">
        <f t="shared" ref="O60" si="30">+O53-O55-O58-O59</f>
        <v>-51903447.959999971</v>
      </c>
      <c r="P60" s="202">
        <f t="shared" ref="P60" si="31">+P53-P55-P58-P59</f>
        <v>-19870540.749999974</v>
      </c>
      <c r="Q60" s="202">
        <f t="shared" ref="Q60" si="32">+Q53-Q55-Q58-Q59</f>
        <v>-133781921.60999998</v>
      </c>
      <c r="R60" s="202">
        <f t="shared" ref="R60:S60" si="33">+R53-R55-R58-R59</f>
        <v>-268972004.3499999</v>
      </c>
      <c r="S60" s="532">
        <f t="shared" si="33"/>
        <v>-737724942.69999981</v>
      </c>
      <c r="T60" s="535">
        <f t="shared" si="6"/>
        <v>-9.8901176665688428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22508853.969999991</v>
      </c>
      <c r="H61" s="136">
        <f t="shared" ref="H61:L61" si="34">+SUM(H62:H66)</f>
        <v>41361812.239999972</v>
      </c>
      <c r="I61" s="136">
        <f t="shared" si="34"/>
        <v>48653781.189999938</v>
      </c>
      <c r="J61" s="136">
        <f t="shared" si="34"/>
        <v>59447143.130000025</v>
      </c>
      <c r="K61" s="136">
        <f t="shared" si="34"/>
        <v>60179882.650000058</v>
      </c>
      <c r="L61" s="136">
        <f t="shared" si="34"/>
        <v>53012930.079999991</v>
      </c>
      <c r="M61" s="136">
        <f t="shared" ref="M61:R61" si="35">+SUM(M62:M66)</f>
        <v>21136417.299999934</v>
      </c>
      <c r="N61" s="136">
        <f t="shared" si="35"/>
        <v>-43103792.530000038</v>
      </c>
      <c r="O61" s="136">
        <f t="shared" si="35"/>
        <v>51903447.959999971</v>
      </c>
      <c r="P61" s="136">
        <f t="shared" si="35"/>
        <v>19870540.749999974</v>
      </c>
      <c r="Q61" s="136">
        <f t="shared" si="35"/>
        <v>133781921.60999998</v>
      </c>
      <c r="R61" s="136">
        <f t="shared" si="35"/>
        <v>268972004.3499999</v>
      </c>
      <c r="S61" s="536">
        <f t="shared" si="7"/>
        <v>737724942.69999981</v>
      </c>
      <c r="T61" s="537">
        <f t="shared" si="6"/>
        <v>9.8901176665688428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554">
        <v>1570614.04</v>
      </c>
      <c r="H63" s="554">
        <v>1779527.23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5323879.3100000005</v>
      </c>
      <c r="N63" s="554">
        <v>98091.86</v>
      </c>
      <c r="O63" s="554">
        <v>4856753.8</v>
      </c>
      <c r="P63" s="554">
        <v>6239384.3199999994</v>
      </c>
      <c r="Q63" s="554">
        <v>10216784.279999999</v>
      </c>
      <c r="R63" s="196">
        <v>3834470.9</v>
      </c>
      <c r="S63" s="235">
        <f t="shared" si="7"/>
        <v>732900074.75999987</v>
      </c>
      <c r="T63" s="444">
        <f t="shared" si="6"/>
        <v>9.8254343287958115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96" t="s">
        <v>101</v>
      </c>
      <c r="C65" s="597"/>
      <c r="D65" s="597"/>
      <c r="E65" s="597"/>
      <c r="F65" s="597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482610.40999999992</v>
      </c>
      <c r="P65" s="160">
        <v>672233.76000000013</v>
      </c>
      <c r="Q65" s="160">
        <v>2331030.3800000004</v>
      </c>
      <c r="R65" s="160">
        <v>2884134.7699999996</v>
      </c>
      <c r="S65" s="228">
        <f t="shared" si="7"/>
        <v>20241376.960000001</v>
      </c>
      <c r="T65" s="437">
        <f t="shared" si="6"/>
        <v>0.27136075829983675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17767153.249999993</v>
      </c>
      <c r="H66" s="210">
        <f t="shared" ref="H66:L66" si="36">-H60-SUM(H62:H65)</f>
        <v>38062643.06999997</v>
      </c>
      <c r="I66" s="210">
        <f t="shared" si="36"/>
        <v>-643416237.55000007</v>
      </c>
      <c r="J66" s="210">
        <f t="shared" si="36"/>
        <v>53604360.51000002</v>
      </c>
      <c r="K66" s="210">
        <f t="shared" si="36"/>
        <v>58158936.530000061</v>
      </c>
      <c r="L66" s="210">
        <f t="shared" si="36"/>
        <v>47366948.649999991</v>
      </c>
      <c r="M66" s="210">
        <f t="shared" ref="M66:S66" si="37">-M60-SUM(M62:M65)</f>
        <v>12385279.359999932</v>
      </c>
      <c r="N66" s="210">
        <f t="shared" si="37"/>
        <v>-43872718.970000036</v>
      </c>
      <c r="O66" s="210">
        <f t="shared" si="37"/>
        <v>46512272.519999973</v>
      </c>
      <c r="P66" s="210">
        <f t="shared" si="37"/>
        <v>12830591.559999974</v>
      </c>
      <c r="Q66" s="210">
        <f t="shared" si="37"/>
        <v>121091237.16999999</v>
      </c>
      <c r="R66" s="210">
        <f t="shared" si="37"/>
        <v>261731450.4199999</v>
      </c>
      <c r="S66" s="238">
        <f t="shared" si="37"/>
        <v>-17778083.480000138</v>
      </c>
      <c r="T66" s="448">
        <f t="shared" si="6"/>
        <v>-0.23833725461385991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2024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7279700000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50"/>
  <sheetViews>
    <sheetView zoomScale="80" zoomScaleNormal="80" workbookViewId="0">
      <pane ySplit="1" topLeftCell="A2" activePane="bottomLeft" state="frozen"/>
      <selection pane="bottomLeft" activeCell="E5" sqref="E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2025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7965400000</v>
      </c>
    </row>
    <row r="8" spans="1:23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3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513">
        <f>G11+G19+G24+G25+G26+G27+G28</f>
        <v>156723084.38999996</v>
      </c>
      <c r="H10" s="513">
        <f t="shared" ref="H10:L10" si="1">+H11+H19+SUM(H24:H28)</f>
        <v>178294066.69000003</v>
      </c>
      <c r="I10" s="513">
        <f t="shared" si="1"/>
        <v>0</v>
      </c>
      <c r="J10" s="513">
        <f t="shared" si="1"/>
        <v>0</v>
      </c>
      <c r="K10" s="513">
        <f t="shared" si="1"/>
        <v>0</v>
      </c>
      <c r="L10" s="513">
        <f t="shared" si="1"/>
        <v>0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335017151.07999998</v>
      </c>
      <c r="T10" s="515">
        <f>+S10/$T$7*100</f>
        <v>4.2059049273106188</v>
      </c>
    </row>
    <row r="11" spans="1:23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0</v>
      </c>
      <c r="J11" s="516">
        <f>+SUM(J12:J18)</f>
        <v>0</v>
      </c>
      <c r="K11" s="516">
        <f>+SUM(K12:K18)</f>
        <v>0</v>
      </c>
      <c r="L11" s="516">
        <f>+SUM(L12:L18)</f>
        <v>0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267359863.06</v>
      </c>
      <c r="T11" s="519">
        <f t="shared" ref="T11:T66" si="5">+S11/$T$7*100</f>
        <v>3.3565152165616294</v>
      </c>
    </row>
    <row r="12" spans="1:23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499">
        <v>3030555.43</v>
      </c>
      <c r="H12" s="499">
        <v>8431658.6199999992</v>
      </c>
      <c r="I12" s="499"/>
      <c r="J12" s="499"/>
      <c r="K12" s="499"/>
      <c r="L12" s="148"/>
      <c r="M12" s="148"/>
      <c r="N12" s="148"/>
      <c r="O12" s="148"/>
      <c r="P12" s="148"/>
      <c r="Q12" s="148"/>
      <c r="R12" s="148"/>
      <c r="S12" s="227">
        <f>+SUM(G12:R12)</f>
        <v>11462214.049999999</v>
      </c>
      <c r="T12" s="436">
        <f t="shared" si="5"/>
        <v>0.14390004331232578</v>
      </c>
    </row>
    <row r="13" spans="1:23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499">
        <v>4758743.22</v>
      </c>
      <c r="H13" s="499">
        <v>4374185.16</v>
      </c>
      <c r="I13" s="499"/>
      <c r="J13" s="499"/>
      <c r="K13" s="499"/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9132928.379999999</v>
      </c>
      <c r="T13" s="436">
        <f t="shared" si="5"/>
        <v>0.11465749843071282</v>
      </c>
      <c r="V13" s="276"/>
      <c r="W13" s="494"/>
    </row>
    <row r="14" spans="1:23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499">
        <v>0</v>
      </c>
      <c r="H14" s="499">
        <v>0</v>
      </c>
      <c r="I14" s="499"/>
      <c r="J14" s="499"/>
      <c r="K14" s="499"/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499">
        <v>96606704.819999993</v>
      </c>
      <c r="H15" s="499">
        <v>90486320.040000007</v>
      </c>
      <c r="I15" s="499"/>
      <c r="J15" s="499"/>
      <c r="K15" s="499"/>
      <c r="L15" s="148"/>
      <c r="M15" s="148"/>
      <c r="N15" s="148"/>
      <c r="O15" s="148"/>
      <c r="P15" s="148"/>
      <c r="Q15" s="148"/>
      <c r="R15" s="148"/>
      <c r="S15" s="227">
        <f t="shared" si="6"/>
        <v>187093024.86000001</v>
      </c>
      <c r="T15" s="436">
        <f t="shared" si="5"/>
        <v>2.3488214635799838</v>
      </c>
      <c r="V15" s="276"/>
      <c r="W15" s="494"/>
    </row>
    <row r="16" spans="1:23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499">
        <v>23651764.850000001</v>
      </c>
      <c r="H16" s="499">
        <v>25416734.460000001</v>
      </c>
      <c r="I16" s="499"/>
      <c r="J16" s="499"/>
      <c r="K16" s="499"/>
      <c r="L16" s="148"/>
      <c r="M16" s="148"/>
      <c r="N16" s="148"/>
      <c r="O16" s="148"/>
      <c r="P16" s="148"/>
      <c r="Q16" s="148"/>
      <c r="R16" s="148"/>
      <c r="S16" s="227">
        <f t="shared" si="6"/>
        <v>49068499.310000002</v>
      </c>
      <c r="T16" s="436">
        <f t="shared" si="5"/>
        <v>0.61602053016797653</v>
      </c>
      <c r="V16" s="276"/>
      <c r="W16" s="494"/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499">
        <v>3527264.2</v>
      </c>
      <c r="H17" s="499">
        <v>4794688.67</v>
      </c>
      <c r="I17" s="499"/>
      <c r="J17" s="499"/>
      <c r="K17" s="499"/>
      <c r="L17" s="148"/>
      <c r="M17" s="148"/>
      <c r="N17" s="148"/>
      <c r="O17" s="148"/>
      <c r="P17" s="148"/>
      <c r="Q17" s="148"/>
      <c r="R17" s="148"/>
      <c r="S17" s="227">
        <f t="shared" si="6"/>
        <v>8321952.8700000001</v>
      </c>
      <c r="T17" s="436">
        <f t="shared" si="5"/>
        <v>0.10447627074597636</v>
      </c>
      <c r="V17" s="276"/>
      <c r="W17" s="494"/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499">
        <v>1127596.99</v>
      </c>
      <c r="H18" s="499">
        <v>1153646.6000000001</v>
      </c>
      <c r="I18" s="499"/>
      <c r="J18" s="499"/>
      <c r="K18" s="499"/>
      <c r="L18" s="148"/>
      <c r="M18" s="148"/>
      <c r="N18" s="148"/>
      <c r="O18" s="148"/>
      <c r="P18" s="148"/>
      <c r="Q18" s="148"/>
      <c r="R18" s="148"/>
      <c r="S18" s="227">
        <f t="shared" si="6"/>
        <v>2281243.59</v>
      </c>
      <c r="T18" s="436">
        <f t="shared" si="5"/>
        <v>2.8639410324654131E-2</v>
      </c>
      <c r="V18" s="276"/>
      <c r="W18" s="494"/>
    </row>
    <row r="19" spans="1:23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0</v>
      </c>
      <c r="J19" s="520">
        <f t="shared" si="7"/>
        <v>0</v>
      </c>
      <c r="K19" s="520">
        <f t="shared" si="7"/>
        <v>0</v>
      </c>
      <c r="L19" s="520">
        <f t="shared" si="7"/>
        <v>0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51967428.469999999</v>
      </c>
      <c r="T19" s="522">
        <f t="shared" si="5"/>
        <v>0.65241454879855376</v>
      </c>
      <c r="V19" s="276"/>
      <c r="W19" s="494"/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499">
        <v>14262452.49</v>
      </c>
      <c r="H20" s="499">
        <v>29554149.210000001</v>
      </c>
      <c r="I20" s="499"/>
      <c r="J20" s="499"/>
      <c r="K20" s="499"/>
      <c r="L20" s="148"/>
      <c r="M20" s="148"/>
      <c r="N20" s="148"/>
      <c r="O20" s="148"/>
      <c r="P20" s="148"/>
      <c r="Q20" s="148"/>
      <c r="R20" s="148"/>
      <c r="S20" s="227">
        <f>+SUM(G20:R20)</f>
        <v>43816601.700000003</v>
      </c>
      <c r="T20" s="436">
        <f t="shared" si="5"/>
        <v>0.55008664599392376</v>
      </c>
      <c r="V20" s="276"/>
      <c r="W20" s="494"/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499">
        <v>314658.88</v>
      </c>
      <c r="H21" s="499">
        <v>1154569.93</v>
      </c>
      <c r="I21" s="499"/>
      <c r="J21" s="499"/>
      <c r="K21" s="499"/>
      <c r="L21" s="148"/>
      <c r="M21" s="148"/>
      <c r="N21" s="148"/>
      <c r="O21" s="148"/>
      <c r="P21" s="148"/>
      <c r="Q21" s="148"/>
      <c r="R21" s="148"/>
      <c r="S21" s="227">
        <f t="shared" si="6"/>
        <v>1469228.81</v>
      </c>
      <c r="T21" s="436">
        <f t="shared" si="5"/>
        <v>1.8445135335325283E-2</v>
      </c>
      <c r="V21" s="276"/>
      <c r="W21" s="494"/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499">
        <v>1216722.56</v>
      </c>
      <c r="H22" s="499">
        <v>2764148.03</v>
      </c>
      <c r="I22" s="499"/>
      <c r="J22" s="499"/>
      <c r="K22" s="499"/>
      <c r="L22" s="148"/>
      <c r="M22" s="148"/>
      <c r="N22" s="148"/>
      <c r="O22" s="148"/>
      <c r="P22" s="148"/>
      <c r="Q22" s="148"/>
      <c r="R22" s="148"/>
      <c r="S22" s="227">
        <f t="shared" si="6"/>
        <v>3980870.59</v>
      </c>
      <c r="T22" s="436">
        <f t="shared" si="5"/>
        <v>4.9977033042910582E-2</v>
      </c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499">
        <v>819141.76</v>
      </c>
      <c r="H23" s="499">
        <v>1881585.61</v>
      </c>
      <c r="I23" s="499"/>
      <c r="J23" s="499"/>
      <c r="K23" s="499"/>
      <c r="L23" s="148"/>
      <c r="M23" s="148"/>
      <c r="N23" s="148"/>
      <c r="O23" s="148"/>
      <c r="P23" s="148"/>
      <c r="Q23" s="148"/>
      <c r="R23" s="148"/>
      <c r="S23" s="227">
        <f t="shared" si="6"/>
        <v>2700727.37</v>
      </c>
      <c r="T23" s="436">
        <f t="shared" si="5"/>
        <v>3.3905734426394156E-2</v>
      </c>
      <c r="V23" s="495"/>
      <c r="W23" s="494"/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856323.95</v>
      </c>
      <c r="H24" s="160">
        <v>997054.85999999987</v>
      </c>
      <c r="I24" s="160"/>
      <c r="J24" s="160"/>
      <c r="K24" s="160"/>
      <c r="L24" s="523"/>
      <c r="M24" s="523"/>
      <c r="N24" s="523"/>
      <c r="O24" s="523"/>
      <c r="P24" s="523"/>
      <c r="Q24" s="523"/>
      <c r="R24" s="523"/>
      <c r="S24" s="521">
        <f t="shared" si="6"/>
        <v>1853378.8099999998</v>
      </c>
      <c r="T24" s="522">
        <f t="shared" si="5"/>
        <v>2.3267868656941266E-2</v>
      </c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4273770.1400000006</v>
      </c>
      <c r="H25" s="160">
        <v>3496530.8</v>
      </c>
      <c r="I25" s="160"/>
      <c r="J25" s="160"/>
      <c r="K25" s="160"/>
      <c r="L25" s="523"/>
      <c r="M25" s="523"/>
      <c r="N25" s="523"/>
      <c r="O25" s="523"/>
      <c r="P25" s="523"/>
      <c r="Q25" s="523"/>
      <c r="R25" s="523"/>
      <c r="S25" s="521">
        <f t="shared" si="6"/>
        <v>7770300.9400000004</v>
      </c>
      <c r="T25" s="522">
        <f t="shared" si="5"/>
        <v>9.7550668390790171E-2</v>
      </c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2277385.1</v>
      </c>
      <c r="H26" s="160">
        <v>2935944.59</v>
      </c>
      <c r="I26" s="160"/>
      <c r="J26" s="160"/>
      <c r="K26" s="160"/>
      <c r="L26" s="523"/>
      <c r="M26" s="523"/>
      <c r="N26" s="523"/>
      <c r="O26" s="523"/>
      <c r="P26" s="523"/>
      <c r="Q26" s="523"/>
      <c r="R26" s="523"/>
      <c r="S26" s="521">
        <f t="shared" si="6"/>
        <v>5213329.6899999995</v>
      </c>
      <c r="T26" s="522">
        <f t="shared" si="5"/>
        <v>6.5449691038742555E-2</v>
      </c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/>
      <c r="J27" s="160"/>
      <c r="K27" s="160"/>
      <c r="L27" s="523"/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0</v>
      </c>
      <c r="H28" s="160">
        <v>852850.11</v>
      </c>
      <c r="I28" s="160"/>
      <c r="J28" s="160"/>
      <c r="K28" s="160"/>
      <c r="L28" s="523"/>
      <c r="M28" s="523"/>
      <c r="N28" s="523"/>
      <c r="O28" s="523"/>
      <c r="P28" s="523"/>
      <c r="Q28" s="523"/>
      <c r="R28" s="523"/>
      <c r="S28" s="521">
        <f t="shared" si="6"/>
        <v>852850.11</v>
      </c>
      <c r="T28" s="524">
        <f t="shared" si="5"/>
        <v>1.0706933863961633E-2</v>
      </c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154390546.60999995</v>
      </c>
      <c r="H29" s="136">
        <f t="shared" ref="H29:L29" si="8">+H30+H40+H46+SUM(H47:H51)</f>
        <v>212760659.81000003</v>
      </c>
      <c r="I29" s="136">
        <f t="shared" si="8"/>
        <v>0</v>
      </c>
      <c r="J29" s="136">
        <f t="shared" si="8"/>
        <v>0</v>
      </c>
      <c r="K29" s="136">
        <f t="shared" si="8"/>
        <v>0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367151206.41999996</v>
      </c>
      <c r="T29" s="526">
        <f t="shared" si="5"/>
        <v>4.6093254126597527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" si="10">+SUM(G31:G39)</f>
        <v>62043543.54999999</v>
      </c>
      <c r="H30" s="172">
        <f t="shared" ref="H30:L30" si="11">+SUM(H31:H39)</f>
        <v>75178373.720000044</v>
      </c>
      <c r="I30" s="172">
        <f t="shared" si="11"/>
        <v>0</v>
      </c>
      <c r="J30" s="172">
        <f t="shared" si="11"/>
        <v>0</v>
      </c>
      <c r="K30" s="172">
        <f t="shared" si="11"/>
        <v>0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137221917.27000004</v>
      </c>
      <c r="T30" s="519">
        <f t="shared" si="5"/>
        <v>1.7227247504205696</v>
      </c>
      <c r="U30" s="472"/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499">
        <v>55836509.87999998</v>
      </c>
      <c r="H31" s="499">
        <v>57530041.020000033</v>
      </c>
      <c r="I31" s="499"/>
      <c r="J31" s="499"/>
      <c r="K31" s="499"/>
      <c r="L31" s="499"/>
      <c r="M31" s="499"/>
      <c r="N31" s="499"/>
      <c r="O31" s="499"/>
      <c r="P31" s="499"/>
      <c r="Q31" s="499"/>
      <c r="R31" s="148"/>
      <c r="S31" s="227">
        <f t="shared" si="6"/>
        <v>113366550.90000001</v>
      </c>
      <c r="T31" s="436">
        <f t="shared" si="5"/>
        <v>1.4232373879528963</v>
      </c>
      <c r="U31" s="472"/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499">
        <v>31766.52</v>
      </c>
      <c r="H32" s="499">
        <v>1842166.1700000016</v>
      </c>
      <c r="I32" s="499"/>
      <c r="J32" s="499"/>
      <c r="K32" s="499"/>
      <c r="L32" s="499"/>
      <c r="M32" s="499"/>
      <c r="N32" s="499"/>
      <c r="O32" s="499"/>
      <c r="P32" s="499"/>
      <c r="Q32" s="499"/>
      <c r="R32" s="148"/>
      <c r="S32" s="227">
        <f t="shared" si="6"/>
        <v>1873932.6900000016</v>
      </c>
      <c r="T32" s="436">
        <f t="shared" si="5"/>
        <v>2.3525908177869304E-2</v>
      </c>
      <c r="U32" s="472"/>
    </row>
    <row r="33" spans="1:23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499">
        <v>39625.339999999997</v>
      </c>
      <c r="H33" s="499">
        <v>1487088.8500000003</v>
      </c>
      <c r="I33" s="499"/>
      <c r="J33" s="499"/>
      <c r="K33" s="499"/>
      <c r="L33" s="499"/>
      <c r="M33" s="499"/>
      <c r="N33" s="499"/>
      <c r="O33" s="499"/>
      <c r="P33" s="499"/>
      <c r="Q33" s="499"/>
      <c r="R33" s="148"/>
      <c r="S33" s="227">
        <f t="shared" si="6"/>
        <v>1526714.1900000004</v>
      </c>
      <c r="T33" s="436">
        <f t="shared" si="5"/>
        <v>1.9166823888316975E-2</v>
      </c>
      <c r="U33" s="472"/>
    </row>
    <row r="34" spans="1:23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499">
        <v>1245697.8400000001</v>
      </c>
      <c r="H34" s="499">
        <v>3162657.5499999993</v>
      </c>
      <c r="I34" s="499"/>
      <c r="J34" s="499"/>
      <c r="K34" s="499"/>
      <c r="L34" s="499"/>
      <c r="M34" s="499"/>
      <c r="N34" s="499"/>
      <c r="O34" s="499"/>
      <c r="P34" s="499"/>
      <c r="Q34" s="499"/>
      <c r="R34" s="148"/>
      <c r="S34" s="227">
        <f t="shared" si="6"/>
        <v>4408355.3899999997</v>
      </c>
      <c r="T34" s="436">
        <f t="shared" si="5"/>
        <v>5.534380432872172E-2</v>
      </c>
      <c r="U34" s="472"/>
    </row>
    <row r="35" spans="1:23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499">
        <v>1721.01</v>
      </c>
      <c r="H35" s="499">
        <v>948846.46</v>
      </c>
      <c r="I35" s="499"/>
      <c r="J35" s="499"/>
      <c r="K35" s="499"/>
      <c r="L35" s="499"/>
      <c r="M35" s="499"/>
      <c r="N35" s="499"/>
      <c r="O35" s="499"/>
      <c r="P35" s="499"/>
      <c r="Q35" s="499"/>
      <c r="R35" s="148"/>
      <c r="S35" s="227">
        <f t="shared" si="6"/>
        <v>950567.47</v>
      </c>
      <c r="T35" s="436">
        <f t="shared" si="5"/>
        <v>1.1933706656288448E-2</v>
      </c>
      <c r="U35" s="472"/>
    </row>
    <row r="36" spans="1:23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499">
        <v>3788619.5500000003</v>
      </c>
      <c r="H36" s="499">
        <v>3320574.02</v>
      </c>
      <c r="I36" s="499"/>
      <c r="J36" s="499"/>
      <c r="K36" s="499"/>
      <c r="L36" s="499"/>
      <c r="M36" s="499"/>
      <c r="N36" s="499"/>
      <c r="O36" s="499"/>
      <c r="P36" s="499"/>
      <c r="Q36" s="499"/>
      <c r="R36" s="148"/>
      <c r="S36" s="227">
        <f>+SUM(G36:R36)</f>
        <v>7109193.5700000003</v>
      </c>
      <c r="T36" s="436">
        <f t="shared" si="5"/>
        <v>8.925092989680368E-2</v>
      </c>
      <c r="U36" s="472"/>
    </row>
    <row r="37" spans="1:23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499">
        <v>17739.240000000002</v>
      </c>
      <c r="H37" s="499">
        <v>658913.61</v>
      </c>
      <c r="I37" s="499"/>
      <c r="J37" s="499"/>
      <c r="K37" s="499"/>
      <c r="L37" s="499"/>
      <c r="M37" s="499"/>
      <c r="N37" s="499"/>
      <c r="O37" s="499"/>
      <c r="P37" s="499"/>
      <c r="Q37" s="499"/>
      <c r="R37" s="148"/>
      <c r="S37" s="227">
        <f t="shared" si="6"/>
        <v>676652.85</v>
      </c>
      <c r="T37" s="436">
        <f t="shared" si="5"/>
        <v>8.4949010721369917E-3</v>
      </c>
      <c r="U37" s="472"/>
    </row>
    <row r="38" spans="1:23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499">
        <v>651862.92999999982</v>
      </c>
      <c r="H38" s="499">
        <v>4133251.8899999987</v>
      </c>
      <c r="I38" s="499"/>
      <c r="J38" s="499"/>
      <c r="K38" s="499"/>
      <c r="L38" s="499"/>
      <c r="M38" s="499"/>
      <c r="N38" s="499"/>
      <c r="O38" s="499"/>
      <c r="P38" s="499"/>
      <c r="Q38" s="499"/>
      <c r="R38" s="148"/>
      <c r="S38" s="227">
        <f t="shared" si="6"/>
        <v>4785114.8199999984</v>
      </c>
      <c r="T38" s="436">
        <f t="shared" si="5"/>
        <v>6.0073754237075332E-2</v>
      </c>
      <c r="U38" s="472"/>
    </row>
    <row r="39" spans="1:23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499">
        <v>430001.24</v>
      </c>
      <c r="H39" s="499">
        <v>2094834.1499999992</v>
      </c>
      <c r="I39" s="499"/>
      <c r="J39" s="499"/>
      <c r="K39" s="499"/>
      <c r="L39" s="499"/>
      <c r="M39" s="499"/>
      <c r="N39" s="499"/>
      <c r="O39" s="499"/>
      <c r="P39" s="499"/>
      <c r="Q39" s="499"/>
      <c r="R39" s="148"/>
      <c r="S39" s="227">
        <f t="shared" si="6"/>
        <v>2524835.3899999992</v>
      </c>
      <c r="T39" s="436">
        <f t="shared" si="5"/>
        <v>3.1697534210460232E-2</v>
      </c>
      <c r="U39" s="472"/>
    </row>
    <row r="40" spans="1:23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82168714.539999992</v>
      </c>
      <c r="H40" s="178">
        <f t="shared" ref="H40:L40" si="13">+SUM(H41:H45)</f>
        <v>94353481.819999963</v>
      </c>
      <c r="I40" s="178">
        <f t="shared" si="13"/>
        <v>0</v>
      </c>
      <c r="J40" s="178">
        <f t="shared" si="13"/>
        <v>0</v>
      </c>
      <c r="K40" s="178">
        <f t="shared" si="13"/>
        <v>0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176522196.35999995</v>
      </c>
      <c r="T40" s="529">
        <f t="shared" si="5"/>
        <v>2.2161121395033514</v>
      </c>
      <c r="U40" s="472"/>
    </row>
    <row r="41" spans="1:23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499">
        <v>19200151.200000003</v>
      </c>
      <c r="H41" s="499">
        <v>22395140.600000005</v>
      </c>
      <c r="I41" s="499"/>
      <c r="J41" s="499"/>
      <c r="K41" s="499"/>
      <c r="L41" s="499"/>
      <c r="M41" s="499"/>
      <c r="N41" s="499"/>
      <c r="O41" s="499"/>
      <c r="P41" s="499"/>
      <c r="Q41" s="499"/>
      <c r="R41" s="148"/>
      <c r="S41" s="227">
        <f t="shared" si="6"/>
        <v>41595291.800000012</v>
      </c>
      <c r="T41" s="436">
        <f t="shared" si="5"/>
        <v>0.52219966103397208</v>
      </c>
      <c r="U41" s="472"/>
    </row>
    <row r="42" spans="1:23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499">
        <v>37260</v>
      </c>
      <c r="H42" s="499">
        <v>2149155.9300000002</v>
      </c>
      <c r="I42" s="499"/>
      <c r="J42" s="499"/>
      <c r="K42" s="499"/>
      <c r="L42" s="499"/>
      <c r="M42" s="499"/>
      <c r="N42" s="499"/>
      <c r="O42" s="499"/>
      <c r="P42" s="499"/>
      <c r="Q42" s="499"/>
      <c r="R42" s="148"/>
      <c r="S42" s="227">
        <f t="shared" si="6"/>
        <v>2186415.9300000002</v>
      </c>
      <c r="T42" s="436">
        <f t="shared" si="5"/>
        <v>2.7448915685339095E-2</v>
      </c>
      <c r="U42" s="472"/>
    </row>
    <row r="43" spans="1:23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499">
        <v>62931303.339999989</v>
      </c>
      <c r="H43" s="499">
        <v>65497529.849999964</v>
      </c>
      <c r="I43" s="499"/>
      <c r="J43" s="499"/>
      <c r="K43" s="499"/>
      <c r="L43" s="499"/>
      <c r="M43" s="499"/>
      <c r="N43" s="499"/>
      <c r="O43" s="499"/>
      <c r="P43" s="499"/>
      <c r="Q43" s="499"/>
      <c r="R43" s="148"/>
      <c r="S43" s="227">
        <f t="shared" si="6"/>
        <v>128428833.18999995</v>
      </c>
      <c r="T43" s="436">
        <f t="shared" si="5"/>
        <v>1.612333758379993</v>
      </c>
      <c r="U43" s="472"/>
    </row>
    <row r="44" spans="1:23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499">
        <v>0</v>
      </c>
      <c r="H44" s="499">
        <v>2943314.7199999997</v>
      </c>
      <c r="I44" s="499"/>
      <c r="J44" s="499"/>
      <c r="K44" s="499"/>
      <c r="L44" s="499"/>
      <c r="M44" s="499"/>
      <c r="N44" s="499"/>
      <c r="O44" s="499"/>
      <c r="P44" s="499"/>
      <c r="Q44" s="499"/>
      <c r="R44" s="148"/>
      <c r="S44" s="227">
        <f t="shared" si="6"/>
        <v>2943314.7199999997</v>
      </c>
      <c r="T44" s="436">
        <f t="shared" si="5"/>
        <v>3.6951248148241141E-2</v>
      </c>
      <c r="U44" s="472"/>
    </row>
    <row r="45" spans="1:23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499">
        <v>0</v>
      </c>
      <c r="H45" s="499">
        <v>1368340.72</v>
      </c>
      <c r="I45" s="499"/>
      <c r="J45" s="499"/>
      <c r="K45" s="499"/>
      <c r="L45" s="499"/>
      <c r="M45" s="499"/>
      <c r="N45" s="499"/>
      <c r="O45" s="499"/>
      <c r="P45" s="499"/>
      <c r="Q45" s="499"/>
      <c r="R45" s="148"/>
      <c r="S45" s="227">
        <f t="shared" si="6"/>
        <v>1368340.72</v>
      </c>
      <c r="T45" s="436">
        <f t="shared" si="5"/>
        <v>1.7178556255806363E-2</v>
      </c>
      <c r="U45" s="472"/>
    </row>
    <row r="46" spans="1:23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4939804.07</v>
      </c>
      <c r="H46" s="160">
        <v>29118491.300000001</v>
      </c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521">
        <f t="shared" si="6"/>
        <v>34058295.370000005</v>
      </c>
      <c r="T46" s="522">
        <f t="shared" si="5"/>
        <v>0.42757796683154647</v>
      </c>
      <c r="U46" s="472"/>
    </row>
    <row r="47" spans="1:23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125800.66000000002</v>
      </c>
      <c r="H47" s="160">
        <v>11702685.83</v>
      </c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521">
        <f t="shared" si="6"/>
        <v>11828486.49</v>
      </c>
      <c r="T47" s="522">
        <f t="shared" si="5"/>
        <v>0.14849833643006002</v>
      </c>
      <c r="U47" s="472"/>
      <c r="V47" s="292"/>
      <c r="W47" s="292"/>
    </row>
    <row r="48" spans="1:23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499">
        <v>0</v>
      </c>
      <c r="H48" s="499">
        <v>0</v>
      </c>
      <c r="I48" s="499"/>
      <c r="J48" s="499"/>
      <c r="K48" s="499"/>
      <c r="L48" s="499"/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499">
        <v>0</v>
      </c>
      <c r="H49" s="499">
        <v>209850</v>
      </c>
      <c r="I49" s="499"/>
      <c r="J49" s="499"/>
      <c r="K49" s="499"/>
      <c r="L49" s="499"/>
      <c r="M49" s="499"/>
      <c r="N49" s="499"/>
      <c r="O49" s="499"/>
      <c r="P49" s="499"/>
      <c r="Q49" s="499"/>
      <c r="R49" s="148"/>
      <c r="S49" s="227">
        <f t="shared" si="6"/>
        <v>209850</v>
      </c>
      <c r="T49" s="436">
        <f t="shared" si="5"/>
        <v>2.6345192959550054E-3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499">
        <v>4062322.96</v>
      </c>
      <c r="H50" s="499">
        <v>0</v>
      </c>
      <c r="I50" s="499"/>
      <c r="J50" s="499"/>
      <c r="K50" s="499"/>
      <c r="L50" s="499"/>
      <c r="M50" s="499"/>
      <c r="N50" s="499"/>
      <c r="O50" s="499"/>
      <c r="P50" s="499"/>
      <c r="Q50" s="499"/>
      <c r="R50" s="148"/>
      <c r="S50" s="227">
        <f t="shared" si="6"/>
        <v>4062322.96</v>
      </c>
      <c r="T50" s="436">
        <f t="shared" si="5"/>
        <v>5.0999610314610686E-2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1050360.8299999998</v>
      </c>
      <c r="H51" s="430">
        <v>2197777.1399999997</v>
      </c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3248137.9699999997</v>
      </c>
      <c r="T51" s="440">
        <f t="shared" si="5"/>
        <v>4.0778089863660327E-2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5">+G10-G29</f>
        <v>2332537.7800000012</v>
      </c>
      <c r="H53" s="136">
        <f t="shared" si="15"/>
        <v>-34466593.120000005</v>
      </c>
      <c r="I53" s="136">
        <f t="shared" si="15"/>
        <v>0</v>
      </c>
      <c r="J53" s="136">
        <f t="shared" si="15"/>
        <v>0</v>
      </c>
      <c r="K53" s="136">
        <f t="shared" si="15"/>
        <v>0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-32134055.340000004</v>
      </c>
      <c r="T53" s="531">
        <f t="shared" si="5"/>
        <v>-0.40342048534913511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6">+G53+G36</f>
        <v>6121157.3300000019</v>
      </c>
      <c r="H54" s="190">
        <f t="shared" si="16"/>
        <v>-31146019.100000005</v>
      </c>
      <c r="I54" s="190">
        <f t="shared" si="16"/>
        <v>0</v>
      </c>
      <c r="J54" s="190">
        <f t="shared" si="16"/>
        <v>0</v>
      </c>
      <c r="K54" s="190">
        <f t="shared" si="16"/>
        <v>0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-25024861.770000003</v>
      </c>
      <c r="T54" s="531">
        <f t="shared" si="5"/>
        <v>-0.31416955545233138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0</v>
      </c>
      <c r="J55" s="160">
        <f t="shared" si="18"/>
        <v>0</v>
      </c>
      <c r="K55" s="178">
        <f t="shared" si="18"/>
        <v>0</v>
      </c>
      <c r="L55" s="178">
        <f t="shared" si="18"/>
        <v>0</v>
      </c>
      <c r="M55" s="178">
        <f t="shared" ref="M55:R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 t="shared" si="19"/>
        <v>0</v>
      </c>
      <c r="S55" s="532">
        <f t="shared" si="6"/>
        <v>42901017.030000001</v>
      </c>
      <c r="T55" s="533">
        <f t="shared" si="5"/>
        <v>0.53859212381048038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554">
        <v>1984895.29</v>
      </c>
      <c r="H56" s="554">
        <v>1705490.1300000001</v>
      </c>
      <c r="I56" s="554"/>
      <c r="J56" s="554"/>
      <c r="K56" s="554"/>
      <c r="L56" s="554"/>
      <c r="M56" s="554"/>
      <c r="N56" s="554"/>
      <c r="O56" s="554"/>
      <c r="P56" s="554"/>
      <c r="Q56" s="554"/>
      <c r="R56" s="196"/>
      <c r="S56" s="235">
        <f t="shared" si="6"/>
        <v>3690385.42</v>
      </c>
      <c r="T56" s="444">
        <f t="shared" si="5"/>
        <v>4.6330195847038437E-2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554">
        <v>32635767.399999999</v>
      </c>
      <c r="H57" s="554">
        <v>6574864.2100000009</v>
      </c>
      <c r="I57" s="554"/>
      <c r="J57" s="554"/>
      <c r="K57" s="554"/>
      <c r="L57" s="554"/>
      <c r="M57" s="554"/>
      <c r="N57" s="554"/>
      <c r="O57" s="554"/>
      <c r="P57" s="554"/>
      <c r="Q57" s="554"/>
      <c r="R57" s="196"/>
      <c r="S57" s="235">
        <f t="shared" si="6"/>
        <v>39210631.609999999</v>
      </c>
      <c r="T57" s="444">
        <f t="shared" si="5"/>
        <v>0.49226192796344187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0</v>
      </c>
      <c r="T58" s="534">
        <f t="shared" si="5"/>
        <v>0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99">
        <v>0</v>
      </c>
      <c r="H59" s="499">
        <v>1478222</v>
      </c>
      <c r="I59" s="499"/>
      <c r="J59" s="499"/>
      <c r="K59" s="499"/>
      <c r="L59" s="499"/>
      <c r="M59" s="499"/>
      <c r="N59" s="499"/>
      <c r="O59" s="499"/>
      <c r="P59" s="499"/>
      <c r="Q59" s="499"/>
      <c r="R59" s="432"/>
      <c r="S59" s="532">
        <f>SUM(G59:R59)</f>
        <v>1478222</v>
      </c>
      <c r="T59" s="534">
        <f t="shared" si="5"/>
        <v>1.8558038516584229E-2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-32288124.909999996</v>
      </c>
      <c r="H60" s="202">
        <f t="shared" ref="H60:S60" si="20">+H53-H55-H58-H59</f>
        <v>-44225169.460000008</v>
      </c>
      <c r="I60" s="202">
        <f t="shared" si="20"/>
        <v>0</v>
      </c>
      <c r="J60" s="202">
        <f t="shared" si="20"/>
        <v>0</v>
      </c>
      <c r="K60" s="202">
        <f t="shared" si="20"/>
        <v>0</v>
      </c>
      <c r="L60" s="202">
        <f t="shared" si="20"/>
        <v>0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-76513294.370000005</v>
      </c>
      <c r="T60" s="535">
        <f t="shared" si="5"/>
        <v>-0.96057064767619971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32288124.909999996</v>
      </c>
      <c r="H61" s="136">
        <f t="shared" ref="H61:L61" si="21">+SUM(H62:H66)</f>
        <v>44225169.460000008</v>
      </c>
      <c r="I61" s="136">
        <f t="shared" si="21"/>
        <v>0</v>
      </c>
      <c r="J61" s="136">
        <f t="shared" si="21"/>
        <v>0</v>
      </c>
      <c r="K61" s="136">
        <f t="shared" si="21"/>
        <v>0</v>
      </c>
      <c r="L61" s="136">
        <f t="shared" si="21"/>
        <v>0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76513294.370000005</v>
      </c>
      <c r="T61" s="537">
        <f t="shared" si="5"/>
        <v>0.96057064767619971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554">
        <v>0</v>
      </c>
      <c r="H62" s="554">
        <v>0</v>
      </c>
      <c r="I62" s="554"/>
      <c r="J62" s="554"/>
      <c r="K62" s="554"/>
      <c r="L62" s="554"/>
      <c r="M62" s="555"/>
      <c r="N62" s="554"/>
      <c r="O62" s="554"/>
      <c r="P62" s="554"/>
      <c r="Q62" s="554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554">
        <v>1824723.8699999999</v>
      </c>
      <c r="H63" s="554">
        <v>12400327.83</v>
      </c>
      <c r="I63" s="554"/>
      <c r="J63" s="554"/>
      <c r="K63" s="554"/>
      <c r="L63" s="554"/>
      <c r="M63" s="555"/>
      <c r="N63" s="554"/>
      <c r="O63" s="554"/>
      <c r="P63" s="554"/>
      <c r="Q63" s="554"/>
      <c r="R63" s="196"/>
      <c r="S63" s="235">
        <f t="shared" si="6"/>
        <v>14225051.699999999</v>
      </c>
      <c r="T63" s="444">
        <f t="shared" si="5"/>
        <v>0.17858552866146082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554">
        <v>106186.26999999999</v>
      </c>
      <c r="H64" s="554">
        <v>433611.13</v>
      </c>
      <c r="I64" s="554"/>
      <c r="J64" s="554"/>
      <c r="K64" s="554"/>
      <c r="L64" s="554"/>
      <c r="M64" s="555"/>
      <c r="N64" s="554"/>
      <c r="O64" s="554"/>
      <c r="P64" s="554"/>
      <c r="Q64" s="554"/>
      <c r="R64" s="196"/>
      <c r="S64" s="235">
        <f t="shared" si="6"/>
        <v>539797.4</v>
      </c>
      <c r="T64" s="444">
        <f t="shared" si="5"/>
        <v>6.776777060787908E-3</v>
      </c>
    </row>
    <row r="65" spans="1:20">
      <c r="A65" s="129">
        <v>73</v>
      </c>
      <c r="B65" s="596" t="s">
        <v>101</v>
      </c>
      <c r="C65" s="597"/>
      <c r="D65" s="597"/>
      <c r="E65" s="597"/>
      <c r="F65" s="597"/>
      <c r="G65" s="160">
        <v>2934144.88</v>
      </c>
      <c r="H65" s="160">
        <v>678005.91</v>
      </c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228">
        <f t="shared" si="6"/>
        <v>3612150.79</v>
      </c>
      <c r="T65" s="437">
        <f t="shared" si="5"/>
        <v>4.5348015040048206E-2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27423069.889999997</v>
      </c>
      <c r="H66" s="210">
        <f t="shared" ref="H66:L66" si="23">-H60-SUM(H62:H65)</f>
        <v>30713224.590000007</v>
      </c>
      <c r="I66" s="210">
        <f t="shared" si="23"/>
        <v>0</v>
      </c>
      <c r="J66" s="210">
        <f t="shared" si="23"/>
        <v>0</v>
      </c>
      <c r="K66" s="210">
        <f t="shared" si="23"/>
        <v>0</v>
      </c>
      <c r="L66" s="210">
        <f t="shared" si="23"/>
        <v>0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58136294.480000004</v>
      </c>
      <c r="T66" s="448">
        <f t="shared" si="5"/>
        <v>0.72986032691390268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2025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7965400000</v>
      </c>
    </row>
    <row r="84" spans="1:25" ht="15.75" customHeight="1">
      <c r="B84" s="635"/>
      <c r="C84" s="636"/>
      <c r="D84" s="636"/>
      <c r="E84" s="636"/>
      <c r="F84" s="637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18" t="str">
        <f>+Master!G247</f>
        <v>Jan - Dec</v>
      </c>
      <c r="T84" s="620">
        <f>+T8</f>
        <v>0</v>
      </c>
    </row>
    <row r="85" spans="1:25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36.232618576342425</v>
      </c>
      <c r="U86" s="243"/>
    </row>
    <row r="87" spans="1:25">
      <c r="A87" s="105" t="str">
        <f t="shared" si="27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27.413300140994089</v>
      </c>
    </row>
    <row r="88" spans="1:25">
      <c r="A88" s="105" t="str">
        <f t="shared" si="27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1.3599253495579566</v>
      </c>
    </row>
    <row r="89" spans="1:25">
      <c r="A89" s="105" t="str">
        <f t="shared" si="27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4758743.22</v>
      </c>
      <c r="H89" s="77">
        <v>4914823.2626296896</v>
      </c>
      <c r="I89" s="77">
        <v>72553471.511286497</v>
      </c>
      <c r="J89" s="77">
        <v>106836454.224443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219862849.24098608</v>
      </c>
      <c r="T89" s="436">
        <f t="shared" si="29"/>
        <v>2.7602235825066672</v>
      </c>
    </row>
    <row r="90" spans="1:25">
      <c r="A90" s="105" t="str">
        <f t="shared" si="27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</row>
    <row r="91" spans="1:25">
      <c r="A91" s="105" t="str">
        <f t="shared" si="27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17.231940643229883</v>
      </c>
    </row>
    <row r="92" spans="1:25">
      <c r="A92" s="105" t="str">
        <f t="shared" si="27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5.0656589750671648</v>
      </c>
      <c r="W92" s="242"/>
      <c r="X92" s="242"/>
      <c r="Y92" s="242"/>
    </row>
    <row r="93" spans="1:25">
      <c r="A93" s="105" t="str">
        <f t="shared" si="27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0.80338700653033546</v>
      </c>
    </row>
    <row r="94" spans="1:25">
      <c r="A94" s="105" t="str">
        <f t="shared" si="27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0.19216458410207746</v>
      </c>
    </row>
    <row r="95" spans="1:25">
      <c r="A95" s="105" t="str">
        <f t="shared" si="27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5.6375238138346297</v>
      </c>
    </row>
    <row r="96" spans="1:25">
      <c r="A96" s="105" t="str">
        <f t="shared" si="27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4.9883110370025499</v>
      </c>
      <c r="V96" s="292"/>
    </row>
    <row r="97" spans="1:22">
      <c r="A97" s="105" t="str">
        <f t="shared" si="27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7.5325784070219892E-2</v>
      </c>
    </row>
    <row r="98" spans="1:22">
      <c r="A98" s="105" t="str">
        <f t="shared" si="27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0.32641173078215086</v>
      </c>
    </row>
    <row r="99" spans="1:22">
      <c r="A99" s="105" t="str">
        <f t="shared" si="27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0.24747526197970968</v>
      </c>
    </row>
    <row r="100" spans="1:22">
      <c r="A100" s="105" t="str">
        <f t="shared" si="27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0.22334056070500299</v>
      </c>
    </row>
    <row r="101" spans="1:22">
      <c r="A101" s="105" t="str">
        <f t="shared" si="27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0.93131678924397132</v>
      </c>
    </row>
    <row r="102" spans="1:22">
      <c r="A102" s="105" t="str">
        <f t="shared" si="27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0.65620800247592392</v>
      </c>
    </row>
    <row r="103" spans="1:22">
      <c r="A103" s="105" t="str">
        <f t="shared" si="27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V103" s="292"/>
    </row>
    <row r="104" spans="1:22" ht="13.5" thickBot="1">
      <c r="A104" s="105" t="str">
        <f t="shared" si="27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1.3709292690888086</v>
      </c>
    </row>
    <row r="105" spans="1:22" ht="13.5" thickBot="1">
      <c r="A105" s="105" t="str">
        <f t="shared" si="27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505">
        <f t="shared" ref="G105:R105" si="30">+G106+G116+G122+SUM(G123:G127)</f>
        <v>211236224.61000001</v>
      </c>
      <c r="H105" s="505">
        <f t="shared" si="30"/>
        <v>234904209.56</v>
      </c>
      <c r="I105" s="505">
        <f t="shared" si="30"/>
        <v>268084271.89999998</v>
      </c>
      <c r="J105" s="505">
        <f t="shared" si="30"/>
        <v>271983159.92000002</v>
      </c>
      <c r="K105" s="505">
        <f t="shared" si="30"/>
        <v>239166268.83999997</v>
      </c>
      <c r="L105" s="505">
        <f t="shared" si="30"/>
        <v>250480398.60000002</v>
      </c>
      <c r="M105" s="505">
        <f t="shared" si="30"/>
        <v>256378355.32999995</v>
      </c>
      <c r="N105" s="505">
        <f t="shared" si="30"/>
        <v>220819261.00000003</v>
      </c>
      <c r="O105" s="505">
        <f t="shared" si="30"/>
        <v>270591517.11999995</v>
      </c>
      <c r="P105" s="505">
        <f t="shared" si="30"/>
        <v>265743558.72</v>
      </c>
      <c r="Q105" s="505">
        <f t="shared" si="30"/>
        <v>262012238.51999995</v>
      </c>
      <c r="R105" s="505">
        <f t="shared" si="30"/>
        <v>412818902.18499994</v>
      </c>
      <c r="S105" s="548">
        <f>+SUM(G105:R105)</f>
        <v>3164218366.3049994</v>
      </c>
      <c r="T105" s="549">
        <f t="shared" si="29"/>
        <v>39.724538206555849</v>
      </c>
    </row>
    <row r="106" spans="1:22">
      <c r="A106" s="105" t="str">
        <f t="shared" si="27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511">
        <f t="shared" ref="G106" si="31">+SUM(G107:G115)</f>
        <v>80179073.160000026</v>
      </c>
      <c r="H106" s="511">
        <f t="shared" ref="H106:R106" si="32">+SUM(H107:H115)</f>
        <v>85369477.120000005</v>
      </c>
      <c r="I106" s="511">
        <f t="shared" si="32"/>
        <v>117430024.57999998</v>
      </c>
      <c r="J106" s="511">
        <f t="shared" si="32"/>
        <v>111771454.75</v>
      </c>
      <c r="K106" s="511">
        <f t="shared" si="32"/>
        <v>100285882.77999999</v>
      </c>
      <c r="L106" s="511">
        <f t="shared" si="32"/>
        <v>94353477</v>
      </c>
      <c r="M106" s="511">
        <f t="shared" si="32"/>
        <v>95032056.649999976</v>
      </c>
      <c r="N106" s="511">
        <f t="shared" si="32"/>
        <v>89599157.060000002</v>
      </c>
      <c r="O106" s="511">
        <f t="shared" si="32"/>
        <v>110989694.22999999</v>
      </c>
      <c r="P106" s="511">
        <f t="shared" si="32"/>
        <v>107501724.17999998</v>
      </c>
      <c r="Q106" s="511">
        <f t="shared" si="32"/>
        <v>106933053.46999997</v>
      </c>
      <c r="R106" s="512">
        <f t="shared" si="32"/>
        <v>156280296.685</v>
      </c>
      <c r="S106" s="542">
        <f t="shared" si="28"/>
        <v>1255725371.6649997</v>
      </c>
      <c r="T106" s="519">
        <f t="shared" si="29"/>
        <v>15.764749688214023</v>
      </c>
      <c r="V106" s="275"/>
    </row>
    <row r="107" spans="1:22">
      <c r="A107" s="105" t="str">
        <f t="shared" si="27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56135492.740000024</v>
      </c>
      <c r="H107" s="77">
        <v>59047491.199999981</v>
      </c>
      <c r="I107" s="77">
        <v>58514884.909999982</v>
      </c>
      <c r="J107" s="77">
        <v>60497556.229999982</v>
      </c>
      <c r="K107" s="77">
        <v>60514987.979999982</v>
      </c>
      <c r="L107" s="77">
        <v>60517104.439999983</v>
      </c>
      <c r="M107" s="77">
        <v>60506341.469999984</v>
      </c>
      <c r="N107" s="77">
        <v>60512263.949999988</v>
      </c>
      <c r="O107" s="77">
        <v>60506331.229999974</v>
      </c>
      <c r="P107" s="77">
        <v>60505659.619999975</v>
      </c>
      <c r="Q107" s="77">
        <v>60504946.429999985</v>
      </c>
      <c r="R107" s="77">
        <v>60212707.489999995</v>
      </c>
      <c r="S107" s="101">
        <f t="shared" si="28"/>
        <v>717975767.68999982</v>
      </c>
      <c r="T107" s="436">
        <f t="shared" si="29"/>
        <v>9.0136812676073994</v>
      </c>
    </row>
    <row r="108" spans="1:22">
      <c r="A108" s="105" t="str">
        <f t="shared" si="27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1756735.0200000005</v>
      </c>
      <c r="H108" s="77">
        <v>2007086.4100000001</v>
      </c>
      <c r="I108" s="77">
        <v>2263809.8699999992</v>
      </c>
      <c r="J108" s="77">
        <v>2111717.46</v>
      </c>
      <c r="K108" s="77">
        <v>2015158.8899999994</v>
      </c>
      <c r="L108" s="77">
        <v>2049900.9899999998</v>
      </c>
      <c r="M108" s="77">
        <v>2030489.8499999996</v>
      </c>
      <c r="N108" s="77">
        <v>1929225.4199999995</v>
      </c>
      <c r="O108" s="77">
        <v>2070793.0899999996</v>
      </c>
      <c r="P108" s="77">
        <v>2032613.7699999996</v>
      </c>
      <c r="Q108" s="77">
        <v>1988655.0999999994</v>
      </c>
      <c r="R108" s="77">
        <v>2093300.905</v>
      </c>
      <c r="S108" s="101">
        <f t="shared" si="28"/>
        <v>24349486.774999995</v>
      </c>
      <c r="T108" s="436">
        <f t="shared" si="29"/>
        <v>0.3056906969518165</v>
      </c>
    </row>
    <row r="109" spans="1:22">
      <c r="A109" s="105" t="str">
        <f t="shared" si="27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1797331.5399999998</v>
      </c>
      <c r="H109" s="77">
        <v>2059853.9899999995</v>
      </c>
      <c r="I109" s="77">
        <v>4747994.3400000026</v>
      </c>
      <c r="J109" s="77">
        <v>4363693.88</v>
      </c>
      <c r="K109" s="77">
        <v>3402748.160000002</v>
      </c>
      <c r="L109" s="77">
        <v>3769260.350000002</v>
      </c>
      <c r="M109" s="77">
        <v>4195178.4600000009</v>
      </c>
      <c r="N109" s="77">
        <v>3497789.4099999997</v>
      </c>
      <c r="O109" s="77">
        <v>5208631.060000008</v>
      </c>
      <c r="P109" s="77">
        <v>4231104.8699999982</v>
      </c>
      <c r="Q109" s="77">
        <v>3945556.2200000007</v>
      </c>
      <c r="R109" s="77">
        <v>8767787.660000002</v>
      </c>
      <c r="S109" s="101">
        <f t="shared" si="28"/>
        <v>49986929.940000013</v>
      </c>
      <c r="T109" s="436">
        <f t="shared" si="29"/>
        <v>0.62755078137946629</v>
      </c>
    </row>
    <row r="110" spans="1:22">
      <c r="A110" s="105" t="str">
        <f t="shared" si="27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4142017.4700000025</v>
      </c>
      <c r="H110" s="77">
        <v>3949104.120000002</v>
      </c>
      <c r="I110" s="77">
        <v>8807965.9300000016</v>
      </c>
      <c r="J110" s="77">
        <v>8593058.2600000054</v>
      </c>
      <c r="K110" s="77">
        <v>6014081.8800000027</v>
      </c>
      <c r="L110" s="77">
        <v>7815871.950000003</v>
      </c>
      <c r="M110" s="77">
        <v>8272378.2699999996</v>
      </c>
      <c r="N110" s="77">
        <v>5190892.16</v>
      </c>
      <c r="O110" s="77">
        <v>5516441.8700000029</v>
      </c>
      <c r="P110" s="77">
        <v>8096417.4600000018</v>
      </c>
      <c r="Q110" s="77">
        <v>9806407.3699999973</v>
      </c>
      <c r="R110" s="77">
        <v>24688851.140999999</v>
      </c>
      <c r="S110" s="101">
        <f t="shared" si="28"/>
        <v>100893487.88100001</v>
      </c>
      <c r="T110" s="436">
        <f t="shared" si="29"/>
        <v>1.2666468461219778</v>
      </c>
    </row>
    <row r="111" spans="1:22">
      <c r="A111" s="105" t="str">
        <f t="shared" si="27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2424675.0799999996</v>
      </c>
      <c r="H111" s="77">
        <v>3033187.83</v>
      </c>
      <c r="I111" s="77">
        <v>2717633.6299999994</v>
      </c>
      <c r="J111" s="77">
        <v>3285284.4000000004</v>
      </c>
      <c r="K111" s="77">
        <v>2743194.66</v>
      </c>
      <c r="L111" s="77">
        <v>3194128.9400000004</v>
      </c>
      <c r="M111" s="77">
        <v>3150952.77</v>
      </c>
      <c r="N111" s="77">
        <v>3743091.37</v>
      </c>
      <c r="O111" s="77">
        <v>3253060.6399999997</v>
      </c>
      <c r="P111" s="77">
        <v>3772905.1399999992</v>
      </c>
      <c r="Q111" s="77">
        <v>3713343.8</v>
      </c>
      <c r="R111" s="77">
        <v>7908265.3499999987</v>
      </c>
      <c r="S111" s="101">
        <f t="shared" si="28"/>
        <v>42939723.609999999</v>
      </c>
      <c r="T111" s="436">
        <f t="shared" si="29"/>
        <v>0.53907805772465911</v>
      </c>
    </row>
    <row r="112" spans="1:22">
      <c r="A112" s="105" t="str">
        <f t="shared" si="27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3805233.67</v>
      </c>
      <c r="H112" s="77">
        <v>3578253.08</v>
      </c>
      <c r="I112" s="77">
        <v>25813966.890000001</v>
      </c>
      <c r="J112" s="77">
        <v>21694612.899999999</v>
      </c>
      <c r="K112" s="77">
        <v>12888618.540000001</v>
      </c>
      <c r="L112" s="77">
        <v>7054881.1500000022</v>
      </c>
      <c r="M112" s="77">
        <v>4625091.8600000013</v>
      </c>
      <c r="N112" s="77">
        <v>5331542.2600000007</v>
      </c>
      <c r="O112" s="77">
        <v>23589775.02</v>
      </c>
      <c r="P112" s="77">
        <v>14779701.98</v>
      </c>
      <c r="Q112" s="77">
        <v>10334631.460000001</v>
      </c>
      <c r="R112" s="77">
        <v>26025668.690000001</v>
      </c>
      <c r="S112" s="101">
        <f t="shared" si="28"/>
        <v>159521977.5</v>
      </c>
      <c r="T112" s="436">
        <f t="shared" si="29"/>
        <v>2.0026863371582095</v>
      </c>
    </row>
    <row r="113" spans="1:21">
      <c r="A113" s="105" t="str">
        <f t="shared" si="27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1094967.51</v>
      </c>
      <c r="H113" s="77">
        <v>1081221.8299999994</v>
      </c>
      <c r="I113" s="77">
        <v>1169208.6800000006</v>
      </c>
      <c r="J113" s="77">
        <v>1104523.2700000005</v>
      </c>
      <c r="K113" s="77">
        <v>1131023.2700000007</v>
      </c>
      <c r="L113" s="77">
        <v>1104492.9300000002</v>
      </c>
      <c r="M113" s="77">
        <v>1104014.9300000002</v>
      </c>
      <c r="N113" s="77">
        <v>1094491.8900000001</v>
      </c>
      <c r="O113" s="77">
        <v>1096302.6800000002</v>
      </c>
      <c r="P113" s="77">
        <v>1093543.2100000002</v>
      </c>
      <c r="Q113" s="77">
        <v>1094459.8800000001</v>
      </c>
      <c r="R113" s="77">
        <v>1090003.1400000011</v>
      </c>
      <c r="S113" s="101">
        <f t="shared" si="28"/>
        <v>13258253.220000004</v>
      </c>
      <c r="T113" s="436">
        <f t="shared" si="29"/>
        <v>0.1664480530795692</v>
      </c>
    </row>
    <row r="114" spans="1:21">
      <c r="A114" s="105" t="str">
        <f t="shared" si="27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5746355.0200000005</v>
      </c>
      <c r="H114" s="77">
        <v>6000915.620000001</v>
      </c>
      <c r="I114" s="77">
        <v>4378900.540000001</v>
      </c>
      <c r="J114" s="77">
        <v>3866824.29</v>
      </c>
      <c r="K114" s="77">
        <v>3645748.38</v>
      </c>
      <c r="L114" s="77">
        <v>4114321.09</v>
      </c>
      <c r="M114" s="77">
        <v>4322479.209999999</v>
      </c>
      <c r="N114" s="77">
        <v>4473690.01</v>
      </c>
      <c r="O114" s="77">
        <v>5432451.6199999992</v>
      </c>
      <c r="P114" s="77">
        <v>7094172.6400000015</v>
      </c>
      <c r="Q114" s="77">
        <v>9152045.2799999975</v>
      </c>
      <c r="R114" s="77">
        <v>10728356.800000004</v>
      </c>
      <c r="S114" s="101">
        <f t="shared" si="28"/>
        <v>68956260.5</v>
      </c>
      <c r="T114" s="436">
        <f t="shared" si="29"/>
        <v>0.86569739749416219</v>
      </c>
    </row>
    <row r="115" spans="1:21">
      <c r="A115" s="105" t="str">
        <f t="shared" si="27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3276265.1100000013</v>
      </c>
      <c r="H115" s="77">
        <v>4612363.0400000019</v>
      </c>
      <c r="I115" s="77">
        <v>9015659.7899999991</v>
      </c>
      <c r="J115" s="77">
        <v>6254184.0600000015</v>
      </c>
      <c r="K115" s="77">
        <v>7930321.0199999996</v>
      </c>
      <c r="L115" s="77">
        <v>4733515.16</v>
      </c>
      <c r="M115" s="77">
        <v>6825129.8300000019</v>
      </c>
      <c r="N115" s="77">
        <v>3826170.5899999994</v>
      </c>
      <c r="O115" s="77">
        <v>4315907.0200000005</v>
      </c>
      <c r="P115" s="77">
        <v>5895605.4900000067</v>
      </c>
      <c r="Q115" s="77">
        <v>6393007.9300000006</v>
      </c>
      <c r="R115" s="77">
        <v>14765355.509</v>
      </c>
      <c r="S115" s="101">
        <f t="shared" si="28"/>
        <v>77843484.54900001</v>
      </c>
      <c r="T115" s="436">
        <f t="shared" si="29"/>
        <v>0.97727025069676354</v>
      </c>
    </row>
    <row r="116" spans="1:21">
      <c r="A116" s="105" t="str">
        <f t="shared" si="27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507">
        <f t="shared" ref="G116:R116" si="33">+SUM(G117:G121)</f>
        <v>86392001.569999993</v>
      </c>
      <c r="H116" s="507">
        <f t="shared" si="33"/>
        <v>94581114.409999996</v>
      </c>
      <c r="I116" s="507">
        <f t="shared" si="33"/>
        <v>84307968.950000018</v>
      </c>
      <c r="J116" s="507">
        <f t="shared" si="33"/>
        <v>88892587.659999996</v>
      </c>
      <c r="K116" s="507">
        <f t="shared" si="33"/>
        <v>88384140.230000004</v>
      </c>
      <c r="L116" s="507">
        <f t="shared" si="33"/>
        <v>88846142.960000008</v>
      </c>
      <c r="M116" s="507">
        <f t="shared" si="33"/>
        <v>89278533.219999984</v>
      </c>
      <c r="N116" s="507">
        <f t="shared" si="33"/>
        <v>89238627.989999995</v>
      </c>
      <c r="O116" s="507">
        <f t="shared" si="33"/>
        <v>89137761.069999993</v>
      </c>
      <c r="P116" s="507">
        <f t="shared" si="33"/>
        <v>89363805.640000001</v>
      </c>
      <c r="Q116" s="507">
        <f t="shared" si="33"/>
        <v>89298590.510000005</v>
      </c>
      <c r="R116" s="507">
        <f t="shared" si="33"/>
        <v>90280310.429999992</v>
      </c>
      <c r="S116" s="546">
        <f t="shared" si="28"/>
        <v>1068001584.6400001</v>
      </c>
      <c r="T116" s="522">
        <f t="shared" si="29"/>
        <v>13.408009448866348</v>
      </c>
    </row>
    <row r="117" spans="1:21">
      <c r="A117" s="105" t="str">
        <f t="shared" si="27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499">
        <v>19200151.200000003</v>
      </c>
      <c r="H117" s="499">
        <v>22628380.109999999</v>
      </c>
      <c r="I117" s="499">
        <v>14565687.030000001</v>
      </c>
      <c r="J117" s="499">
        <v>18346642.420000002</v>
      </c>
      <c r="K117" s="499">
        <v>18346642.420000002</v>
      </c>
      <c r="L117" s="499">
        <v>18350642.420000002</v>
      </c>
      <c r="M117" s="499">
        <v>18346642.420000002</v>
      </c>
      <c r="N117" s="499">
        <v>18346642.420000002</v>
      </c>
      <c r="O117" s="499">
        <v>18346642.420000002</v>
      </c>
      <c r="P117" s="499">
        <v>18346642.420000002</v>
      </c>
      <c r="Q117" s="499">
        <v>18346642.420000002</v>
      </c>
      <c r="R117" s="499">
        <v>18368642.299999997</v>
      </c>
      <c r="S117" s="101">
        <f t="shared" si="28"/>
        <v>221540000.00000006</v>
      </c>
      <c r="T117" s="436">
        <f t="shared" si="29"/>
        <v>2.78127903181259</v>
      </c>
    </row>
    <row r="118" spans="1:21">
      <c r="A118" s="105" t="str">
        <f t="shared" si="27"/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499">
        <v>2213718.67</v>
      </c>
      <c r="H118" s="499">
        <v>2230218.67</v>
      </c>
      <c r="I118" s="499">
        <v>2253586.37</v>
      </c>
      <c r="J118" s="499">
        <v>2274717.66</v>
      </c>
      <c r="K118" s="499">
        <v>2239410.62</v>
      </c>
      <c r="L118" s="499">
        <v>2246098.89</v>
      </c>
      <c r="M118" s="499">
        <v>2274717.66</v>
      </c>
      <c r="N118" s="499">
        <v>2237086.37</v>
      </c>
      <c r="O118" s="499">
        <v>2240348.58</v>
      </c>
      <c r="P118" s="499">
        <v>2255442.8600000003</v>
      </c>
      <c r="Q118" s="499">
        <v>2264704.7000000002</v>
      </c>
      <c r="R118" s="499">
        <v>2266249.9500000002</v>
      </c>
      <c r="S118" s="101">
        <f t="shared" si="28"/>
        <v>26996301</v>
      </c>
      <c r="T118" s="436">
        <f t="shared" si="29"/>
        <v>0.33891958972556308</v>
      </c>
    </row>
    <row r="119" spans="1:21">
      <c r="A119" s="105" t="str">
        <f t="shared" si="27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499">
        <v>63002630.410000004</v>
      </c>
      <c r="H119" s="499">
        <v>65944050.810000002</v>
      </c>
      <c r="I119" s="499">
        <v>63766610.790000007</v>
      </c>
      <c r="J119" s="499">
        <v>64943554.629999995</v>
      </c>
      <c r="K119" s="499">
        <v>64943554.629999995</v>
      </c>
      <c r="L119" s="499">
        <v>64943554.629999995</v>
      </c>
      <c r="M119" s="499">
        <v>64943554.629999995</v>
      </c>
      <c r="N119" s="499">
        <v>64943554.629999995</v>
      </c>
      <c r="O119" s="499">
        <v>64943554.629999995</v>
      </c>
      <c r="P119" s="499">
        <v>64943554.629999995</v>
      </c>
      <c r="Q119" s="499">
        <v>64943554.629999995</v>
      </c>
      <c r="R119" s="499">
        <v>64943554.590000004</v>
      </c>
      <c r="S119" s="101">
        <f t="shared" si="28"/>
        <v>777205283.63999999</v>
      </c>
      <c r="T119" s="436">
        <f t="shared" si="29"/>
        <v>9.7572662219097595</v>
      </c>
    </row>
    <row r="120" spans="1:21">
      <c r="A120" s="105" t="str">
        <f t="shared" si="27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499">
        <v>1296116.4099999999</v>
      </c>
      <c r="H120" s="499">
        <v>2492958.5700000003</v>
      </c>
      <c r="I120" s="499">
        <v>1988435.53</v>
      </c>
      <c r="J120" s="499">
        <v>1904853.6400000001</v>
      </c>
      <c r="K120" s="499">
        <v>1750586.83</v>
      </c>
      <c r="L120" s="499">
        <v>1838301.37</v>
      </c>
      <c r="M120" s="499">
        <v>2255237.94</v>
      </c>
      <c r="N120" s="499">
        <v>2476077.38</v>
      </c>
      <c r="O120" s="499">
        <v>2017779.69</v>
      </c>
      <c r="P120" s="499">
        <v>2411631.87</v>
      </c>
      <c r="Q120" s="499">
        <v>2067622.5</v>
      </c>
      <c r="R120" s="499">
        <v>3060398.27</v>
      </c>
      <c r="S120" s="101">
        <f t="shared" si="28"/>
        <v>25560000.000000004</v>
      </c>
      <c r="T120" s="436">
        <f t="shared" si="29"/>
        <v>0.32088783990760039</v>
      </c>
      <c r="U120" s="243"/>
    </row>
    <row r="121" spans="1:21">
      <c r="A121" s="105" t="str">
        <f t="shared" si="27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1103945.73</v>
      </c>
      <c r="L121" s="499">
        <v>1467545.6500000001</v>
      </c>
      <c r="M121" s="499">
        <v>1458380.57</v>
      </c>
      <c r="N121" s="499">
        <v>1235267.19</v>
      </c>
      <c r="O121" s="499">
        <v>1589435.75</v>
      </c>
      <c r="P121" s="499">
        <v>1406533.8599999999</v>
      </c>
      <c r="Q121" s="499">
        <v>1676066.2599999998</v>
      </c>
      <c r="R121" s="499">
        <v>1641465.3199999998</v>
      </c>
      <c r="S121" s="101">
        <f t="shared" si="28"/>
        <v>16700000</v>
      </c>
      <c r="T121" s="436">
        <f t="shared" si="29"/>
        <v>0.20965676551083437</v>
      </c>
      <c r="U121" s="243"/>
    </row>
    <row r="122" spans="1:21">
      <c r="A122" s="105" t="str">
        <f t="shared" si="27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510">
        <v>24931013.689999998</v>
      </c>
      <c r="H122" s="510">
        <v>31180928.069999997</v>
      </c>
      <c r="I122" s="510">
        <v>39918580.100000001</v>
      </c>
      <c r="J122" s="510">
        <v>40676903.800000004</v>
      </c>
      <c r="K122" s="510">
        <v>29994454.979999997</v>
      </c>
      <c r="L122" s="510">
        <v>44921912.290000007</v>
      </c>
      <c r="M122" s="510">
        <v>39798592.359999999</v>
      </c>
      <c r="N122" s="510">
        <v>25912246.900000006</v>
      </c>
      <c r="O122" s="510">
        <v>35907613.540000007</v>
      </c>
      <c r="P122" s="510">
        <v>33699136.390000001</v>
      </c>
      <c r="Q122" s="510">
        <v>32226924.029999997</v>
      </c>
      <c r="R122" s="510">
        <v>67235988.709999993</v>
      </c>
      <c r="S122" s="546">
        <f>+SUM(G122:R122)</f>
        <v>446404294.86000001</v>
      </c>
      <c r="T122" s="522">
        <f t="shared" si="29"/>
        <v>5.6042922497300829</v>
      </c>
      <c r="U122" s="243"/>
    </row>
    <row r="123" spans="1:21">
      <c r="A123" s="105" t="str">
        <f t="shared" si="27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510">
        <v>5501947.6000000006</v>
      </c>
      <c r="H123" s="510">
        <v>13559201.519999998</v>
      </c>
      <c r="I123" s="510">
        <v>20399713.319999993</v>
      </c>
      <c r="J123" s="510">
        <v>25745571.160000011</v>
      </c>
      <c r="K123" s="510">
        <v>15614229.359999996</v>
      </c>
      <c r="L123" s="510">
        <v>17136236.030000009</v>
      </c>
      <c r="M123" s="510">
        <v>26831930.680000003</v>
      </c>
      <c r="N123" s="510">
        <v>12551879.530000005</v>
      </c>
      <c r="O123" s="510">
        <v>30540650.899999999</v>
      </c>
      <c r="P123" s="510">
        <v>31370855.230000012</v>
      </c>
      <c r="Q123" s="510">
        <v>29504258.710000005</v>
      </c>
      <c r="R123" s="510">
        <v>94133149.759999976</v>
      </c>
      <c r="S123" s="546">
        <f>+SUM(G123:R123)</f>
        <v>322889623.80000001</v>
      </c>
      <c r="T123" s="522">
        <f t="shared" si="29"/>
        <v>4.0536523438873129</v>
      </c>
      <c r="U123" s="243"/>
    </row>
    <row r="124" spans="1:21">
      <c r="A124" s="105" t="str">
        <f t="shared" si="27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43"/>
    </row>
    <row r="125" spans="1:21">
      <c r="A125" s="105" t="str">
        <f t="shared" si="27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501">
        <v>8050000</v>
      </c>
      <c r="H125" s="501">
        <v>8050000</v>
      </c>
      <c r="I125" s="501">
        <v>2744200</v>
      </c>
      <c r="J125" s="501">
        <v>2744200</v>
      </c>
      <c r="K125" s="501">
        <v>2744200</v>
      </c>
      <c r="L125" s="501">
        <v>2744200</v>
      </c>
      <c r="M125" s="501">
        <v>2744200</v>
      </c>
      <c r="N125" s="501">
        <v>2744200</v>
      </c>
      <c r="O125" s="501">
        <v>2744200</v>
      </c>
      <c r="P125" s="501">
        <v>2744200</v>
      </c>
      <c r="Q125" s="501">
        <v>2744200</v>
      </c>
      <c r="R125" s="501">
        <v>2744200</v>
      </c>
      <c r="S125" s="101">
        <f t="shared" si="28"/>
        <v>43542000</v>
      </c>
      <c r="T125" s="436">
        <f t="shared" si="29"/>
        <v>0.54663921460315867</v>
      </c>
      <c r="U125" s="243"/>
    </row>
    <row r="126" spans="1:21">
      <c r="A126" s="105" t="str">
        <f t="shared" si="27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5.1472669294699562E-2</v>
      </c>
      <c r="U126" s="243"/>
    </row>
    <row r="127" spans="1:21">
      <c r="A127" s="106" t="str">
        <f t="shared" si="27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502">
        <v>2082188.5899999999</v>
      </c>
      <c r="H127" s="501">
        <v>2163488.44</v>
      </c>
      <c r="I127" s="501">
        <v>3283784.5499999984</v>
      </c>
      <c r="J127" s="501">
        <v>2152442.1499999985</v>
      </c>
      <c r="K127" s="501">
        <v>2143361.0899999985</v>
      </c>
      <c r="L127" s="501">
        <v>2478429.92</v>
      </c>
      <c r="M127" s="501">
        <v>2693042.0200000005</v>
      </c>
      <c r="N127" s="501">
        <v>773149.11999999965</v>
      </c>
      <c r="O127" s="501">
        <v>1271596.98</v>
      </c>
      <c r="P127" s="501">
        <v>1063836.8799999992</v>
      </c>
      <c r="Q127" s="501">
        <v>1305211.3999999999</v>
      </c>
      <c r="R127" s="501">
        <v>2144956.1999999997</v>
      </c>
      <c r="S127" s="92">
        <f>+SUM(G127:R127)</f>
        <v>23555487.339999992</v>
      </c>
      <c r="T127" s="444">
        <f t="shared" si="29"/>
        <v>0.29572259196022788</v>
      </c>
      <c r="U127" s="243"/>
    </row>
    <row r="128" spans="1:21" ht="13.5" thickBot="1">
      <c r="A128" s="105" t="str">
        <f t="shared" si="27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43"/>
    </row>
    <row r="129" spans="1:21" ht="13.5" thickBot="1">
      <c r="A129" s="106" t="str">
        <f t="shared" si="27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504">
        <f t="shared" ref="G129:R129" si="34">+G86-G105</f>
        <v>-55070863.040000051</v>
      </c>
      <c r="H129" s="505">
        <f t="shared" si="34"/>
        <v>-48438434.947298497</v>
      </c>
      <c r="I129" s="504">
        <f t="shared" si="34"/>
        <v>-17303118.139224499</v>
      </c>
      <c r="J129" s="504">
        <f t="shared" si="34"/>
        <v>45151774.289589822</v>
      </c>
      <c r="K129" s="504">
        <f t="shared" si="34"/>
        <v>-30469294.758635521</v>
      </c>
      <c r="L129" s="504">
        <f t="shared" si="34"/>
        <v>-10162713.438242584</v>
      </c>
      <c r="M129" s="504">
        <f t="shared" si="34"/>
        <v>-12074440.568551838</v>
      </c>
      <c r="N129" s="504">
        <f t="shared" si="34"/>
        <v>42018300.073196143</v>
      </c>
      <c r="O129" s="504">
        <f t="shared" si="34"/>
        <v>-17166538.36333555</v>
      </c>
      <c r="P129" s="504">
        <f t="shared" si="34"/>
        <v>-3575779.3739515245</v>
      </c>
      <c r="Q129" s="504">
        <f t="shared" si="34"/>
        <v>-21305603.359269947</v>
      </c>
      <c r="R129" s="504">
        <f t="shared" si="34"/>
        <v>-149748654.59929624</v>
      </c>
      <c r="S129" s="550">
        <f t="shared" si="28"/>
        <v>-278145366.22502029</v>
      </c>
      <c r="T129" s="531">
        <f t="shared" si="29"/>
        <v>-3.491919630213427</v>
      </c>
      <c r="U129" s="243"/>
    </row>
    <row r="130" spans="1:21" ht="13.5" thickBot="1">
      <c r="A130" s="106" t="str">
        <f t="shared" si="27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506">
        <f>+G129+G112</f>
        <v>-51265629.370000049</v>
      </c>
      <c r="H130" s="506">
        <f t="shared" ref="H130:R130" si="35">+H129+H112</f>
        <v>-44860181.867298499</v>
      </c>
      <c r="I130" s="506">
        <f t="shared" si="35"/>
        <v>8510848.7507755011</v>
      </c>
      <c r="J130" s="506">
        <f t="shared" si="35"/>
        <v>66846387.189589821</v>
      </c>
      <c r="K130" s="506">
        <f t="shared" si="35"/>
        <v>-17580676.218635522</v>
      </c>
      <c r="L130" s="506">
        <f t="shared" si="35"/>
        <v>-3107832.2882425822</v>
      </c>
      <c r="M130" s="506">
        <f t="shared" si="35"/>
        <v>-7449348.7085518371</v>
      </c>
      <c r="N130" s="506">
        <f t="shared" si="35"/>
        <v>47349842.333196141</v>
      </c>
      <c r="O130" s="506">
        <f t="shared" si="35"/>
        <v>6423236.6566644497</v>
      </c>
      <c r="P130" s="506">
        <f t="shared" si="35"/>
        <v>11203922.606048476</v>
      </c>
      <c r="Q130" s="506">
        <f t="shared" si="35"/>
        <v>-10970971.899269946</v>
      </c>
      <c r="R130" s="506">
        <f t="shared" si="35"/>
        <v>-123722985.90929624</v>
      </c>
      <c r="S130" s="550">
        <f t="shared" si="28"/>
        <v>-118623388.72502029</v>
      </c>
      <c r="T130" s="531">
        <f t="shared" si="29"/>
        <v>-1.4892332930552175</v>
      </c>
      <c r="U130" s="243"/>
    </row>
    <row r="131" spans="1:21">
      <c r="A131" s="106" t="str">
        <f t="shared" si="27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507">
        <f>+SUM(G132:G133)</f>
        <v>34629783.640000001</v>
      </c>
      <c r="H131" s="507">
        <f t="shared" ref="H131:R131" si="36">+SUM(H132:H133)</f>
        <v>9258152.0600000005</v>
      </c>
      <c r="I131" s="507">
        <f t="shared" si="36"/>
        <v>37277725.75</v>
      </c>
      <c r="J131" s="507">
        <f t="shared" si="36"/>
        <v>509032718.42000002</v>
      </c>
      <c r="K131" s="507">
        <f t="shared" si="36"/>
        <v>51424972.890000001</v>
      </c>
      <c r="L131" s="507">
        <f t="shared" si="36"/>
        <v>38999380.129999995</v>
      </c>
      <c r="M131" s="508">
        <f t="shared" si="36"/>
        <v>34464831.550000004</v>
      </c>
      <c r="N131" s="507">
        <f t="shared" si="36"/>
        <v>12238304.779999999</v>
      </c>
      <c r="O131" s="507">
        <f t="shared" si="36"/>
        <v>26363598.969999999</v>
      </c>
      <c r="P131" s="507">
        <f t="shared" si="36"/>
        <v>15223291.52</v>
      </c>
      <c r="Q131" s="507">
        <f t="shared" si="36"/>
        <v>24879249.909999996</v>
      </c>
      <c r="R131" s="507">
        <f t="shared" si="36"/>
        <v>27119636.140000001</v>
      </c>
      <c r="S131" s="551">
        <f t="shared" si="28"/>
        <v>820911645.75999987</v>
      </c>
      <c r="T131" s="533">
        <f t="shared" si="29"/>
        <v>10.305968887438169</v>
      </c>
      <c r="U131" s="243"/>
    </row>
    <row r="132" spans="1:21">
      <c r="A132" s="106" t="str">
        <f t="shared" si="27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502">
        <v>1994016.24</v>
      </c>
      <c r="H132" s="502">
        <v>1708211.7699999998</v>
      </c>
      <c r="I132" s="502">
        <v>4420663.5200000005</v>
      </c>
      <c r="J132" s="502">
        <v>2031985.0399999998</v>
      </c>
      <c r="K132" s="502">
        <v>2791685.76</v>
      </c>
      <c r="L132" s="502">
        <v>15431758.25</v>
      </c>
      <c r="M132" s="503">
        <v>1717903.2899999998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15763777.100000001</v>
      </c>
      <c r="S132" s="92">
        <f t="shared" si="28"/>
        <v>56781644.759999998</v>
      </c>
      <c r="T132" s="444">
        <f t="shared" si="29"/>
        <v>0.71285365154292313</v>
      </c>
      <c r="U132" s="243"/>
    </row>
    <row r="133" spans="1:21" ht="13.5" thickBot="1">
      <c r="A133" s="106" t="str">
        <f t="shared" si="27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502">
        <v>32635767.399999999</v>
      </c>
      <c r="H133" s="502">
        <v>7549940.29</v>
      </c>
      <c r="I133" s="502">
        <v>32857062.23</v>
      </c>
      <c r="J133" s="502">
        <v>507000733.38</v>
      </c>
      <c r="K133" s="502">
        <v>48633287.130000003</v>
      </c>
      <c r="L133" s="502">
        <v>23567621.879999999</v>
      </c>
      <c r="M133" s="503">
        <v>32746928.260000002</v>
      </c>
      <c r="N133" s="503">
        <v>10485842.68</v>
      </c>
      <c r="O133" s="503">
        <v>21807815.07</v>
      </c>
      <c r="P133" s="503">
        <v>13475298.74</v>
      </c>
      <c r="Q133" s="503">
        <v>22013844.899999999</v>
      </c>
      <c r="R133" s="503">
        <v>11355859.039999999</v>
      </c>
      <c r="S133" s="92">
        <f t="shared" si="28"/>
        <v>764130000.99999988</v>
      </c>
      <c r="T133" s="444">
        <f t="shared" si="29"/>
        <v>9.5931152358952456</v>
      </c>
      <c r="U133" s="243"/>
    </row>
    <row r="134" spans="1:21" ht="13.5" thickBot="1">
      <c r="A134" s="106" t="str">
        <f t="shared" si="27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504">
        <v>0</v>
      </c>
      <c r="H134" s="504">
        <v>5000</v>
      </c>
      <c r="I134" s="504">
        <v>3420000.36</v>
      </c>
      <c r="J134" s="504">
        <v>3420000.36</v>
      </c>
      <c r="K134" s="504">
        <v>3420000.36</v>
      </c>
      <c r="L134" s="504">
        <v>3420000.36</v>
      </c>
      <c r="M134" s="504">
        <v>3420000.36</v>
      </c>
      <c r="N134" s="504">
        <v>3420000.36</v>
      </c>
      <c r="O134" s="504">
        <v>3420000.36</v>
      </c>
      <c r="P134" s="504">
        <v>3420000.36</v>
      </c>
      <c r="Q134" s="504">
        <v>3420000.36</v>
      </c>
      <c r="R134" s="504">
        <v>3420001.36</v>
      </c>
      <c r="S134" s="550">
        <f t="shared" si="28"/>
        <v>34205004.600000001</v>
      </c>
      <c r="T134" s="531">
        <f t="shared" si="29"/>
        <v>0.42941979812689884</v>
      </c>
      <c r="U134" s="243"/>
    </row>
    <row r="135" spans="1:21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500">
        <v>0</v>
      </c>
      <c r="H135" s="500">
        <v>1500000</v>
      </c>
      <c r="I135" s="500">
        <v>780000.59999999986</v>
      </c>
      <c r="J135" s="500">
        <v>780000.59999999986</v>
      </c>
      <c r="K135" s="500">
        <v>780000.59999999986</v>
      </c>
      <c r="L135" s="500">
        <v>780000.59999999986</v>
      </c>
      <c r="M135" s="500">
        <v>180000.6</v>
      </c>
      <c r="N135" s="500">
        <v>180000.6</v>
      </c>
      <c r="O135" s="500">
        <v>780000.59999999986</v>
      </c>
      <c r="P135" s="500">
        <v>780000.59999999986</v>
      </c>
      <c r="Q135" s="500">
        <v>480000.60000000003</v>
      </c>
      <c r="R135" s="500">
        <v>480000.60000000003</v>
      </c>
      <c r="S135" s="550">
        <f t="shared" si="28"/>
        <v>7500005.9999999963</v>
      </c>
      <c r="T135" s="531">
        <f t="shared" si="29"/>
        <v>9.4157305345619766E-2</v>
      </c>
      <c r="U135" s="243"/>
    </row>
    <row r="136" spans="1:21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509">
        <f>+G129-G131-G134-G135</f>
        <v>-89700646.680000052</v>
      </c>
      <c r="H136" s="509">
        <f t="shared" ref="H136:R136" si="37">+H129-H131-H134-H135</f>
        <v>-59201587.007298499</v>
      </c>
      <c r="I136" s="509">
        <f t="shared" si="37"/>
        <v>-58780844.8492245</v>
      </c>
      <c r="J136" s="509">
        <f t="shared" si="37"/>
        <v>-468080945.09041023</v>
      </c>
      <c r="K136" s="509">
        <f t="shared" si="37"/>
        <v>-86094268.608635515</v>
      </c>
      <c r="L136" s="509">
        <f t="shared" si="37"/>
        <v>-53362094.528242581</v>
      </c>
      <c r="M136" s="509">
        <f t="shared" si="37"/>
        <v>-50139273.078551844</v>
      </c>
      <c r="N136" s="509">
        <f t="shared" si="37"/>
        <v>26179994.333196141</v>
      </c>
      <c r="O136" s="509">
        <f t="shared" si="37"/>
        <v>-47730138.29333555</v>
      </c>
      <c r="P136" s="509">
        <f t="shared" si="37"/>
        <v>-22999071.853951525</v>
      </c>
      <c r="Q136" s="509">
        <f t="shared" si="37"/>
        <v>-50084854.229269944</v>
      </c>
      <c r="R136" s="509">
        <f t="shared" si="37"/>
        <v>-180768292.69929627</v>
      </c>
      <c r="S136" s="552">
        <f t="shared" si="28"/>
        <v>-1140762022.5850205</v>
      </c>
      <c r="T136" s="535">
        <f t="shared" si="29"/>
        <v>-14.321465621124119</v>
      </c>
      <c r="U136" s="243"/>
    </row>
    <row r="137" spans="1:21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504">
        <f t="shared" ref="G137" si="38">+SUM(G138:G142)</f>
        <v>89700646.680000052</v>
      </c>
      <c r="H137" s="504">
        <f t="shared" ref="H137:R137" si="39">+SUM(H138:H142)</f>
        <v>59201587.007298499</v>
      </c>
      <c r="I137" s="504">
        <f t="shared" si="39"/>
        <v>58780844.8492245</v>
      </c>
      <c r="J137" s="504">
        <f t="shared" si="39"/>
        <v>468080945.09041023</v>
      </c>
      <c r="K137" s="504">
        <f t="shared" si="39"/>
        <v>86094268.608635515</v>
      </c>
      <c r="L137" s="504">
        <f t="shared" si="39"/>
        <v>53362094.528242581</v>
      </c>
      <c r="M137" s="504">
        <f t="shared" si="39"/>
        <v>50139273.078551844</v>
      </c>
      <c r="N137" s="504">
        <f t="shared" si="39"/>
        <v>-26179994.333196141</v>
      </c>
      <c r="O137" s="504">
        <f t="shared" si="39"/>
        <v>47730138.29333555</v>
      </c>
      <c r="P137" s="504">
        <f t="shared" si="39"/>
        <v>22999071.853951525</v>
      </c>
      <c r="Q137" s="504">
        <f t="shared" si="39"/>
        <v>50084854.229269944</v>
      </c>
      <c r="R137" s="504">
        <f t="shared" si="39"/>
        <v>180768292.69929627</v>
      </c>
      <c r="S137" s="553">
        <f t="shared" si="28"/>
        <v>1140762022.5850205</v>
      </c>
      <c r="T137" s="537">
        <f t="shared" si="29"/>
        <v>14.321465621124119</v>
      </c>
      <c r="U137" s="243"/>
    </row>
    <row r="138" spans="1:21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35014118.590000004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28"/>
        <v>35014118.590000004</v>
      </c>
      <c r="T138" s="444">
        <f t="shared" si="29"/>
        <v>0.43957765573605856</v>
      </c>
      <c r="U138" s="243"/>
    </row>
    <row r="139" spans="1:21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502">
        <v>0</v>
      </c>
      <c r="H139" s="502">
        <v>0</v>
      </c>
      <c r="I139" s="502">
        <v>0</v>
      </c>
      <c r="J139" s="502">
        <v>850000000</v>
      </c>
      <c r="K139" s="502">
        <v>0</v>
      </c>
      <c r="L139" s="502">
        <v>0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850000000</v>
      </c>
      <c r="T139" s="444">
        <f t="shared" si="29"/>
        <v>10.671152735581389</v>
      </c>
      <c r="U139" s="243"/>
    </row>
    <row r="140" spans="1:21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7.5325784015868633E-2</v>
      </c>
      <c r="U140" s="243"/>
    </row>
    <row r="141" spans="1:21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0.12237808521857031</v>
      </c>
      <c r="U141" s="243"/>
    </row>
    <row r="142" spans="1:21" ht="13.5" thickBot="1">
      <c r="A142" s="106" t="str">
        <f t="shared" ref="A142" si="4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89119124.34348534</v>
      </c>
      <c r="H142" s="86">
        <f t="shared" ref="H142:R142" si="41">-H136-SUM(H138:H141)</f>
        <v>58255613.894182786</v>
      </c>
      <c r="I142" s="86">
        <f t="shared" si="41"/>
        <v>57977697.339923441</v>
      </c>
      <c r="J142" s="86">
        <f t="shared" si="41"/>
        <v>-382830726.20150948</v>
      </c>
      <c r="K142" s="86">
        <f t="shared" si="41"/>
        <v>84641049.798458472</v>
      </c>
      <c r="L142" s="86">
        <f t="shared" si="41"/>
        <v>16317045.345546715</v>
      </c>
      <c r="M142" s="86">
        <f t="shared" si="41"/>
        <v>49480553.214294419</v>
      </c>
      <c r="N142" s="86">
        <f>-N136-SUM(N138:N141)</f>
        <v>-28207447.298324399</v>
      </c>
      <c r="O142" s="86">
        <f>-O136-SUM(O138:O141)</f>
        <v>47013701.483625539</v>
      </c>
      <c r="P142" s="86">
        <f t="shared" si="41"/>
        <v>22235885.1641916</v>
      </c>
      <c r="Q142" s="86">
        <f t="shared" si="41"/>
        <v>47881261.753553711</v>
      </c>
      <c r="R142" s="86">
        <f t="shared" si="41"/>
        <v>178116241.15759218</v>
      </c>
      <c r="S142" s="94">
        <f>+SUM(G142:R142)</f>
        <v>239999999.99502033</v>
      </c>
      <c r="T142" s="448">
        <f t="shared" si="29"/>
        <v>3.0130313605722292</v>
      </c>
    </row>
    <row r="144" spans="1:21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RpKLOjtfPpBZLrCWV6mFSUdppoc42UnDNEYueHlZm7wRrhbb6Uik15QGtMpc6Rm9XNrlwzsId/dBoY9bv/7enw==" saltValue="0BS729ZbFLQ5o9TJMlukEw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2023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6963615000</v>
      </c>
    </row>
    <row r="8" spans="1:24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4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2" t="s">
        <v>101</v>
      </c>
      <c r="C65" s="563"/>
      <c r="D65" s="563"/>
      <c r="E65" s="563"/>
      <c r="F65" s="563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2023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6624340418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2022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5796761000</v>
      </c>
    </row>
    <row r="8" spans="1:23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3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78" t="str">
        <f>+VLOOKUP($A63,Master!$D$30:$G$226,4,FALSE)</f>
        <v>Pozajmice i krediti od inostranih izvora</v>
      </c>
      <c r="C63" s="579"/>
      <c r="D63" s="579"/>
      <c r="E63" s="579"/>
      <c r="F63" s="579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2" t="s">
        <v>101</v>
      </c>
      <c r="C65" s="563"/>
      <c r="D65" s="563"/>
      <c r="E65" s="563"/>
      <c r="F65" s="563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2022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5700400000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3" t="str">
        <f>+VLOOKUP(LEFT($A135,LEN(A135)-1)*1,Master!$D$30:$G$226,4,FALSE)</f>
        <v>Nedostajuća sredstva</v>
      </c>
      <c r="C135" s="654"/>
      <c r="D135" s="654"/>
      <c r="E135" s="654"/>
      <c r="F135" s="654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7" t="str">
        <f>+VLOOKUP(LEFT($A136,LEN(A136)-1)*1,Master!$D$30:$G$226,4,FALSE)</f>
        <v>Finansiranje</v>
      </c>
      <c r="C136" s="628"/>
      <c r="D136" s="628"/>
      <c r="E136" s="628"/>
      <c r="F136" s="628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5" t="str">
        <f>+VLOOKUP(LEFT($A137,LEN(A137)-1)*1,Master!$D$30:$G$226,4,FALSE)</f>
        <v>Pozajmice i krediti od domaćih izvora</v>
      </c>
      <c r="C137" s="656"/>
      <c r="D137" s="656"/>
      <c r="E137" s="656"/>
      <c r="F137" s="656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49" t="str">
        <f>+VLOOKUP(LEFT($A138,LEN(A138)-1)*1,Master!$D$30:$G$226,4,FALSE)</f>
        <v>Pozajmice i krediti od inostranih izvora</v>
      </c>
      <c r="C138" s="650"/>
      <c r="D138" s="650"/>
      <c r="E138" s="650"/>
      <c r="F138" s="650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49" t="str">
        <f>+VLOOKUP(LEFT($A139,LEN(A139)-1)*1,Master!$D$30:$G$226,4,FALSE)</f>
        <v>Primici od prodaje imovine</v>
      </c>
      <c r="C139" s="650"/>
      <c r="D139" s="650"/>
      <c r="E139" s="650"/>
      <c r="F139" s="650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2021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4955116000</v>
      </c>
    </row>
    <row r="8" spans="1:22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2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4" t="str">
        <f>+VLOOKUP($A19,Master!$D$30:$G$226,4,FALSE)</f>
        <v>Doprinosi</v>
      </c>
      <c r="C19" s="605"/>
      <c r="D19" s="605"/>
      <c r="E19" s="605"/>
      <c r="F19" s="605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2" t="str">
        <f>+VLOOKUP($A39,Master!$D$30:$G$226,4,FALSE)</f>
        <v>Ostali izdaci</v>
      </c>
      <c r="C39" s="613"/>
      <c r="D39" s="613"/>
      <c r="E39" s="613"/>
      <c r="F39" s="613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2" t="str">
        <f>+VLOOKUP($A59,Master!$D$30:$G$226,4,FALSE)</f>
        <v>Nedostajuća sredstva</v>
      </c>
      <c r="C59" s="583"/>
      <c r="D59" s="583"/>
      <c r="E59" s="583"/>
      <c r="F59" s="583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4" t="str">
        <f>+VLOOKUP($A60,Master!$D$30:$G$226,4,FALSE)</f>
        <v>Finansiranje</v>
      </c>
      <c r="C60" s="585"/>
      <c r="D60" s="585"/>
      <c r="E60" s="585"/>
      <c r="F60" s="585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78" t="str">
        <f>+VLOOKUP($A61,Master!$D$30:$G$226,4,FALSE)</f>
        <v>Pozajmice i krediti od domaćih izvora</v>
      </c>
      <c r="C61" s="579"/>
      <c r="D61" s="579"/>
      <c r="E61" s="579"/>
      <c r="F61" s="579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2" t="str">
        <f>+VLOOKUP($A62,Master!$D$30:$G$226,4,FALSE)</f>
        <v>Pozajmice i krediti od inostranih izvora</v>
      </c>
      <c r="C62" s="563"/>
      <c r="D62" s="563"/>
      <c r="E62" s="563"/>
      <c r="F62" s="563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2" t="str">
        <f>+VLOOKUP($A63,Master!$D$30:$G$226,4,FALSE)</f>
        <v>Primici od prodaje imovine</v>
      </c>
      <c r="C63" s="563"/>
      <c r="D63" s="563"/>
      <c r="E63" s="563"/>
      <c r="F63" s="563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3" t="str">
        <f>+Master!G253</f>
        <v>Plan ostvarenja budžeta</v>
      </c>
      <c r="C81" s="634"/>
      <c r="D81" s="634"/>
      <c r="E81" s="634"/>
      <c r="F81" s="634"/>
      <c r="G81" s="618">
        <v>2021</v>
      </c>
      <c r="H81" s="619"/>
      <c r="I81" s="619"/>
      <c r="J81" s="619"/>
      <c r="K81" s="619"/>
      <c r="L81" s="619"/>
      <c r="M81" s="619"/>
      <c r="N81" s="619"/>
      <c r="O81" s="619"/>
      <c r="P81" s="619"/>
      <c r="Q81" s="619"/>
      <c r="R81" s="620"/>
      <c r="S81" s="96" t="str">
        <f>+S7</f>
        <v>BDP</v>
      </c>
      <c r="T81" s="97">
        <v>4636600000</v>
      </c>
    </row>
    <row r="82" spans="1:21" ht="15.75" customHeight="1">
      <c r="B82" s="635"/>
      <c r="C82" s="636"/>
      <c r="D82" s="636"/>
      <c r="E82" s="636"/>
      <c r="F82" s="637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18" t="str">
        <f>+Master!G247</f>
        <v>Jan - Dec</v>
      </c>
      <c r="T82" s="620">
        <f>+T8</f>
        <v>0</v>
      </c>
    </row>
    <row r="83" spans="1:21" ht="13.5" thickBot="1">
      <c r="B83" s="638"/>
      <c r="C83" s="639"/>
      <c r="D83" s="639"/>
      <c r="E83" s="639"/>
      <c r="F83" s="640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3" t="str">
        <f>+VLOOKUP(LEFT($A84,LEN(A84)-1)*1,Master!$D$30:$G$226,4,FALSE)</f>
        <v>Prihodi budžeta</v>
      </c>
      <c r="C84" s="664"/>
      <c r="D84" s="664"/>
      <c r="E84" s="664"/>
      <c r="F84" s="664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9" t="str">
        <f>+VLOOKUP(LEFT($A85,LEN(A85)-1)*1,Master!$D$30:$G$226,4,FALSE)</f>
        <v>Porezi</v>
      </c>
      <c r="C85" s="630"/>
      <c r="D85" s="630"/>
      <c r="E85" s="630"/>
      <c r="F85" s="630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1" t="str">
        <f>+VLOOKUP(LEFT($A86,LEN(A86)-1)*1,Master!$D$30:$G$229,4,FALSE)</f>
        <v>Porez na dohodak fizičkih lica</v>
      </c>
      <c r="C86" s="632"/>
      <c r="D86" s="632"/>
      <c r="E86" s="632"/>
      <c r="F86" s="632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1" t="str">
        <f>+VLOOKUP(LEFT($A87,LEN(A87)-1)*1,Master!$D$30:$G$229,4,FALSE)</f>
        <v>Porez na dobit pravnih lica</v>
      </c>
      <c r="C87" s="632"/>
      <c r="D87" s="632"/>
      <c r="E87" s="632"/>
      <c r="F87" s="632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1" t="str">
        <f>+VLOOKUP(LEFT($A88,LEN(A88)-1)*1,Master!$D$30:$G$229,4,FALSE)</f>
        <v>Porez na promet nepokretnosti</v>
      </c>
      <c r="C88" s="632"/>
      <c r="D88" s="632"/>
      <c r="E88" s="632"/>
      <c r="F88" s="632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1" t="str">
        <f>+VLOOKUP(LEFT($A89,LEN(A89)-1)*1,Master!$D$30:$G$229,4,FALSE)</f>
        <v>Porez na dodatu vrijednost</v>
      </c>
      <c r="C89" s="632"/>
      <c r="D89" s="632"/>
      <c r="E89" s="632"/>
      <c r="F89" s="632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1" t="str">
        <f>+VLOOKUP(LEFT($A90,LEN(A90)-1)*1,Master!$D$30:$G$229,4,FALSE)</f>
        <v>Akcize</v>
      </c>
      <c r="C90" s="632"/>
      <c r="D90" s="632"/>
      <c r="E90" s="632"/>
      <c r="F90" s="632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1" t="str">
        <f>+VLOOKUP(LEFT($A91,LEN(A91)-1)*1,Master!$D$30:$G$229,4,FALSE)</f>
        <v>Porez na međunarodnu trgovinu i transakcije</v>
      </c>
      <c r="C91" s="632"/>
      <c r="D91" s="632"/>
      <c r="E91" s="632"/>
      <c r="F91" s="632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1" t="str">
        <f>+VLOOKUP(LEFT($A92,LEN(A92)-1)*1,Master!$D$30:$G$229,4,FALSE)</f>
        <v>Ostali državni porezi</v>
      </c>
      <c r="C92" s="632"/>
      <c r="D92" s="632"/>
      <c r="E92" s="632"/>
      <c r="F92" s="632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1" t="str">
        <f>+VLOOKUP(LEFT($A93,LEN(A93)-1)*1,Master!$D$30:$G$229,4,FALSE)</f>
        <v>Doprinosi</v>
      </c>
      <c r="C93" s="662"/>
      <c r="D93" s="662"/>
      <c r="E93" s="662"/>
      <c r="F93" s="662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1" t="str">
        <f>+VLOOKUP(LEFT($A94,LEN(A94)-1)*1,Master!$D$30:$G$229,4,FALSE)</f>
        <v>Doprinosi za penzijsko i invalidsko osiguranje</v>
      </c>
      <c r="C94" s="632"/>
      <c r="D94" s="632"/>
      <c r="E94" s="632"/>
      <c r="F94" s="632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1" t="str">
        <f>+VLOOKUP(LEFT($A95,LEN(A95)-1)*1,Master!$D$30:$G$229,4,FALSE)</f>
        <v>Doprinosi za zdravstveno osiguranje</v>
      </c>
      <c r="C95" s="632"/>
      <c r="D95" s="632"/>
      <c r="E95" s="632"/>
      <c r="F95" s="632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1" t="str">
        <f>+VLOOKUP(LEFT($A96,LEN(A96)-1)*1,Master!$D$30:$G$229,4,FALSE)</f>
        <v>Doprinosi za osiguranje od nezaposlenosti</v>
      </c>
      <c r="C96" s="632"/>
      <c r="D96" s="632"/>
      <c r="E96" s="632"/>
      <c r="F96" s="632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1" t="str">
        <f>+VLOOKUP(LEFT($A97,LEN(A97)-1)*1,Master!$D$30:$G$229,4,FALSE)</f>
        <v>Ostali doprinosi</v>
      </c>
      <c r="C97" s="632"/>
      <c r="D97" s="632"/>
      <c r="E97" s="632"/>
      <c r="F97" s="632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1" t="str">
        <f>+VLOOKUP(LEFT($A98,LEN(A98)-1)*1,Master!$D$30:$G$229,4,FALSE)</f>
        <v>Takse</v>
      </c>
      <c r="C98" s="642"/>
      <c r="D98" s="642"/>
      <c r="E98" s="642"/>
      <c r="F98" s="642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1" t="str">
        <f>+VLOOKUP(LEFT($A99,LEN(A99)-1)*1,Master!$D$30:$G$229,4,FALSE)</f>
        <v>Naknade</v>
      </c>
      <c r="C99" s="642"/>
      <c r="D99" s="642"/>
      <c r="E99" s="642"/>
      <c r="F99" s="642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1" t="str">
        <f>+VLOOKUP(LEFT($A100,LEN(A100)-1)*1,Master!$D$30:$G$229,4,FALSE)</f>
        <v>Ostali prihodi</v>
      </c>
      <c r="C100" s="642"/>
      <c r="D100" s="642"/>
      <c r="E100" s="642"/>
      <c r="F100" s="642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1" t="str">
        <f>+VLOOKUP(LEFT($A101,LEN(A101)-1)*1,Master!$D$30:$G$229,4,FALSE)</f>
        <v>Primici od otplate kredita i sredstva prenesena iz prethodne godine</v>
      </c>
      <c r="C101" s="642"/>
      <c r="D101" s="642"/>
      <c r="E101" s="642"/>
      <c r="F101" s="642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3" t="str">
        <f>+VLOOKUP(LEFT($A102,LEN(A102)-1)*1,Master!$D$30:$G$229,4,FALSE)</f>
        <v>Donacije i transferi</v>
      </c>
      <c r="C102" s="644"/>
      <c r="D102" s="644"/>
      <c r="E102" s="644"/>
      <c r="F102" s="644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7" t="str">
        <f>+VLOOKUP(LEFT($A103,LEN(A103)-1)*1,Master!$D$30:$G$229,4,FALSE)</f>
        <v>Izdaci budžeta</v>
      </c>
      <c r="C103" s="628"/>
      <c r="D103" s="628"/>
      <c r="E103" s="628"/>
      <c r="F103" s="628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5" t="str">
        <f>+VLOOKUP(LEFT($A104,LEN(A104)-1)*1,Master!$D$30:$G$229,4,FALSE)</f>
        <v>Tekući izdaci</v>
      </c>
      <c r="C104" s="646"/>
      <c r="D104" s="646"/>
      <c r="E104" s="646"/>
      <c r="F104" s="646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1" t="str">
        <f>+VLOOKUP(LEFT($A105,LEN(A105)-1)*1,Master!$D$30:$G$229,4,FALSE)</f>
        <v>Bruto zarade i doprinosi na teret poslodavca</v>
      </c>
      <c r="C105" s="632"/>
      <c r="D105" s="632"/>
      <c r="E105" s="632"/>
      <c r="F105" s="632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1" t="str">
        <f>+VLOOKUP(LEFT($A106,LEN(A106)-1)*1,Master!$D$30:$G$229,4,FALSE)</f>
        <v>Ostala lična primanja</v>
      </c>
      <c r="C106" s="632"/>
      <c r="D106" s="632"/>
      <c r="E106" s="632"/>
      <c r="F106" s="632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1" t="str">
        <f>+VLOOKUP(LEFT($A107,LEN(A107)-1)*1,Master!$D$30:$G$229,4,FALSE)</f>
        <v>Rashodi za materijal</v>
      </c>
      <c r="C107" s="632"/>
      <c r="D107" s="632"/>
      <c r="E107" s="632"/>
      <c r="F107" s="632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1" t="str">
        <f>+VLOOKUP(LEFT($A108,LEN(A108)-1)*1,Master!$D$30:$G$229,4,FALSE)</f>
        <v>Rashodi za usluge</v>
      </c>
      <c r="C108" s="632"/>
      <c r="D108" s="632"/>
      <c r="E108" s="632"/>
      <c r="F108" s="632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1" t="str">
        <f>+VLOOKUP(LEFT($A109,LEN(A109)-1)*1,Master!$D$30:$G$229,4,FALSE)</f>
        <v>Rashodi za tekuće održavanje</v>
      </c>
      <c r="C109" s="632"/>
      <c r="D109" s="632"/>
      <c r="E109" s="632"/>
      <c r="F109" s="632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1" t="str">
        <f>+VLOOKUP(LEFT($A110,LEN(A110)-1)*1,Master!$D$30:$G$229,4,FALSE)</f>
        <v>Kamate</v>
      </c>
      <c r="C110" s="632"/>
      <c r="D110" s="632"/>
      <c r="E110" s="632"/>
      <c r="F110" s="632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1" t="str">
        <f>+VLOOKUP(LEFT($A111,LEN(A111)-1)*1,Master!$D$30:$G$229,4,FALSE)</f>
        <v>Renta</v>
      </c>
      <c r="C111" s="632"/>
      <c r="D111" s="632"/>
      <c r="E111" s="632"/>
      <c r="F111" s="632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1" t="str">
        <f>+VLOOKUP(LEFT($A112,LEN(A112)-1)*1,Master!$D$30:$G$229,4,FALSE)</f>
        <v>Subvencije</v>
      </c>
      <c r="C112" s="632"/>
      <c r="D112" s="632"/>
      <c r="E112" s="632"/>
      <c r="F112" s="632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1" t="str">
        <f>+VLOOKUP(LEFT($A113,LEN(A113)-1)*1,Master!$D$30:$G$229,4,FALSE)</f>
        <v>Ostali izdaci</v>
      </c>
      <c r="C113" s="632"/>
      <c r="D113" s="632"/>
      <c r="E113" s="632"/>
      <c r="F113" s="632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1" t="str">
        <f>+VLOOKUP(LEFT($A114,LEN(A114)-1)*1,Master!$D$30:$G$229,4,FALSE)</f>
        <v>Transferi za socijalnu zaštitu</v>
      </c>
      <c r="C114" s="652"/>
      <c r="D114" s="652"/>
      <c r="E114" s="652"/>
      <c r="F114" s="652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1" t="str">
        <f>+VLOOKUP(LEFT($A115,LEN(A115)-1)*1,Master!$D$30:$G$229,4,FALSE)</f>
        <v>Prava iz oblasti socijalne zaštite</v>
      </c>
      <c r="C115" s="632"/>
      <c r="D115" s="632"/>
      <c r="E115" s="632"/>
      <c r="F115" s="632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1" t="str">
        <f>+VLOOKUP(LEFT($A116,LEN(A116)-1)*1,Master!$D$30:$G$229,4,FALSE)</f>
        <v>Sredstva za tehnološke viškove</v>
      </c>
      <c r="C116" s="632"/>
      <c r="D116" s="632"/>
      <c r="E116" s="632"/>
      <c r="F116" s="632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1" t="str">
        <f>+VLOOKUP(LEFT($A117,LEN(A117)-1)*1,Master!$D$30:$G$229,4,FALSE)</f>
        <v>Prava iz oblasti penzijskog i invalidskog osiguranja</v>
      </c>
      <c r="C117" s="632"/>
      <c r="D117" s="632"/>
      <c r="E117" s="632"/>
      <c r="F117" s="632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1" t="str">
        <f>+VLOOKUP(LEFT($A118,LEN(A118)-1)*1,Master!$D$30:$G$229,4,FALSE)</f>
        <v>Ostala prava iz oblasti zdravstvene zaštite</v>
      </c>
      <c r="C118" s="632"/>
      <c r="D118" s="632"/>
      <c r="E118" s="632"/>
      <c r="F118" s="632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1" t="str">
        <f>+VLOOKUP(LEFT($A119,LEN(A119)-1)*1,Master!$D$30:$G$229,4,FALSE)</f>
        <v>Ostala prava iz zdravstvenog osiguranja</v>
      </c>
      <c r="C119" s="632"/>
      <c r="D119" s="632"/>
      <c r="E119" s="632"/>
      <c r="F119" s="632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7" t="str">
        <f>+VLOOKUP(LEFT($A120,LEN(A120)-1)*1,Master!$D$30:$G$229,4,FALSE)</f>
        <v xml:space="preserve">Transferi institucijama, pojedincima, nevladinom i javnom sektoru </v>
      </c>
      <c r="C120" s="648"/>
      <c r="D120" s="648"/>
      <c r="E120" s="648"/>
      <c r="F120" s="648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7" t="str">
        <f>+VLOOKUP(LEFT($A121,LEN(A121)-1)*1,Master!$D$30:$G$229,4,FALSE)</f>
        <v>Kapitalni izdaci</v>
      </c>
      <c r="C121" s="648"/>
      <c r="D121" s="648"/>
      <c r="E121" s="648"/>
      <c r="F121" s="648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49" t="str">
        <f>+VLOOKUP(LEFT($A122,LEN(A122)-1)*1,Master!$D$30:$G$229,4,FALSE)</f>
        <v>Pozajmice i krediti</v>
      </c>
      <c r="C122" s="650"/>
      <c r="D122" s="650"/>
      <c r="E122" s="650"/>
      <c r="F122" s="650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49" t="str">
        <f>+VLOOKUP(LEFT($A123,LEN(A123)-1)*1,Master!$D$30:$G$229,4,FALSE)</f>
        <v>Rezerve</v>
      </c>
      <c r="C123" s="650"/>
      <c r="D123" s="650"/>
      <c r="E123" s="650"/>
      <c r="F123" s="650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49" t="str">
        <f>+VLOOKUP(LEFT($A124,LEN(A124)-1)*1,Master!$D$30:$G$229,4,FALSE)</f>
        <v>Otplata garancija</v>
      </c>
      <c r="C124" s="650"/>
      <c r="D124" s="650"/>
      <c r="E124" s="650"/>
      <c r="F124" s="650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49" t="str">
        <f>+VLOOKUP(LEFT($A125,LEN(A125)-1)*1,Master!$D$30:$G$229,4,FALSE)</f>
        <v>Otplata obaveza iz prethodnog perioda</v>
      </c>
      <c r="C125" s="650"/>
      <c r="D125" s="650"/>
      <c r="E125" s="650"/>
      <c r="F125" s="650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49" t="str">
        <f>+VLOOKUP(LEFT($A126,LEN(A126)-1)*1,Master!$D$30:$G$229,4,FALSE)</f>
        <v>Neto povećanje obaveza</v>
      </c>
      <c r="C126" s="650"/>
      <c r="D126" s="650"/>
      <c r="E126" s="650"/>
      <c r="F126" s="65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7" t="str">
        <f>+VLOOKUP(LEFT($A127,LEN(A127)-1)*1,Master!$D$30:$G$226,4,FALSE)</f>
        <v>Suficit / deficit</v>
      </c>
      <c r="C127" s="658"/>
      <c r="D127" s="658"/>
      <c r="E127" s="658"/>
      <c r="F127" s="658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59" t="str">
        <f>+VLOOKUP(LEFT($A128,LEN(A128)-1)*1,Master!$D$30:$G$226,4,FALSE)</f>
        <v>Primarni suficit/deficit</v>
      </c>
      <c r="C128" s="660"/>
      <c r="D128" s="660"/>
      <c r="E128" s="660"/>
      <c r="F128" s="660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1" t="str">
        <f>+VLOOKUP(LEFT($A129,LEN(A129)-1)*1,Master!$D$30:$G$226,4,FALSE)</f>
        <v>Otplata dugova</v>
      </c>
      <c r="C129" s="652"/>
      <c r="D129" s="652"/>
      <c r="E129" s="652"/>
      <c r="F129" s="652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5" t="str">
        <f>+VLOOKUP(LEFT($A130,LEN(A130)-1)*1,Master!$D$30:$G$226,4,FALSE)</f>
        <v>Otplata hartija od vrijednosti i kredita rezidentima</v>
      </c>
      <c r="C130" s="656"/>
      <c r="D130" s="656"/>
      <c r="E130" s="656"/>
      <c r="F130" s="656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49" t="str">
        <f>+VLOOKUP(LEFT($A131,LEN(A131)-1)*1,Master!$D$30:$G$226,4,FALSE)</f>
        <v>Otplata hartija od vrijednosti i kredita nerezidentima</v>
      </c>
      <c r="C131" s="650"/>
      <c r="D131" s="650"/>
      <c r="E131" s="650"/>
      <c r="F131" s="650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7" t="str">
        <f>+VLOOKUP(LEFT($A132,LEN(A132)-1)*1,Master!$D$30:$G$226,4,FALSE)</f>
        <v>Izdaci za kupovinu hartija od vrijednosti</v>
      </c>
      <c r="C132" s="628"/>
      <c r="D132" s="628"/>
      <c r="E132" s="628"/>
      <c r="F132" s="628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3" t="str">
        <f>+VLOOKUP(LEFT($A133,LEN(A133)-1)*1,Master!$D$30:$G$226,4,FALSE)</f>
        <v>Nedostajuća sredstva</v>
      </c>
      <c r="C133" s="654"/>
      <c r="D133" s="654"/>
      <c r="E133" s="654"/>
      <c r="F133" s="654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7" t="str">
        <f>+VLOOKUP(LEFT($A134,LEN(A134)-1)*1,Master!$D$30:$G$226,4,FALSE)</f>
        <v>Finansiranje</v>
      </c>
      <c r="C134" s="628"/>
      <c r="D134" s="628"/>
      <c r="E134" s="628"/>
      <c r="F134" s="628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5" t="str">
        <f>+VLOOKUP(LEFT($A135,LEN(A135)-1)*1,Master!$D$30:$G$226,4,FALSE)</f>
        <v>Pozajmice i krediti od domaćih izvora</v>
      </c>
      <c r="C135" s="656"/>
      <c r="D135" s="656"/>
      <c r="E135" s="656"/>
      <c r="F135" s="656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49" t="str">
        <f>+VLOOKUP(LEFT($A136,LEN(A136)-1)*1,Master!$D$30:$G$226,4,FALSE)</f>
        <v>Pozajmice i krediti od inostranih izvora</v>
      </c>
      <c r="C136" s="650"/>
      <c r="D136" s="650"/>
      <c r="E136" s="650"/>
      <c r="F136" s="650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49" t="str">
        <f>+VLOOKUP(LEFT($A137,LEN(A137)-1)*1,Master!$D$30:$G$226,4,FALSE)</f>
        <v>Primici od prodaje imovine</v>
      </c>
      <c r="C137" s="650"/>
      <c r="D137" s="650"/>
      <c r="E137" s="650"/>
      <c r="F137" s="650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2020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4185600000</v>
      </c>
    </row>
    <row r="8" spans="1:20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4" t="str">
        <f>+VLOOKUP($A19,Master!$D$30:$G$226,4,FALSE)</f>
        <v>Doprinosi</v>
      </c>
      <c r="C19" s="605"/>
      <c r="D19" s="605"/>
      <c r="E19" s="605"/>
      <c r="F19" s="605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2" t="str">
        <f>+VLOOKUP($A39,Master!$D$30:$G$226,4,FALSE)</f>
        <v>Ostali izdaci</v>
      </c>
      <c r="C39" s="613"/>
      <c r="D39" s="613"/>
      <c r="E39" s="613"/>
      <c r="F39" s="613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2" t="str">
        <f>+VLOOKUP($A59,Master!$D$30:$G$226,4,FALSE)</f>
        <v>Nedostajuća sredstva</v>
      </c>
      <c r="C59" s="583"/>
      <c r="D59" s="583"/>
      <c r="E59" s="583"/>
      <c r="F59" s="583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4" t="str">
        <f>+VLOOKUP($A60,Master!$D$30:$G$226,4,FALSE)</f>
        <v>Finansiranje</v>
      </c>
      <c r="C60" s="585"/>
      <c r="D60" s="585"/>
      <c r="E60" s="585"/>
      <c r="F60" s="585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78" t="str">
        <f>+VLOOKUP($A61,Master!$D$30:$G$226,4,FALSE)</f>
        <v>Pozajmice i krediti od domaćih izvora</v>
      </c>
      <c r="C61" s="579"/>
      <c r="D61" s="579"/>
      <c r="E61" s="579"/>
      <c r="F61" s="579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2" t="str">
        <f>+VLOOKUP($A62,Master!$D$30:$G$226,4,FALSE)</f>
        <v>Pozajmice i krediti od inostranih izvora</v>
      </c>
      <c r="C62" s="563"/>
      <c r="D62" s="563"/>
      <c r="E62" s="563"/>
      <c r="F62" s="563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2" t="str">
        <f>+VLOOKUP($A63,Master!$D$30:$G$226,4,FALSE)</f>
        <v>Primici od prodaje imovine</v>
      </c>
      <c r="C63" s="563"/>
      <c r="D63" s="563"/>
      <c r="E63" s="563"/>
      <c r="F63" s="563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3" t="str">
        <f>+Master!G253</f>
        <v>Plan ostvarenja budžeta</v>
      </c>
      <c r="C100" s="634"/>
      <c r="D100" s="634"/>
      <c r="E100" s="634"/>
      <c r="F100" s="634"/>
      <c r="G100" s="618">
        <v>2020</v>
      </c>
      <c r="H100" s="619"/>
      <c r="I100" s="619"/>
      <c r="J100" s="619"/>
      <c r="K100" s="619"/>
      <c r="L100" s="619"/>
      <c r="M100" s="619"/>
      <c r="N100" s="619"/>
      <c r="O100" s="619"/>
      <c r="P100" s="619"/>
      <c r="Q100" s="619"/>
      <c r="R100" s="620"/>
      <c r="S100" s="96" t="str">
        <f>+S7</f>
        <v>BDP</v>
      </c>
      <c r="T100" s="97">
        <v>4607300000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18" t="str">
        <f>+Master!G247</f>
        <v>Jan - Dec</v>
      </c>
      <c r="T101" s="620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3" t="str">
        <f>+VLOOKUP(LEFT($A103,LEN(A103)-1)*1,Master!$D$30:$G$226,4,FALSE)</f>
        <v>Prihodi budžeta</v>
      </c>
      <c r="C103" s="664"/>
      <c r="D103" s="664"/>
      <c r="E103" s="664"/>
      <c r="F103" s="664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9" t="str">
        <f>+VLOOKUP(LEFT($A104,LEN(A104)-1)*1,Master!$D$30:$G$226,4,FALSE)</f>
        <v>Porezi</v>
      </c>
      <c r="C104" s="630"/>
      <c r="D104" s="630"/>
      <c r="E104" s="630"/>
      <c r="F104" s="630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1" t="str">
        <f>+VLOOKUP(LEFT($A105,LEN(A105)-1)*1,Master!$D$30:$G$229,4,FALSE)</f>
        <v>Porez na dohodak fizičkih lica</v>
      </c>
      <c r="C105" s="632"/>
      <c r="D105" s="632"/>
      <c r="E105" s="632"/>
      <c r="F105" s="632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1" t="str">
        <f>+VLOOKUP(LEFT($A106,LEN(A106)-1)*1,Master!$D$30:$G$229,4,FALSE)</f>
        <v>Porez na dobit pravnih lica</v>
      </c>
      <c r="C106" s="632"/>
      <c r="D106" s="632"/>
      <c r="E106" s="632"/>
      <c r="F106" s="632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1" t="str">
        <f>+VLOOKUP(LEFT($A107,LEN(A107)-1)*1,Master!$D$30:$G$229,4,FALSE)</f>
        <v>Porez na promet nepokretnosti</v>
      </c>
      <c r="C107" s="632"/>
      <c r="D107" s="632"/>
      <c r="E107" s="632"/>
      <c r="F107" s="632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1" t="str">
        <f>+VLOOKUP(LEFT($A108,LEN(A108)-1)*1,Master!$D$30:$G$229,4,FALSE)</f>
        <v>Porez na dodatu vrijednost</v>
      </c>
      <c r="C108" s="632"/>
      <c r="D108" s="632"/>
      <c r="E108" s="632"/>
      <c r="F108" s="632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1" t="str">
        <f>+VLOOKUP(LEFT($A109,LEN(A109)-1)*1,Master!$D$30:$G$229,4,FALSE)</f>
        <v>Akcize</v>
      </c>
      <c r="C109" s="632"/>
      <c r="D109" s="632"/>
      <c r="E109" s="632"/>
      <c r="F109" s="632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1" t="str">
        <f>+VLOOKUP(LEFT($A110,LEN(A110)-1)*1,Master!$D$30:$G$229,4,FALSE)</f>
        <v>Porez na međunarodnu trgovinu i transakcije</v>
      </c>
      <c r="C110" s="632"/>
      <c r="D110" s="632"/>
      <c r="E110" s="632"/>
      <c r="F110" s="632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1" t="str">
        <f>+VLOOKUP(LEFT($A111,LEN(A111)-1)*1,Master!$D$30:$G$229,4,FALSE)</f>
        <v>Ostali državni porezi</v>
      </c>
      <c r="C111" s="632"/>
      <c r="D111" s="632"/>
      <c r="E111" s="632"/>
      <c r="F111" s="632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1" t="str">
        <f>+VLOOKUP(LEFT($A112,LEN(A112)-1)*1,Master!$D$30:$G$229,4,FALSE)</f>
        <v>Doprinosi</v>
      </c>
      <c r="C112" s="662"/>
      <c r="D112" s="662"/>
      <c r="E112" s="662"/>
      <c r="F112" s="662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1" t="str">
        <f>+VLOOKUP(LEFT($A113,LEN(A113)-1)*1,Master!$D$30:$G$229,4,FALSE)</f>
        <v>Doprinosi za penzijsko i invalidsko osiguranje</v>
      </c>
      <c r="C113" s="632"/>
      <c r="D113" s="632"/>
      <c r="E113" s="632"/>
      <c r="F113" s="632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1" t="str">
        <f>+VLOOKUP(LEFT($A114,LEN(A114)-1)*1,Master!$D$30:$G$229,4,FALSE)</f>
        <v>Doprinosi za zdravstveno osiguranje</v>
      </c>
      <c r="C114" s="632"/>
      <c r="D114" s="632"/>
      <c r="E114" s="632"/>
      <c r="F114" s="632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1" t="str">
        <f>+VLOOKUP(LEFT($A115,LEN(A115)-1)*1,Master!$D$30:$G$229,4,FALSE)</f>
        <v>Doprinosi za osiguranje od nezaposlenosti</v>
      </c>
      <c r="C115" s="632"/>
      <c r="D115" s="632"/>
      <c r="E115" s="632"/>
      <c r="F115" s="632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1" t="str">
        <f>+VLOOKUP(LEFT($A116,LEN(A116)-1)*1,Master!$D$30:$G$229,4,FALSE)</f>
        <v>Ostali doprinosi</v>
      </c>
      <c r="C116" s="632"/>
      <c r="D116" s="632"/>
      <c r="E116" s="632"/>
      <c r="F116" s="632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1" t="str">
        <f>+VLOOKUP(LEFT($A117,LEN(A117)-1)*1,Master!$D$30:$G$229,4,FALSE)</f>
        <v>Takse</v>
      </c>
      <c r="C117" s="642"/>
      <c r="D117" s="642"/>
      <c r="E117" s="642"/>
      <c r="F117" s="642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1" t="str">
        <f>+VLOOKUP(LEFT($A118,LEN(A118)-1)*1,Master!$D$30:$G$229,4,FALSE)</f>
        <v>Naknade</v>
      </c>
      <c r="C118" s="642"/>
      <c r="D118" s="642"/>
      <c r="E118" s="642"/>
      <c r="F118" s="642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1" t="str">
        <f>+VLOOKUP(LEFT($A119,LEN(A119)-1)*1,Master!$D$30:$G$229,4,FALSE)</f>
        <v>Ostali prihodi</v>
      </c>
      <c r="C119" s="642"/>
      <c r="D119" s="642"/>
      <c r="E119" s="642"/>
      <c r="F119" s="642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1" t="str">
        <f>+VLOOKUP(LEFT($A120,LEN(A120)-1)*1,Master!$D$30:$G$229,4,FALSE)</f>
        <v>Primici od otplate kredita i sredstva prenesena iz prethodne godine</v>
      </c>
      <c r="C120" s="642"/>
      <c r="D120" s="642"/>
      <c r="E120" s="642"/>
      <c r="F120" s="642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3" t="str">
        <f>+VLOOKUP(LEFT($A121,LEN(A121)-1)*1,Master!$D$30:$G$229,4,FALSE)</f>
        <v>Donacije i transferi</v>
      </c>
      <c r="C121" s="644"/>
      <c r="D121" s="644"/>
      <c r="E121" s="644"/>
      <c r="F121" s="644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7" t="str">
        <f>+VLOOKUP(LEFT($A122,LEN(A122)-1)*1,Master!$D$30:$G$229,4,FALSE)</f>
        <v>Izdaci budžeta</v>
      </c>
      <c r="C122" s="628"/>
      <c r="D122" s="628"/>
      <c r="E122" s="628"/>
      <c r="F122" s="628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5" t="str">
        <f>+VLOOKUP(LEFT($A123,LEN(A123)-1)*1,Master!$D$30:$G$229,4,FALSE)</f>
        <v>Tekući izdaci</v>
      </c>
      <c r="C123" s="646"/>
      <c r="D123" s="646"/>
      <c r="E123" s="646"/>
      <c r="F123" s="646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1" t="str">
        <f>+VLOOKUP(LEFT($A124,LEN(A124)-1)*1,Master!$D$30:$G$229,4,FALSE)</f>
        <v>Bruto zarade i doprinosi na teret poslodavca</v>
      </c>
      <c r="C124" s="632"/>
      <c r="D124" s="632"/>
      <c r="E124" s="632"/>
      <c r="F124" s="632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1" t="str">
        <f>+VLOOKUP(LEFT($A125,LEN(A125)-1)*1,Master!$D$30:$G$229,4,FALSE)</f>
        <v>Ostala lična primanja</v>
      </c>
      <c r="C125" s="632"/>
      <c r="D125" s="632"/>
      <c r="E125" s="632"/>
      <c r="F125" s="632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1" t="str">
        <f>+VLOOKUP(LEFT($A126,LEN(A126)-1)*1,Master!$D$30:$G$229,4,FALSE)</f>
        <v>Rashodi za materijal</v>
      </c>
      <c r="C126" s="632"/>
      <c r="D126" s="632"/>
      <c r="E126" s="632"/>
      <c r="F126" s="632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1" t="str">
        <f>+VLOOKUP(LEFT($A127,LEN(A127)-1)*1,Master!$D$30:$G$229,4,FALSE)</f>
        <v>Rashodi za usluge</v>
      </c>
      <c r="C127" s="632"/>
      <c r="D127" s="632"/>
      <c r="E127" s="632"/>
      <c r="F127" s="632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1" t="str">
        <f>+VLOOKUP(LEFT($A128,LEN(A128)-1)*1,Master!$D$30:$G$229,4,FALSE)</f>
        <v>Rashodi za tekuće održavanje</v>
      </c>
      <c r="C128" s="632"/>
      <c r="D128" s="632"/>
      <c r="E128" s="632"/>
      <c r="F128" s="632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1" t="str">
        <f>+VLOOKUP(LEFT($A129,LEN(A129)-1)*1,Master!$D$30:$G$229,4,FALSE)</f>
        <v>Kamate</v>
      </c>
      <c r="C129" s="632"/>
      <c r="D129" s="632"/>
      <c r="E129" s="632"/>
      <c r="F129" s="632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1" t="str">
        <f>+VLOOKUP(LEFT($A130,LEN(A130)-1)*1,Master!$D$30:$G$229,4,FALSE)</f>
        <v>Renta</v>
      </c>
      <c r="C130" s="632"/>
      <c r="D130" s="632"/>
      <c r="E130" s="632"/>
      <c r="F130" s="632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1" t="str">
        <f>+VLOOKUP(LEFT($A131,LEN(A131)-1)*1,Master!$D$30:$G$229,4,FALSE)</f>
        <v>Subvencije</v>
      </c>
      <c r="C131" s="632"/>
      <c r="D131" s="632"/>
      <c r="E131" s="632"/>
      <c r="F131" s="632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1" t="str">
        <f>+VLOOKUP(LEFT($A132,LEN(A132)-1)*1,Master!$D$30:$G$229,4,FALSE)</f>
        <v>Ostali izdaci</v>
      </c>
      <c r="C132" s="632"/>
      <c r="D132" s="632"/>
      <c r="E132" s="632"/>
      <c r="F132" s="632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1" t="str">
        <f>+VLOOKUP(LEFT($A133,LEN(A133)-1)*1,Master!$D$30:$G$229,4,FALSE)</f>
        <v>Transferi za socijalnu zaštitu</v>
      </c>
      <c r="C133" s="652"/>
      <c r="D133" s="652"/>
      <c r="E133" s="652"/>
      <c r="F133" s="652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1" t="str">
        <f>+VLOOKUP(LEFT($A134,LEN(A134)-1)*1,Master!$D$30:$G$229,4,FALSE)</f>
        <v>Prava iz oblasti socijalne zaštite</v>
      </c>
      <c r="C134" s="632"/>
      <c r="D134" s="632"/>
      <c r="E134" s="632"/>
      <c r="F134" s="632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1" t="str">
        <f>+VLOOKUP(LEFT($A135,LEN(A135)-1)*1,Master!$D$30:$G$229,4,FALSE)</f>
        <v>Sredstva za tehnološke viškove</v>
      </c>
      <c r="C135" s="632"/>
      <c r="D135" s="632"/>
      <c r="E135" s="632"/>
      <c r="F135" s="632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1" t="str">
        <f>+VLOOKUP(LEFT($A136,LEN(A136)-1)*1,Master!$D$30:$G$229,4,FALSE)</f>
        <v>Prava iz oblasti penzijskog i invalidskog osiguranja</v>
      </c>
      <c r="C136" s="632"/>
      <c r="D136" s="632"/>
      <c r="E136" s="632"/>
      <c r="F136" s="632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1" t="str">
        <f>+VLOOKUP(LEFT($A137,LEN(A137)-1)*1,Master!$D$30:$G$229,4,FALSE)</f>
        <v>Ostala prava iz oblasti zdravstvene zaštite</v>
      </c>
      <c r="C137" s="632"/>
      <c r="D137" s="632"/>
      <c r="E137" s="632"/>
      <c r="F137" s="632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1" t="str">
        <f>+VLOOKUP(LEFT($A138,LEN(A138)-1)*1,Master!$D$30:$G$229,4,FALSE)</f>
        <v>Ostala prava iz zdravstvenog osiguranja</v>
      </c>
      <c r="C138" s="632"/>
      <c r="D138" s="632"/>
      <c r="E138" s="632"/>
      <c r="F138" s="632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7" t="str">
        <f>+VLOOKUP(LEFT($A139,LEN(A139)-1)*1,Master!$D$30:$G$229,4,FALSE)</f>
        <v xml:space="preserve">Transferi institucijama, pojedincima, nevladinom i javnom sektoru </v>
      </c>
      <c r="C139" s="648"/>
      <c r="D139" s="648"/>
      <c r="E139" s="648"/>
      <c r="F139" s="648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7" t="str">
        <f>+VLOOKUP(LEFT($A140,LEN(A140)-1)*1,Master!$D$30:$G$229,4,FALSE)</f>
        <v>Kapitalni izdaci</v>
      </c>
      <c r="C140" s="648"/>
      <c r="D140" s="648"/>
      <c r="E140" s="648"/>
      <c r="F140" s="648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49" t="str">
        <f>+VLOOKUP(LEFT($A141,LEN(A141)-1)*1,Master!$D$30:$G$229,4,FALSE)</f>
        <v>Pozajmice i krediti</v>
      </c>
      <c r="C141" s="650"/>
      <c r="D141" s="650"/>
      <c r="E141" s="650"/>
      <c r="F141" s="650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49" t="str">
        <f>+VLOOKUP(LEFT($A142,LEN(A142)-1)*1,Master!$D$30:$G$229,4,FALSE)</f>
        <v>Rezerve</v>
      </c>
      <c r="C142" s="650"/>
      <c r="D142" s="650"/>
      <c r="E142" s="650"/>
      <c r="F142" s="650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49" t="str">
        <f>+VLOOKUP(LEFT($A143,LEN(A143)-1)*1,Master!$D$30:$G$229,4,FALSE)</f>
        <v>Otplata garancija</v>
      </c>
      <c r="C143" s="650"/>
      <c r="D143" s="650"/>
      <c r="E143" s="650"/>
      <c r="F143" s="650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49" t="str">
        <f>+VLOOKUP(LEFT($A144,LEN(A144)-1)*1,Master!$D$30:$G$229,4,FALSE)</f>
        <v>Otplata obaveza iz prethodnog perioda</v>
      </c>
      <c r="C144" s="650"/>
      <c r="D144" s="650"/>
      <c r="E144" s="650"/>
      <c r="F144" s="650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49" t="str">
        <f>+VLOOKUP(LEFT($A145,LEN(A145)-1)*1,Master!$D$30:$G$229,4,FALSE)</f>
        <v>Neto povećanje obaveza</v>
      </c>
      <c r="C145" s="650"/>
      <c r="D145" s="650"/>
      <c r="E145" s="650"/>
      <c r="F145" s="650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7" t="str">
        <f>+VLOOKUP(LEFT($A146,LEN(A146)-1)*1,Master!$D$30:$G$226,4,FALSE)</f>
        <v>Suficit / deficit</v>
      </c>
      <c r="C146" s="658"/>
      <c r="D146" s="658"/>
      <c r="E146" s="658"/>
      <c r="F146" s="658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59" t="str">
        <f>+VLOOKUP(LEFT($A147,LEN(A147)-1)*1,Master!$D$30:$G$226,4,FALSE)</f>
        <v>Primarni suficit/deficit</v>
      </c>
      <c r="C147" s="660"/>
      <c r="D147" s="660"/>
      <c r="E147" s="660"/>
      <c r="F147" s="660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1" t="str">
        <f>+VLOOKUP(LEFT($A148,LEN(A148)-1)*1,Master!$D$30:$G$226,4,FALSE)</f>
        <v>Otplata dugova</v>
      </c>
      <c r="C148" s="652"/>
      <c r="D148" s="652"/>
      <c r="E148" s="652"/>
      <c r="F148" s="652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5" t="str">
        <f>+VLOOKUP(LEFT($A149,LEN(A149)-1)*1,Master!$D$30:$G$226,4,FALSE)</f>
        <v>Otplata hartija od vrijednosti i kredita rezidentima</v>
      </c>
      <c r="C149" s="656"/>
      <c r="D149" s="656"/>
      <c r="E149" s="656"/>
      <c r="F149" s="656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49" t="str">
        <f>+VLOOKUP(LEFT($A150,LEN(A150)-1)*1,Master!$D$30:$G$226,4,FALSE)</f>
        <v>Otplata hartija od vrijednosti i kredita nerezidentima</v>
      </c>
      <c r="C150" s="650"/>
      <c r="D150" s="650"/>
      <c r="E150" s="650"/>
      <c r="F150" s="650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7" t="str">
        <f>+VLOOKUP(LEFT($A151,LEN(A151)-1)*1,Master!$D$30:$G$226,4,FALSE)</f>
        <v>Izdaci za kupovinu hartija od vrijednosti</v>
      </c>
      <c r="C151" s="628"/>
      <c r="D151" s="628"/>
      <c r="E151" s="628"/>
      <c r="F151" s="628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3" t="str">
        <f>+VLOOKUP(LEFT($A152,LEN(A152)-1)*1,Master!$D$30:$G$226,4,FALSE)</f>
        <v>Nedostajuća sredstva</v>
      </c>
      <c r="C152" s="654"/>
      <c r="D152" s="654"/>
      <c r="E152" s="654"/>
      <c r="F152" s="654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7" t="str">
        <f>+VLOOKUP(LEFT($A153,LEN(A153)-1)*1,Master!$D$30:$G$226,4,FALSE)</f>
        <v>Finansiranje</v>
      </c>
      <c r="C153" s="628"/>
      <c r="D153" s="628"/>
      <c r="E153" s="628"/>
      <c r="F153" s="628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5" t="str">
        <f>+VLOOKUP(LEFT($A154,LEN(A154)-1)*1,Master!$D$30:$G$226,4,FALSE)</f>
        <v>Pozajmice i krediti od domaćih izvora</v>
      </c>
      <c r="C154" s="656"/>
      <c r="D154" s="656"/>
      <c r="E154" s="656"/>
      <c r="F154" s="656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49" t="str">
        <f>+VLOOKUP(LEFT($A155,LEN(A155)-1)*1,Master!$D$30:$G$226,4,FALSE)</f>
        <v>Pozajmice i krediti od inostranih izvora</v>
      </c>
      <c r="C155" s="650"/>
      <c r="D155" s="650"/>
      <c r="E155" s="650"/>
      <c r="F155" s="650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49" t="str">
        <f>+VLOOKUP(LEFT($A156,LEN(A156)-1)*1,Master!$D$30:$G$226,4,FALSE)</f>
        <v>Primici od prodaje imovine</v>
      </c>
      <c r="C156" s="650"/>
      <c r="D156" s="650"/>
      <c r="E156" s="650"/>
      <c r="F156" s="650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owner</cp:lastModifiedBy>
  <cp:lastPrinted>2024-06-26T14:13:15Z</cp:lastPrinted>
  <dcterms:created xsi:type="dcterms:W3CDTF">2014-09-15T13:41:17Z</dcterms:created>
  <dcterms:modified xsi:type="dcterms:W3CDTF">2025-03-31T14:36:41Z</dcterms:modified>
</cp:coreProperties>
</file>