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qXW75aj5bSVPWTjWVDpoM12bG7KmhLGjZEyGVSMOuZFofTJ2Z/wH7R9X2gYXniltyW7Oq888AZ5kNp00OWKIAA==" workbookSaltValue="SPL+lx2dmGoj6kKUMoeYNQ==" workbookSpinCount="100000" lockStructure="1"/>
  <bookViews>
    <workbookView xWindow="0" yWindow="0" windowWidth="24000" windowHeight="9000" tabRatio="587" firstSheet="1" activeTab="1"/>
  </bookViews>
  <sheets>
    <sheet name="Analitika - 2014" sheetId="3" state="hidden" r:id="rId1"/>
    <sheet name="Pregled" sheetId="1" r:id="rId2"/>
    <sheet name="Analitika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0" l="1"/>
  <c r="E5" i="19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N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G50" i="11" l="1"/>
  <c r="G52" i="11"/>
  <c r="G58" i="11"/>
  <c r="G61" i="11"/>
  <c r="S121" i="25" l="1"/>
  <c r="B138" i="25" l="1"/>
  <c r="A138" i="25"/>
  <c r="S137" i="25"/>
  <c r="T137" i="25" s="1"/>
  <c r="B137" i="25"/>
  <c r="A137" i="25"/>
  <c r="S136" i="25"/>
  <c r="T136" i="25" s="1"/>
  <c r="B136" i="25"/>
  <c r="A136" i="25"/>
  <c r="S135" i="25"/>
  <c r="T135" i="25" s="1"/>
  <c r="B135" i="25"/>
  <c r="A135" i="25"/>
  <c r="B134" i="25"/>
  <c r="A134" i="25"/>
  <c r="B133" i="25"/>
  <c r="A133" i="25"/>
  <c r="S132" i="25"/>
  <c r="T132" i="25" s="1"/>
  <c r="B132" i="25"/>
  <c r="A132" i="25"/>
  <c r="S131" i="25"/>
  <c r="T131" i="25" s="1"/>
  <c r="B131" i="25"/>
  <c r="A131" i="25"/>
  <c r="S130" i="25"/>
  <c r="T130" i="25" s="1"/>
  <c r="B130" i="25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B129" i="25"/>
  <c r="A129" i="25"/>
  <c r="B128" i="25"/>
  <c r="A128" i="25"/>
  <c r="B127" i="25"/>
  <c r="A127" i="25"/>
  <c r="S126" i="25"/>
  <c r="T126" i="25" s="1"/>
  <c r="B126" i="25"/>
  <c r="A126" i="25"/>
  <c r="S125" i="25"/>
  <c r="T125" i="25" s="1"/>
  <c r="B125" i="25"/>
  <c r="A125" i="25"/>
  <c r="S124" i="25"/>
  <c r="T124" i="25" s="1"/>
  <c r="B124" i="25"/>
  <c r="A124" i="25"/>
  <c r="S123" i="25"/>
  <c r="T123" i="25" s="1"/>
  <c r="B123" i="25"/>
  <c r="A123" i="25"/>
  <c r="S122" i="25"/>
  <c r="T122" i="25" s="1"/>
  <c r="B122" i="25"/>
  <c r="A122" i="25"/>
  <c r="T121" i="25"/>
  <c r="B121" i="25"/>
  <c r="A121" i="25"/>
  <c r="S120" i="25"/>
  <c r="T120" i="25" s="1"/>
  <c r="B120" i="25"/>
  <c r="A120" i="25"/>
  <c r="S119" i="25"/>
  <c r="T119" i="25" s="1"/>
  <c r="B119" i="25"/>
  <c r="A119" i="25"/>
  <c r="S118" i="25"/>
  <c r="T118" i="25" s="1"/>
  <c r="B118" i="25"/>
  <c r="A118" i="25"/>
  <c r="S117" i="25"/>
  <c r="T117" i="25" s="1"/>
  <c r="B117" i="25"/>
  <c r="A117" i="25"/>
  <c r="S116" i="25"/>
  <c r="T116" i="25" s="1"/>
  <c r="B116" i="25"/>
  <c r="A116" i="25"/>
  <c r="S115" i="25"/>
  <c r="T115" i="25" s="1"/>
  <c r="B115" i="25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B114" i="25"/>
  <c r="A114" i="25"/>
  <c r="S113" i="25"/>
  <c r="T113" i="25" s="1"/>
  <c r="B113" i="25"/>
  <c r="A113" i="25"/>
  <c r="S112" i="25"/>
  <c r="T112" i="25" s="1"/>
  <c r="B112" i="25"/>
  <c r="A112" i="25"/>
  <c r="S111" i="25"/>
  <c r="T111" i="25" s="1"/>
  <c r="B111" i="25"/>
  <c r="A111" i="25"/>
  <c r="S110" i="25"/>
  <c r="T110" i="25" s="1"/>
  <c r="B110" i="25"/>
  <c r="A110" i="25"/>
  <c r="S109" i="25"/>
  <c r="T109" i="25" s="1"/>
  <c r="B109" i="25"/>
  <c r="A109" i="25"/>
  <c r="S108" i="25"/>
  <c r="T108" i="25" s="1"/>
  <c r="B108" i="25"/>
  <c r="A108" i="25"/>
  <c r="S107" i="25"/>
  <c r="T107" i="25" s="1"/>
  <c r="B107" i="25"/>
  <c r="A107" i="25"/>
  <c r="S106" i="25"/>
  <c r="T106" i="25" s="1"/>
  <c r="B106" i="25"/>
  <c r="A106" i="25"/>
  <c r="S105" i="25"/>
  <c r="T105" i="25" s="1"/>
  <c r="B105" i="25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B104" i="25"/>
  <c r="A104" i="25"/>
  <c r="B103" i="25"/>
  <c r="A103" i="25"/>
  <c r="S102" i="25"/>
  <c r="T102" i="25" s="1"/>
  <c r="B102" i="25"/>
  <c r="A102" i="25"/>
  <c r="S101" i="25"/>
  <c r="T101" i="25" s="1"/>
  <c r="B101" i="25"/>
  <c r="A101" i="25"/>
  <c r="S100" i="25"/>
  <c r="T100" i="25" s="1"/>
  <c r="B100" i="25"/>
  <c r="A100" i="25"/>
  <c r="S99" i="25"/>
  <c r="T99" i="25" s="1"/>
  <c r="B99" i="25"/>
  <c r="A99" i="25"/>
  <c r="S98" i="25"/>
  <c r="T98" i="25" s="1"/>
  <c r="B98" i="25"/>
  <c r="A98" i="25"/>
  <c r="S97" i="25"/>
  <c r="T97" i="25" s="1"/>
  <c r="B97" i="25"/>
  <c r="A97" i="25"/>
  <c r="S96" i="25"/>
  <c r="T96" i="25" s="1"/>
  <c r="B96" i="25"/>
  <c r="A96" i="25"/>
  <c r="S95" i="25"/>
  <c r="T95" i="25" s="1"/>
  <c r="B95" i="25"/>
  <c r="A95" i="25"/>
  <c r="S94" i="25"/>
  <c r="T94" i="25" s="1"/>
  <c r="B94" i="25"/>
  <c r="A94" i="25"/>
  <c r="R93" i="25"/>
  <c r="R84" i="25" s="1"/>
  <c r="Q93" i="25"/>
  <c r="P93" i="25"/>
  <c r="O93" i="25"/>
  <c r="N93" i="25"/>
  <c r="N84" i="25" s="1"/>
  <c r="M93" i="25"/>
  <c r="L93" i="25"/>
  <c r="K93" i="25"/>
  <c r="J93" i="25"/>
  <c r="J84" i="25" s="1"/>
  <c r="I93" i="25"/>
  <c r="H93" i="25"/>
  <c r="G93" i="25"/>
  <c r="B93" i="25"/>
  <c r="A93" i="25"/>
  <c r="S92" i="25"/>
  <c r="T92" i="25" s="1"/>
  <c r="B92" i="25"/>
  <c r="A92" i="25"/>
  <c r="S91" i="25"/>
  <c r="T91" i="25" s="1"/>
  <c r="B91" i="25"/>
  <c r="A91" i="25"/>
  <c r="S90" i="25"/>
  <c r="T90" i="25" s="1"/>
  <c r="B90" i="25"/>
  <c r="A90" i="25"/>
  <c r="S89" i="25"/>
  <c r="T89" i="25" s="1"/>
  <c r="B89" i="25"/>
  <c r="A89" i="25"/>
  <c r="S88" i="25"/>
  <c r="T88" i="25" s="1"/>
  <c r="B88" i="25"/>
  <c r="A88" i="25"/>
  <c r="S87" i="25"/>
  <c r="T87" i="25" s="1"/>
  <c r="B87" i="25"/>
  <c r="A87" i="25"/>
  <c r="S86" i="25"/>
  <c r="T86" i="25" s="1"/>
  <c r="B86" i="25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B85" i="25"/>
  <c r="A85" i="25"/>
  <c r="P84" i="25"/>
  <c r="L84" i="25"/>
  <c r="H84" i="25"/>
  <c r="B84" i="25"/>
  <c r="A84" i="25"/>
  <c r="T83" i="25"/>
  <c r="T82" i="25"/>
  <c r="S82" i="25"/>
  <c r="B81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B64" i="25"/>
  <c r="S63" i="25"/>
  <c r="B63" i="25"/>
  <c r="S62" i="25"/>
  <c r="B62" i="25"/>
  <c r="S61" i="25"/>
  <c r="T61" i="25" s="1"/>
  <c r="B61" i="25"/>
  <c r="B60" i="25"/>
  <c r="B59" i="25"/>
  <c r="S58" i="25"/>
  <c r="T58" i="25" s="1"/>
  <c r="B58" i="25"/>
  <c r="S57" i="25"/>
  <c r="B57" i="25"/>
  <c r="S56" i="25"/>
  <c r="B56" i="25"/>
  <c r="R55" i="25"/>
  <c r="Q55" i="25"/>
  <c r="P55" i="25"/>
  <c r="O55" i="25"/>
  <c r="N55" i="25"/>
  <c r="M55" i="25"/>
  <c r="L55" i="25"/>
  <c r="K55" i="25"/>
  <c r="J55" i="25"/>
  <c r="I55" i="25"/>
  <c r="N55" i="11" s="1"/>
  <c r="H55" i="25"/>
  <c r="G55" i="25"/>
  <c r="B55" i="25"/>
  <c r="B54" i="25"/>
  <c r="B53" i="25"/>
  <c r="S52" i="25"/>
  <c r="T52" i="25" s="1"/>
  <c r="B52" i="25"/>
  <c r="S51" i="25"/>
  <c r="B51" i="25"/>
  <c r="S50" i="25"/>
  <c r="T50" i="25" s="1"/>
  <c r="B50" i="25"/>
  <c r="S49" i="25"/>
  <c r="B49" i="25"/>
  <c r="S48" i="25"/>
  <c r="B48" i="25"/>
  <c r="S47" i="25"/>
  <c r="B47" i="25"/>
  <c r="S46" i="25"/>
  <c r="B46" i="25"/>
  <c r="S45" i="25"/>
  <c r="B45" i="25"/>
  <c r="S44" i="25"/>
  <c r="B44" i="25"/>
  <c r="S43" i="25"/>
  <c r="B43" i="25"/>
  <c r="S42" i="25"/>
  <c r="B42" i="25"/>
  <c r="S41" i="25"/>
  <c r="B41" i="25"/>
  <c r="R40" i="25"/>
  <c r="Q40" i="25"/>
  <c r="P40" i="25"/>
  <c r="O40" i="25"/>
  <c r="N40" i="25"/>
  <c r="M40" i="25"/>
  <c r="L40" i="25"/>
  <c r="K40" i="25"/>
  <c r="J40" i="25"/>
  <c r="I40" i="25"/>
  <c r="N40" i="11" s="1"/>
  <c r="H40" i="25"/>
  <c r="G40" i="25"/>
  <c r="B40" i="25"/>
  <c r="S39" i="25"/>
  <c r="B39" i="25"/>
  <c r="S38" i="25"/>
  <c r="B38" i="25"/>
  <c r="S37" i="25"/>
  <c r="B37" i="25"/>
  <c r="S36" i="25"/>
  <c r="B36" i="25"/>
  <c r="S35" i="25"/>
  <c r="B35" i="25"/>
  <c r="S34" i="25"/>
  <c r="B34" i="25"/>
  <c r="S33" i="25"/>
  <c r="B33" i="25"/>
  <c r="S32" i="25"/>
  <c r="G32" i="11" s="1"/>
  <c r="B32" i="25"/>
  <c r="S31" i="25"/>
  <c r="B31" i="25"/>
  <c r="R30" i="25"/>
  <c r="Q30" i="25"/>
  <c r="P30" i="25"/>
  <c r="O30" i="25"/>
  <c r="O29" i="25" s="1"/>
  <c r="N30" i="25"/>
  <c r="M30" i="25"/>
  <c r="M29" i="25" s="1"/>
  <c r="L30" i="25"/>
  <c r="K30" i="25"/>
  <c r="K29" i="25" s="1"/>
  <c r="J30" i="25"/>
  <c r="I30" i="25"/>
  <c r="N30" i="11" s="1"/>
  <c r="H30" i="25"/>
  <c r="G30" i="25"/>
  <c r="B30" i="25"/>
  <c r="Q29" i="25"/>
  <c r="B29" i="25"/>
  <c r="S28" i="25"/>
  <c r="B28" i="25"/>
  <c r="S27" i="25"/>
  <c r="B27" i="25"/>
  <c r="S26" i="25"/>
  <c r="B26" i="25"/>
  <c r="S25" i="25"/>
  <c r="B25" i="25"/>
  <c r="S24" i="25"/>
  <c r="B24" i="25"/>
  <c r="S23" i="25"/>
  <c r="B23" i="25"/>
  <c r="S22" i="25"/>
  <c r="B22" i="25"/>
  <c r="S21" i="25"/>
  <c r="B21" i="25"/>
  <c r="S20" i="25"/>
  <c r="B20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B19" i="25"/>
  <c r="S18" i="25"/>
  <c r="B18" i="25"/>
  <c r="S17" i="25"/>
  <c r="B17" i="25"/>
  <c r="S16" i="25"/>
  <c r="B16" i="25"/>
  <c r="S15" i="25"/>
  <c r="B15" i="25"/>
  <c r="S14" i="25"/>
  <c r="B14" i="25"/>
  <c r="S13" i="25"/>
  <c r="B13" i="25"/>
  <c r="S12" i="25"/>
  <c r="B12" i="25"/>
  <c r="R11" i="25"/>
  <c r="R10" i="25" s="1"/>
  <c r="Q11" i="25"/>
  <c r="P11" i="25"/>
  <c r="O11" i="25"/>
  <c r="N11" i="25"/>
  <c r="M11" i="25"/>
  <c r="L11" i="25"/>
  <c r="K11" i="25"/>
  <c r="J11" i="25"/>
  <c r="J10" i="25" s="1"/>
  <c r="I11" i="25"/>
  <c r="H11" i="25"/>
  <c r="G11" i="25"/>
  <c r="G10" i="25" s="1"/>
  <c r="B11" i="25"/>
  <c r="N10" i="25"/>
  <c r="B10" i="25"/>
  <c r="T9" i="25"/>
  <c r="S8" i="25"/>
  <c r="R8" i="25"/>
  <c r="R82" i="25" s="1"/>
  <c r="Q8" i="25"/>
  <c r="Q82" i="25" s="1"/>
  <c r="P8" i="25"/>
  <c r="P82" i="25" s="1"/>
  <c r="O8" i="25"/>
  <c r="O82" i="25" s="1"/>
  <c r="N8" i="25"/>
  <c r="N82" i="25" s="1"/>
  <c r="M8" i="25"/>
  <c r="M82" i="25" s="1"/>
  <c r="L8" i="25"/>
  <c r="L82" i="25" s="1"/>
  <c r="K8" i="25"/>
  <c r="K82" i="25" s="1"/>
  <c r="J8" i="25"/>
  <c r="J82" i="25" s="1"/>
  <c r="I8" i="25"/>
  <c r="I82" i="25" s="1"/>
  <c r="H8" i="25"/>
  <c r="H82" i="25" s="1"/>
  <c r="G8" i="25"/>
  <c r="G82" i="25" s="1"/>
  <c r="S7" i="25"/>
  <c r="S81" i="25" s="1"/>
  <c r="B7" i="25"/>
  <c r="R5" i="25"/>
  <c r="Q5" i="25"/>
  <c r="P5" i="25"/>
  <c r="O5" i="25"/>
  <c r="N5" i="25"/>
  <c r="M5" i="25"/>
  <c r="L5" i="25"/>
  <c r="K5" i="25"/>
  <c r="J5" i="25"/>
  <c r="I5" i="25"/>
  <c r="H5" i="25"/>
  <c r="G5" i="25"/>
  <c r="E4" i="25"/>
  <c r="E2" i="25"/>
  <c r="I29" i="25" l="1"/>
  <c r="N29" i="11" s="1"/>
  <c r="T62" i="25"/>
  <c r="G62" i="11"/>
  <c r="T63" i="25"/>
  <c r="G63" i="11"/>
  <c r="T57" i="25"/>
  <c r="G57" i="11"/>
  <c r="T56" i="25"/>
  <c r="G56" i="11"/>
  <c r="T51" i="25"/>
  <c r="G51" i="11"/>
  <c r="T49" i="25"/>
  <c r="G49" i="11"/>
  <c r="T48" i="25"/>
  <c r="G48" i="11"/>
  <c r="T47" i="25"/>
  <c r="G47" i="11"/>
  <c r="T46" i="25"/>
  <c r="G46" i="11"/>
  <c r="T45" i="25"/>
  <c r="G45" i="11"/>
  <c r="T44" i="25"/>
  <c r="G44" i="11"/>
  <c r="T43" i="25"/>
  <c r="G43" i="11"/>
  <c r="T42" i="25"/>
  <c r="G42" i="11"/>
  <c r="T41" i="25"/>
  <c r="G41" i="11"/>
  <c r="T31" i="25"/>
  <c r="G31" i="11"/>
  <c r="T39" i="25"/>
  <c r="G39" i="11"/>
  <c r="T38" i="25"/>
  <c r="G38" i="11"/>
  <c r="T37" i="25"/>
  <c r="G37" i="11"/>
  <c r="T36" i="25"/>
  <c r="G36" i="11"/>
  <c r="T35" i="25"/>
  <c r="G35" i="11"/>
  <c r="T34" i="25"/>
  <c r="G34" i="11"/>
  <c r="T33" i="25"/>
  <c r="G33" i="11"/>
  <c r="T32" i="25"/>
  <c r="T27" i="25"/>
  <c r="G27" i="11"/>
  <c r="T28" i="25"/>
  <c r="G28" i="11"/>
  <c r="T26" i="25"/>
  <c r="G26" i="11"/>
  <c r="T25" i="25"/>
  <c r="G25" i="11"/>
  <c r="T24" i="25"/>
  <c r="G24" i="11"/>
  <c r="T20" i="25"/>
  <c r="G20" i="11"/>
  <c r="T21" i="25"/>
  <c r="G21" i="11"/>
  <c r="T22" i="25"/>
  <c r="G22" i="11"/>
  <c r="T23" i="25"/>
  <c r="G23" i="11"/>
  <c r="T14" i="25"/>
  <c r="G14" i="11"/>
  <c r="T15" i="25"/>
  <c r="G15" i="11"/>
  <c r="T17" i="25"/>
  <c r="G17" i="11"/>
  <c r="T12" i="25"/>
  <c r="G12" i="11"/>
  <c r="T13" i="25"/>
  <c r="G13" i="11"/>
  <c r="T16" i="25"/>
  <c r="G16" i="11"/>
  <c r="T18" i="25"/>
  <c r="G18" i="11"/>
  <c r="I103" i="25"/>
  <c r="M103" i="25"/>
  <c r="Q103" i="25"/>
  <c r="H103" i="25"/>
  <c r="J103" i="25"/>
  <c r="L103" i="25"/>
  <c r="N103" i="25"/>
  <c r="P103" i="25"/>
  <c r="R103" i="25"/>
  <c r="S85" i="25"/>
  <c r="T85" i="25" s="1"/>
  <c r="S114" i="25"/>
  <c r="T114" i="25" s="1"/>
  <c r="K103" i="25"/>
  <c r="O103" i="25"/>
  <c r="S30" i="25"/>
  <c r="I10" i="25"/>
  <c r="K10" i="25"/>
  <c r="K53" i="25" s="1"/>
  <c r="K59" i="25" s="1"/>
  <c r="K64" i="25" s="1"/>
  <c r="K60" i="25" s="1"/>
  <c r="M10" i="25"/>
  <c r="O10" i="25"/>
  <c r="O53" i="25" s="1"/>
  <c r="O59" i="25" s="1"/>
  <c r="O64" i="25" s="1"/>
  <c r="O60" i="25" s="1"/>
  <c r="Q10" i="25"/>
  <c r="L10" i="25"/>
  <c r="P10" i="25"/>
  <c r="H10" i="25"/>
  <c r="G84" i="25"/>
  <c r="I84" i="25"/>
  <c r="I127" i="25" s="1"/>
  <c r="I133" i="25" s="1"/>
  <c r="I138" i="25" s="1"/>
  <c r="I134" i="25" s="1"/>
  <c r="K84" i="25"/>
  <c r="M84" i="25"/>
  <c r="O84" i="25"/>
  <c r="Q84" i="25"/>
  <c r="Q127" i="25" s="1"/>
  <c r="Q133" i="25" s="1"/>
  <c r="Q138" i="25" s="1"/>
  <c r="Q134" i="25" s="1"/>
  <c r="G103" i="25"/>
  <c r="H29" i="25"/>
  <c r="J29" i="25"/>
  <c r="J53" i="25" s="1"/>
  <c r="L29" i="25"/>
  <c r="N29" i="25"/>
  <c r="N53" i="25" s="1"/>
  <c r="P29" i="25"/>
  <c r="P53" i="25" s="1"/>
  <c r="R29" i="25"/>
  <c r="R53" i="25" s="1"/>
  <c r="S40" i="25"/>
  <c r="I53" i="25"/>
  <c r="M53" i="25"/>
  <c r="M54" i="25" s="1"/>
  <c r="Q53" i="25"/>
  <c r="Q54" i="25" s="1"/>
  <c r="G29" i="25"/>
  <c r="S19" i="25"/>
  <c r="S11" i="25"/>
  <c r="S55" i="25"/>
  <c r="S93" i="25"/>
  <c r="T93" i="25" s="1"/>
  <c r="S104" i="25"/>
  <c r="T104" i="25" s="1"/>
  <c r="S129" i="25"/>
  <c r="T129" i="25" s="1"/>
  <c r="I54" i="25" l="1"/>
  <c r="N54" i="11" s="1"/>
  <c r="N53" i="11"/>
  <c r="T55" i="25"/>
  <c r="G55" i="11"/>
  <c r="T40" i="25"/>
  <c r="G40" i="11"/>
  <c r="T30" i="25"/>
  <c r="G30" i="11"/>
  <c r="T19" i="25"/>
  <c r="G19" i="11"/>
  <c r="T11" i="25"/>
  <c r="G11" i="11"/>
  <c r="M127" i="25"/>
  <c r="M128" i="25" s="1"/>
  <c r="O127" i="25"/>
  <c r="O128" i="25" s="1"/>
  <c r="N127" i="25"/>
  <c r="N128" i="25" s="1"/>
  <c r="K127" i="25"/>
  <c r="K133" i="25" s="1"/>
  <c r="K138" i="25" s="1"/>
  <c r="K134" i="25" s="1"/>
  <c r="L127" i="25"/>
  <c r="L133" i="25" s="1"/>
  <c r="L138" i="25" s="1"/>
  <c r="L134" i="25" s="1"/>
  <c r="R127" i="25"/>
  <c r="R128" i="25" s="1"/>
  <c r="J127" i="25"/>
  <c r="J128" i="25" s="1"/>
  <c r="P127" i="25"/>
  <c r="P133" i="25" s="1"/>
  <c r="P138" i="25" s="1"/>
  <c r="P134" i="25" s="1"/>
  <c r="H127" i="25"/>
  <c r="H133" i="25" s="1"/>
  <c r="H138" i="25" s="1"/>
  <c r="H134" i="25" s="1"/>
  <c r="G53" i="25"/>
  <c r="G127" i="25"/>
  <c r="Q59" i="25"/>
  <c r="Q64" i="25" s="1"/>
  <c r="Q60" i="25" s="1"/>
  <c r="I59" i="25"/>
  <c r="M59" i="25"/>
  <c r="M64" i="25" s="1"/>
  <c r="M60" i="25" s="1"/>
  <c r="L53" i="25"/>
  <c r="L54" i="25" s="1"/>
  <c r="O54" i="25"/>
  <c r="S10" i="25"/>
  <c r="H53" i="25"/>
  <c r="M133" i="25"/>
  <c r="M138" i="25" s="1"/>
  <c r="M134" i="25" s="1"/>
  <c r="I128" i="25"/>
  <c r="S84" i="25"/>
  <c r="T84" i="25" s="1"/>
  <c r="Q128" i="25"/>
  <c r="S103" i="25"/>
  <c r="T103" i="25" s="1"/>
  <c r="S29" i="25"/>
  <c r="P59" i="25"/>
  <c r="P64" i="25" s="1"/>
  <c r="P60" i="25" s="1"/>
  <c r="P54" i="25"/>
  <c r="K54" i="25"/>
  <c r="N54" i="25"/>
  <c r="N59" i="25"/>
  <c r="N64" i="25" s="1"/>
  <c r="N60" i="25" s="1"/>
  <c r="G59" i="25"/>
  <c r="R54" i="25"/>
  <c r="R59" i="25"/>
  <c r="R64" i="25" s="1"/>
  <c r="R60" i="25" s="1"/>
  <c r="J54" i="25"/>
  <c r="J59" i="25"/>
  <c r="J64" i="25" s="1"/>
  <c r="J60" i="25" s="1"/>
  <c r="S53" i="20"/>
  <c r="I64" i="25" l="1"/>
  <c r="N59" i="11"/>
  <c r="T29" i="25"/>
  <c r="G29" i="11"/>
  <c r="G16" i="1" s="1"/>
  <c r="H16" i="1" s="1"/>
  <c r="H54" i="25"/>
  <c r="T10" i="25"/>
  <c r="G10" i="11"/>
  <c r="G12" i="1" s="1"/>
  <c r="H12" i="1" s="1"/>
  <c r="O133" i="25"/>
  <c r="O138" i="25" s="1"/>
  <c r="O134" i="25" s="1"/>
  <c r="G54" i="25"/>
  <c r="G128" i="25"/>
  <c r="L128" i="25"/>
  <c r="K128" i="25"/>
  <c r="N133" i="25"/>
  <c r="N138" i="25" s="1"/>
  <c r="N134" i="25" s="1"/>
  <c r="R133" i="25"/>
  <c r="R138" i="25" s="1"/>
  <c r="R134" i="25" s="1"/>
  <c r="J133" i="25"/>
  <c r="J138" i="25" s="1"/>
  <c r="J134" i="25" s="1"/>
  <c r="H128" i="25"/>
  <c r="P128" i="25"/>
  <c r="S127" i="25"/>
  <c r="T127" i="25" s="1"/>
  <c r="G133" i="25"/>
  <c r="L59" i="25"/>
  <c r="L64" i="25" s="1"/>
  <c r="L60" i="25" s="1"/>
  <c r="H59" i="25"/>
  <c r="S53" i="25"/>
  <c r="G64" i="25"/>
  <c r="G5" i="22"/>
  <c r="H5" i="22"/>
  <c r="I5" i="22"/>
  <c r="J5" i="22"/>
  <c r="K5" i="22"/>
  <c r="L5" i="22"/>
  <c r="M5" i="22"/>
  <c r="N5" i="22"/>
  <c r="O5" i="22"/>
  <c r="I60" i="25" l="1"/>
  <c r="N60" i="11" s="1"/>
  <c r="N64" i="11"/>
  <c r="H64" i="25"/>
  <c r="S64" i="25" s="1"/>
  <c r="T53" i="25"/>
  <c r="G53" i="11"/>
  <c r="G20" i="1" s="1"/>
  <c r="H20" i="1" s="1"/>
  <c r="S54" i="25"/>
  <c r="S133" i="25"/>
  <c r="T133" i="25" s="1"/>
  <c r="S128" i="25"/>
  <c r="T128" i="25" s="1"/>
  <c r="G138" i="25"/>
  <c r="S59" i="25"/>
  <c r="G60" i="25"/>
  <c r="P19" i="22"/>
  <c r="T54" i="25" l="1"/>
  <c r="G54" i="11"/>
  <c r="T64" i="25"/>
  <c r="G64" i="11"/>
  <c r="T59" i="25"/>
  <c r="G59" i="11"/>
  <c r="H60" i="25"/>
  <c r="S138" i="25"/>
  <c r="T138" i="25" s="1"/>
  <c r="G134" i="25"/>
  <c r="S121" i="22"/>
  <c r="S60" i="25" l="1"/>
  <c r="T60" i="25" s="1"/>
  <c r="S134" i="25"/>
  <c r="T134" i="25" s="1"/>
  <c r="M129" i="22"/>
  <c r="G60" i="11" l="1"/>
  <c r="G5" i="19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Q53" i="22" l="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 s="1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O54" i="22"/>
  <c r="J53" i="22"/>
  <c r="A145" i="19"/>
  <c r="A144" i="19"/>
  <c r="A151" i="19"/>
  <c r="A157" i="19"/>
  <c r="A152" i="19"/>
  <c r="A153" i="19"/>
  <c r="G54" i="22" l="1"/>
  <c r="T29" i="22"/>
  <c r="R54" i="22"/>
  <c r="Q64" i="22"/>
  <c r="Q54" i="22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R64" i="22" l="1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S59" i="22"/>
  <c r="T59" i="22" s="1"/>
  <c r="G138" i="22"/>
  <c r="S133" i="22"/>
  <c r="Q54" i="11"/>
  <c r="S128" i="22"/>
  <c r="R60" i="22" l="1"/>
  <c r="P134" i="22"/>
  <c r="O60" i="22"/>
  <c r="N60" i="22"/>
  <c r="Q59" i="11"/>
  <c r="M134" i="22"/>
  <c r="M60" i="22"/>
  <c r="J60" i="22"/>
  <c r="T128" i="22"/>
  <c r="T133" i="22"/>
  <c r="I134" i="22"/>
  <c r="H60" i="22"/>
  <c r="I53" i="11"/>
  <c r="S64" i="22"/>
  <c r="T64" i="22" s="1"/>
  <c r="J53" i="11"/>
  <c r="G60" i="22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J59" i="11"/>
  <c r="I59" i="11"/>
  <c r="S134" i="22"/>
  <c r="Q60" i="11"/>
  <c r="GB35" i="6"/>
  <c r="GB28" i="6"/>
  <c r="GB23" i="6"/>
  <c r="GB18" i="6"/>
  <c r="GB10" i="6"/>
  <c r="J60" i="11" l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E3" i="22" l="1"/>
  <c r="E3" i="25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<sst xmlns="http://schemas.openxmlformats.org/spreadsheetml/2006/main" count="1770" uniqueCount="839">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</sst>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mart 2022. godine iznosili su 416,6 mil. € ili 7,9%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u odnosu na planirane za 50,5 mil. € ili 13,8%. U odnosu na prethodnu godinu prihodi su veći za 68,1 mil. € ili 19,6%. </a:t>
          </a:r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 - mart 2022. godine iznosili su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438,6 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8,3 BDP-a i manji su za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13,1 mil. € ili 2,9% u odnosu na prethodnu godinu. U odnosu na planirane, izdaci su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ži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za 64,6 mil. € ili 12,8%. U periodu januar - mart 2022. godine deficit budžeta iznosio je 22,0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0,4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procijenjenog BDP-a, što je za 115,1 mil. € ili 83,9% niže od planiranog, odnosno 81,2 mil. € ili 78,7% niže od zabilježenog u istom periodu 2021.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219710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523875</xdr:colOff>
      <xdr:row>2</xdr:row>
      <xdr:rowOff>123824</xdr:rowOff>
    </xdr:from>
    <xdr:to>
      <xdr:col>11</xdr:col>
      <xdr:colOff>26035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342900</xdr:colOff>
      <xdr:row>3</xdr:row>
      <xdr:rowOff>28575</xdr:rowOff>
    </xdr:from>
    <xdr:to>
      <xdr:col>13</xdr:col>
      <xdr:colOff>95568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381000</xdr:colOff>
      <xdr:row>3</xdr:row>
      <xdr:rowOff>9525</xdr:rowOff>
    </xdr:from>
    <xdr:to>
      <xdr:col>15</xdr:col>
      <xdr:colOff>133668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2022-03</v>
      </c>
      <c r="O6" s="143" t="str">
        <f>+CONCATENATE(N6,"p")</f>
        <v>2022-03p</v>
      </c>
      <c r="P6" s="130"/>
      <c r="Q6" s="130"/>
      <c r="R6" s="143" t="str">
        <f>+IF(Master!B3-10&gt;=0,CONCATENATE(Master!B4-1,"-",Master!B3),CONCATENATE(Master!B4-1,"-0",Master!B3))</f>
        <v>2021-03</v>
      </c>
      <c r="S6" s="130"/>
      <c r="T6" s="130"/>
    </row>
    <row r="7" spans="1:20">
      <c r="A7" s="144"/>
      <c r="B7" s="506" t="s">
        <v>692</v>
      </c>
      <c r="C7" s="507"/>
      <c r="D7" s="507"/>
      <c r="E7" s="507"/>
      <c r="F7" s="507"/>
      <c r="G7" s="515" t="s">
        <v>691</v>
      </c>
      <c r="H7" s="516"/>
      <c r="I7" s="516"/>
      <c r="J7" s="516"/>
      <c r="K7" s="516"/>
      <c r="L7" s="516"/>
      <c r="M7" s="517"/>
      <c r="N7" s="518" t="str">
        <f>+Master!G242</f>
        <v>Decembar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145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Mar 2021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Mart 2021</v>
      </c>
      <c r="S8" s="502" t="str">
        <f>+P8</f>
        <v>Odstupanje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6" t="e">
        <f>+VLOOKUP($A18,Master!$D$29:$G$225,4,FALSE)</f>
        <v>#N/A</v>
      </c>
      <c r="C18" s="537"/>
      <c r="D18" s="537"/>
      <c r="E18" s="537"/>
      <c r="F18" s="53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6" t="str">
        <f>+VLOOKUP($A19,Master!$D$29:$G$225,4,FALSE)</f>
        <v>Ostali državni porezi</v>
      </c>
      <c r="C19" s="537"/>
      <c r="D19" s="537"/>
      <c r="E19" s="537"/>
      <c r="F19" s="53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6" t="str">
        <f>+VLOOKUP($A20,Master!$D$29:$G$225,4,FALSE)</f>
        <v>Doprinosi</v>
      </c>
      <c r="C20" s="547"/>
      <c r="D20" s="547"/>
      <c r="E20" s="547"/>
      <c r="F20" s="54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6" t="str">
        <f>+VLOOKUP($A21,Master!$D$29:$G$225,4,FALSE)</f>
        <v>Doprinosi za penzijsko i invalidsko osiguranje</v>
      </c>
      <c r="C21" s="537"/>
      <c r="D21" s="537"/>
      <c r="E21" s="537"/>
      <c r="F21" s="53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6" t="str">
        <f>+VLOOKUP($A22,Master!$D$29:$G$225,4,FALSE)</f>
        <v>Doprinosi za zdravstveno osiguranje</v>
      </c>
      <c r="C22" s="537"/>
      <c r="D22" s="537"/>
      <c r="E22" s="537"/>
      <c r="F22" s="53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6" t="str">
        <f>+VLOOKUP($A23,Master!$D$29:$G$225,4,FALSE)</f>
        <v>Doprinosi za osiguranje od nezaposlenosti</v>
      </c>
      <c r="C23" s="537"/>
      <c r="D23" s="537"/>
      <c r="E23" s="537"/>
      <c r="F23" s="53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6" t="str">
        <f>+VLOOKUP($A24,Master!$D$29:$G$225,4,FALSE)</f>
        <v>Ostali doprinosi</v>
      </c>
      <c r="C24" s="537"/>
      <c r="D24" s="537"/>
      <c r="E24" s="537"/>
      <c r="F24" s="53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8" t="str">
        <f>+VLOOKUP($A25,Master!$D$29:$G$225,4,FALSE)</f>
        <v>Takse</v>
      </c>
      <c r="C25" s="539"/>
      <c r="D25" s="539"/>
      <c r="E25" s="539"/>
      <c r="F25" s="53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8" t="str">
        <f>+VLOOKUP($A26,Master!$D$29:$G$225,4,FALSE)</f>
        <v>Naknade</v>
      </c>
      <c r="C26" s="539"/>
      <c r="D26" s="539"/>
      <c r="E26" s="539"/>
      <c r="F26" s="53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8" t="str">
        <f>+VLOOKUP($A27,Master!$D$29:$G$225,4,FALSE)</f>
        <v>Ostali prihodi</v>
      </c>
      <c r="C27" s="539"/>
      <c r="D27" s="539"/>
      <c r="E27" s="539"/>
      <c r="F27" s="53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8" t="str">
        <f>+VLOOKUP($A28,Master!$D$29:$G$225,4,FALSE)</f>
        <v>Primici od otplate kredita i sredstva prenesena iz prethodne godine</v>
      </c>
      <c r="C28" s="539"/>
      <c r="D28" s="539"/>
      <c r="E28" s="539"/>
      <c r="F28" s="53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0" t="str">
        <f>+VLOOKUP($A29,Master!$D$29:$G$225,4,FALSE)</f>
        <v>Donacije i transferi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6" t="str">
        <f>+VLOOKUP($A30,Master!$D$29:$G$225,4,FALSE)</f>
        <v>Izdaci budžeta</v>
      </c>
      <c r="C30" s="527"/>
      <c r="D30" s="527"/>
      <c r="E30" s="527"/>
      <c r="F30" s="52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2" t="str">
        <f>+VLOOKUP($A31,Master!$D$29:$G$225,4,FALSE)</f>
        <v>Tekući izdaci</v>
      </c>
      <c r="C31" s="543"/>
      <c r="D31" s="543"/>
      <c r="E31" s="543"/>
      <c r="F31" s="54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4" t="str">
        <f>+VLOOKUP($A32,Master!$D$29:$G$225,4,FALSE)</f>
        <v>Tekuća budžetska potrošnja</v>
      </c>
      <c r="C32" s="545"/>
      <c r="D32" s="545"/>
      <c r="E32" s="545"/>
      <c r="F32" s="54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6" t="str">
        <f>+VLOOKUP($A33,Master!$D$29:$G$225,4,FALSE)</f>
        <v>Bruto zarade i doprinosi na teret poslodavca</v>
      </c>
      <c r="C33" s="537"/>
      <c r="D33" s="537"/>
      <c r="E33" s="537"/>
      <c r="F33" s="53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6" t="str">
        <f>+VLOOKUP($A34,Master!$D$29:$G$225,4,FALSE)</f>
        <v>Ostala lična primanja</v>
      </c>
      <c r="C34" s="537"/>
      <c r="D34" s="537"/>
      <c r="E34" s="537"/>
      <c r="F34" s="53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6" t="str">
        <f>+VLOOKUP($A35,Master!$D$29:$G$225,4,FALSE)</f>
        <v>Rashodi za materijal</v>
      </c>
      <c r="C35" s="537"/>
      <c r="D35" s="537"/>
      <c r="E35" s="537"/>
      <c r="F35" s="53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6" t="str">
        <f>+VLOOKUP($A36,Master!$D$29:$G$225,4,FALSE)</f>
        <v>Rashodi za usluge</v>
      </c>
      <c r="C36" s="537"/>
      <c r="D36" s="537"/>
      <c r="E36" s="537"/>
      <c r="F36" s="53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6" t="str">
        <f>+VLOOKUP($A37,Master!$D$29:$G$225,4,FALSE)</f>
        <v>Rashodi za tekuće održavanje</v>
      </c>
      <c r="C37" s="537"/>
      <c r="D37" s="537"/>
      <c r="E37" s="537"/>
      <c r="F37" s="53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6" t="str">
        <f>+VLOOKUP($A38,Master!$D$29:$G$225,4,FALSE)</f>
        <v>Kamate</v>
      </c>
      <c r="C38" s="537"/>
      <c r="D38" s="537"/>
      <c r="E38" s="537"/>
      <c r="F38" s="53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6" t="str">
        <f>+VLOOKUP($A39,Master!$D$29:$G$225,4,FALSE)</f>
        <v>Renta</v>
      </c>
      <c r="C39" s="537"/>
      <c r="D39" s="537"/>
      <c r="E39" s="537"/>
      <c r="F39" s="53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6" t="str">
        <f>+VLOOKUP($A40,Master!$D$29:$G$225,4,FALSE)</f>
        <v>Subvencije</v>
      </c>
      <c r="C40" s="537"/>
      <c r="D40" s="537"/>
      <c r="E40" s="537"/>
      <c r="F40" s="53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6" t="str">
        <f>+VLOOKUP($A41,Master!$D$29:$G$225,4,FALSE)</f>
        <v>Ostali izdaci</v>
      </c>
      <c r="C41" s="537"/>
      <c r="D41" s="537"/>
      <c r="E41" s="537"/>
      <c r="F41" s="53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6" t="e">
        <f>+VLOOKUP($A42,Master!$D$29:$G$225,4,FALSE)</f>
        <v>#N/A</v>
      </c>
      <c r="C42" s="537"/>
      <c r="D42" s="537"/>
      <c r="E42" s="537"/>
      <c r="F42" s="53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2" t="str">
        <f>+VLOOKUP($A43,Master!$D$29:$G$225,4,FALSE)</f>
        <v>Transferi za socijalnu zaštitu</v>
      </c>
      <c r="C43" s="533"/>
      <c r="D43" s="533"/>
      <c r="E43" s="533"/>
      <c r="F43" s="53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6" t="str">
        <f>+VLOOKUP($A44,Master!$D$29:$G$225,4,FALSE)</f>
        <v>Prava iz oblasti socijalne zaštite</v>
      </c>
      <c r="C44" s="537"/>
      <c r="D44" s="537"/>
      <c r="E44" s="537"/>
      <c r="F44" s="53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6" t="str">
        <f>+VLOOKUP($A45,Master!$D$29:$G$225,4,FALSE)</f>
        <v>Sredstva za tehnološke viškove</v>
      </c>
      <c r="C45" s="537"/>
      <c r="D45" s="537"/>
      <c r="E45" s="537"/>
      <c r="F45" s="53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6" t="str">
        <f>+VLOOKUP($A46,Master!$D$29:$G$225,4,FALSE)</f>
        <v>Prava iz oblasti penzijskog i invalidskog osiguranja</v>
      </c>
      <c r="C46" s="537"/>
      <c r="D46" s="537"/>
      <c r="E46" s="537"/>
      <c r="F46" s="53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6" t="str">
        <f>+VLOOKUP($A47,Master!$D$29:$G$225,4,FALSE)</f>
        <v>Ostala prava iz oblasti zdravstvene zaštite</v>
      </c>
      <c r="C47" s="537"/>
      <c r="D47" s="537"/>
      <c r="E47" s="537"/>
      <c r="F47" s="53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6" t="str">
        <f>+VLOOKUP($A48,Master!$D$29:$G$225,4,FALSE)</f>
        <v>Ostala prava iz zdravstvenog osiguranja</v>
      </c>
      <c r="C48" s="537"/>
      <c r="D48" s="537"/>
      <c r="E48" s="537"/>
      <c r="F48" s="53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4" t="str">
        <f>+VLOOKUP($A49,Master!$D$29:$G$225,4,FALSE)</f>
        <v xml:space="preserve">Transferi institucijama, pojedincima, nevladinom i javnom sektoru </v>
      </c>
      <c r="C49" s="535"/>
      <c r="D49" s="535"/>
      <c r="E49" s="535"/>
      <c r="F49" s="535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4" t="str">
        <f>+VLOOKUP($A50,Master!$D$29:$G$225,4,FALSE)</f>
        <v>Kapitalni izdaci</v>
      </c>
      <c r="C50" s="535"/>
      <c r="D50" s="535"/>
      <c r="E50" s="535"/>
      <c r="F50" s="535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4" t="str">
        <f>+VLOOKUP($A51,Master!$D$29:$G$225,4,FALSE)</f>
        <v>Pozajmice i krediti</v>
      </c>
      <c r="C51" s="505"/>
      <c r="D51" s="505"/>
      <c r="E51" s="505"/>
      <c r="F51" s="50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4" t="str">
        <f>+VLOOKUP($A52,Master!$D$29:$G$225,4,FALSE)</f>
        <v>Rezerve</v>
      </c>
      <c r="C52" s="505"/>
      <c r="D52" s="505"/>
      <c r="E52" s="505"/>
      <c r="F52" s="50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2" t="str">
        <f>+VLOOKUP($A53,Master!$D$29:$G$225,4,FALSE)</f>
        <v>Otplata garancija</v>
      </c>
      <c r="C53" s="523"/>
      <c r="D53" s="523"/>
      <c r="E53" s="523"/>
      <c r="F53" s="52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2" t="str">
        <f>+VLOOKUP($A54,Master!$D$29:$G$225,4,FALSE)</f>
        <v>Otplata obaveza iz prethodnog perioda</v>
      </c>
      <c r="C54" s="523"/>
      <c r="D54" s="523"/>
      <c r="E54" s="523"/>
      <c r="F54" s="52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2" t="str">
        <f>+VLOOKUP($A55,Master!$D$29:$G$227,4,FALSE)</f>
        <v>Neto povećanje obaveza</v>
      </c>
      <c r="C55" s="523"/>
      <c r="D55" s="523"/>
      <c r="E55" s="523"/>
      <c r="F55" s="52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8" t="str">
        <f>+VLOOKUP($A56,Master!$D$29:$G$225,4,FALSE)</f>
        <v>Suficit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0" t="str">
        <f>+VLOOKUP($A57,Master!$D$29:$G$225,4,FALSE)</f>
        <v>Primarni suficit/deficit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2" t="str">
        <f>+VLOOKUP($A58,Master!$D$29:$G$225,4,FALSE)</f>
        <v>Otplata dugova</v>
      </c>
      <c r="C58" s="533"/>
      <c r="D58" s="533"/>
      <c r="E58" s="533"/>
      <c r="F58" s="53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0" t="str">
        <f>+VLOOKUP($A59,Master!$D$29:$G$225,4,FALSE)</f>
        <v>Otplata hartija od vrijednosti i kredita rezidentima</v>
      </c>
      <c r="C59" s="521"/>
      <c r="D59" s="521"/>
      <c r="E59" s="521"/>
      <c r="F59" s="52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4" t="str">
        <f>+VLOOKUP($A60,Master!$D$29:$G$225,4,FALSE)</f>
        <v>Otplata hartija od vrijednosti i kredita nerezidentima</v>
      </c>
      <c r="C60" s="505"/>
      <c r="D60" s="505"/>
      <c r="E60" s="505"/>
      <c r="F60" s="50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4" t="str">
        <f>+VLOOKUP($A62,Master!$D$29:$G$225,4,FALSE)</f>
        <v>Nedostajuća sredstva</v>
      </c>
      <c r="C62" s="525"/>
      <c r="D62" s="525"/>
      <c r="E62" s="525"/>
      <c r="F62" s="525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6" t="str">
        <f>+VLOOKUP($A63,Master!$D$29:$G$225,4,FALSE)</f>
        <v>Finansiranje</v>
      </c>
      <c r="C63" s="527"/>
      <c r="D63" s="527"/>
      <c r="E63" s="527"/>
      <c r="F63" s="52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0" t="str">
        <f>+VLOOKUP($A64,Master!$D$29:$G$225,4,FALSE)</f>
        <v>Pozajmice i krediti od domaćih izvora</v>
      </c>
      <c r="C64" s="521"/>
      <c r="D64" s="521"/>
      <c r="E64" s="521"/>
      <c r="F64" s="52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4" t="str">
        <f>+VLOOKUP($A65,Master!$D$29:$G$225,4,FALSE)</f>
        <v>Pozajmice i krediti od inostranih izvora</v>
      </c>
      <c r="C65" s="505"/>
      <c r="D65" s="505"/>
      <c r="E65" s="505"/>
      <c r="F65" s="50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4" t="str">
        <f>+VLOOKUP($A66,Master!$D$29:$G$225,4,FALSE)</f>
        <v>Primici od prodaje imovine</v>
      </c>
      <c r="C66" s="505"/>
      <c r="D66" s="505"/>
      <c r="E66" s="505"/>
      <c r="F66" s="50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F8" sqref="F8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3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838</v>
      </c>
      <c r="G7" s="52" t="str">
        <f t="shared" si="0"/>
        <v>Ministarstvo finansija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824</v>
      </c>
      <c r="F11" s="12" t="s">
        <v>825</v>
      </c>
      <c r="G11" s="52" t="str">
        <f>+IF(ISBLANK(IF($B$2=1,E11,F11)),"",IF($B$2=1,E11,F11))</f>
        <v>Mjesečni podaci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Mart</v>
      </c>
    </row>
    <row r="245" spans="4:7">
      <c r="D245" s="49"/>
      <c r="E245" s="9"/>
      <c r="F245" s="10"/>
      <c r="G245" s="52" t="str">
        <f>+CONCATENATE("Jan - ",LEFT(G244,3))</f>
        <v>Jan - Mar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Mar</v>
      </c>
      <c r="F253" s="10" t="str">
        <f>+CONCATENATE("Analytics for period ",G245)</f>
        <v>Analytics for period Jan - Mar</v>
      </c>
      <c r="G253" s="52" t="str">
        <f>+IF(ISBLANK(IF($B$2=1,E253,F253)),"",IF($B$2=1,E253,F253))</f>
        <v>Analitika za period Jan - Mar</v>
      </c>
    </row>
    <row r="254" spans="4:7">
      <c r="D254" s="46"/>
      <c r="E254" s="9" t="str">
        <f>+CONCATENATE("Analitika za period ",G244)</f>
        <v>Analitika za period Mart</v>
      </c>
      <c r="F254" s="10" t="str">
        <f>+CONCATENATE("Analytics for period ",G244)</f>
        <v>Analytics for period Mart</v>
      </c>
      <c r="G254" s="52" t="str">
        <f>+IF(ISBLANK(IF($B$2=1,E254,F254)),"",IF($B$2=1,E254,F254))</f>
        <v>Analitika za period Mart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Mart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Mart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Mart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Mart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Mart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Mart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tabSelected="1" zoomScaleNormal="100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Mart</v>
      </c>
      <c r="E11" s="135"/>
      <c r="F11" s="135"/>
      <c r="G11" s="137" t="str">
        <f>+Master!G273</f>
        <v>Prihodi za period Januar - Mart</v>
      </c>
      <c r="H11" s="135"/>
      <c r="I11" s="135"/>
      <c r="J11" s="135"/>
      <c r="K11" s="136"/>
    </row>
    <row r="12" spans="3:11">
      <c r="C12" s="134"/>
      <c r="D12" s="138">
        <f>+'Analitika 2022'!N10</f>
        <v>184138202.87</v>
      </c>
      <c r="E12" s="455">
        <f>+D12/'2022'!T7</f>
        <v>3.4701153865143976E-2</v>
      </c>
      <c r="F12" s="135"/>
      <c r="G12" s="138">
        <f>+'Analitika 2022'!G10</f>
        <v>416560571.22000003</v>
      </c>
      <c r="H12" s="455">
        <f>+G12/'2022'!T7</f>
        <v>7.850153988014473E-2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808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Mart</v>
      </c>
      <c r="E15" s="135"/>
      <c r="F15" s="135"/>
      <c r="G15" s="137" t="str">
        <f>+Master!G274</f>
        <v>Rashodi za period Januar - Mart</v>
      </c>
      <c r="H15" s="135"/>
      <c r="I15" s="135"/>
      <c r="J15" s="135"/>
      <c r="K15" s="136"/>
    </row>
    <row r="16" spans="3:11">
      <c r="C16" s="134"/>
      <c r="D16" s="138">
        <f>+'Analitika 2022'!N29</f>
        <v>152238145.65000001</v>
      </c>
      <c r="E16" s="455">
        <f>+D16/'2022'!T7</f>
        <v>2.868953445838987E-2</v>
      </c>
      <c r="F16" s="135"/>
      <c r="G16" s="138">
        <f>+'Analitika 2022'!G29</f>
        <v>438599213.62</v>
      </c>
      <c r="H16" s="455">
        <f>+G16/'2022'!T7</f>
        <v>8.2654759087140053E-2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808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Mart</v>
      </c>
      <c r="E19" s="135"/>
      <c r="F19" s="135"/>
      <c r="G19" s="137" t="str">
        <f>+Master!G275</f>
        <v>Suficit/Deficit za period Januar - Mart</v>
      </c>
      <c r="H19" s="135"/>
      <c r="I19" s="135"/>
      <c r="J19" s="135"/>
      <c r="K19" s="136"/>
    </row>
    <row r="20" spans="3:12">
      <c r="C20" s="134"/>
      <c r="D20" s="138">
        <f>+'Analitika 2022'!N53</f>
        <v>31900057.219999999</v>
      </c>
      <c r="E20" s="455">
        <f>+D20/'2022'!T7</f>
        <v>6.011619406754108E-3</v>
      </c>
      <c r="F20" s="135"/>
      <c r="G20" s="138">
        <f>+'Analitika 2022'!G53</f>
        <v>-22038642.399999991</v>
      </c>
      <c r="H20" s="455">
        <f>+G20/'2022'!T7</f>
        <v>-4.1532192069953251E-3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808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3oAroTVVLTx2e8NSuU0IeUvFZq+mj3ODJXDfB9zncLD/djXQItiTnUZNo6OmFo4pjXBd4+36wXSTkufLfeY3SA==" saltValue="eWQLW3Ov8jzmiQC81Fyk1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topLeftCell="B1" zoomScaleNormal="10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tr">
        <f>+Master!G7</f>
        <v>Ministarstvo finansija</v>
      </c>
      <c r="G3" s="355"/>
    </row>
    <row r="4" spans="1:20" s="1" customFormat="1">
      <c r="B4" s="163"/>
      <c r="E4" s="4" t="str">
        <f>+Master!G8</f>
        <v>Direktorat za državni budžet</v>
      </c>
      <c r="G4" s="355"/>
      <c r="H4" s="363"/>
      <c r="I4" s="363"/>
      <c r="J4" s="363"/>
      <c r="N4" s="484"/>
      <c r="P4" s="484"/>
      <c r="Q4" s="484"/>
    </row>
    <row r="5" spans="1:20" s="1" customFormat="1">
      <c r="B5" s="484"/>
      <c r="G5" s="163"/>
      <c r="H5" s="163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2022-03</v>
      </c>
      <c r="O6" s="143" t="str">
        <f>+CONCATENATE(N6,"p")</f>
        <v>2022-03p</v>
      </c>
      <c r="P6" s="130"/>
      <c r="Q6" s="130"/>
      <c r="R6" s="143" t="str">
        <f>+IF(Master!B3-10&gt;=0,CONCATENATE(Master!B4-1,"-",Master!B3),CONCATENATE(Master!B4-1,"-0",Master!B3))</f>
        <v>2021-03</v>
      </c>
      <c r="S6" s="130"/>
      <c r="T6" s="130"/>
    </row>
    <row r="7" spans="1:20" ht="14.25" customHeight="1">
      <c r="A7" s="144"/>
      <c r="B7" s="506" t="str">
        <f>+Master!G253</f>
        <v>Analitika za period Jan - Mar</v>
      </c>
      <c r="C7" s="507"/>
      <c r="D7" s="507"/>
      <c r="E7" s="507"/>
      <c r="F7" s="507"/>
      <c r="G7" s="515" t="str">
        <f>+Master!G245</f>
        <v>Jan - Mar</v>
      </c>
      <c r="H7" s="516"/>
      <c r="I7" s="516"/>
      <c r="J7" s="516"/>
      <c r="K7" s="516"/>
      <c r="L7" s="516"/>
      <c r="M7" s="517"/>
      <c r="N7" s="518" t="str">
        <f>+Master!G244</f>
        <v>Mart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357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Mar 2021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Mart 2021</v>
      </c>
      <c r="S8" s="502" t="str">
        <f>+P8</f>
        <v>Odstupanje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6" t="str">
        <f>+VLOOKUP($A10,Master!$D$29:$G$225,4,FALSE)</f>
        <v>Prihodi budžeta</v>
      </c>
      <c r="C10" s="527"/>
      <c r="D10" s="527"/>
      <c r="E10" s="527"/>
      <c r="F10" s="527"/>
      <c r="G10" s="151">
        <f>'2022'!S10</f>
        <v>416560571.22000003</v>
      </c>
      <c r="H10" s="151">
        <f>SUM('2022'!G84:I84)</f>
        <v>366096350.17277288</v>
      </c>
      <c r="I10" s="152">
        <f>+G10-H10</f>
        <v>50464221.047227144</v>
      </c>
      <c r="J10" s="154">
        <f>IF(+IF(ISERROR(G10/H10),"…",G10/H10-1)&gt;200%,"...",IF(ISERROR(G10/H10),"…",G10/H10-1))</f>
        <v>0.13784409766284589</v>
      </c>
      <c r="K10" s="151">
        <f>SUM('2021'!G10:I10)</f>
        <v>348439962.77999997</v>
      </c>
      <c r="L10" s="152">
        <f>+G10-K10</f>
        <v>68120608.440000057</v>
      </c>
      <c r="M10" s="154">
        <f>IF(+IF(ISERROR(G10/K10),"…",G10/K10-1)&gt;200%,"...",IF(ISERROR(G10/K10),"…",G10/K10-1))</f>
        <v>0.19550170966758618</v>
      </c>
      <c r="N10" s="151">
        <f>'2022'!I10</f>
        <v>184138202.87</v>
      </c>
      <c r="O10" s="151">
        <f>'2022'!I84</f>
        <v>149823320.09605211</v>
      </c>
      <c r="P10" s="152">
        <f>+N10-O10</f>
        <v>34314882.773947895</v>
      </c>
      <c r="Q10" s="154">
        <f>IF(+IF(ISERROR(N10/O10),"…",N10/O10-1)&gt;200%,"...",IF(ISERROR(N10/O10),"…",N10/O10-1))</f>
        <v>0.2290356584805926</v>
      </c>
      <c r="R10" s="151">
        <f>'2021'!I10</f>
        <v>154192756.19</v>
      </c>
      <c r="S10" s="152">
        <f>+N10-R10</f>
        <v>29945446.680000007</v>
      </c>
      <c r="T10" s="154">
        <f>IF(+IF(ISERROR(N10/R10),"…",N10/R10-1)&gt;200%,"...",IF(ISERROR(N10/R10),"…",N10/R10-1))</f>
        <v>0.19420786955192959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277">
        <f>'2022'!S11</f>
        <v>300138813.95000005</v>
      </c>
      <c r="H11" s="277">
        <f>SUM('2022'!G85:I85)</f>
        <v>251426770.7690767</v>
      </c>
      <c r="I11" s="158">
        <f t="shared" ref="I11:I57" si="0">+G11-H11</f>
        <v>48712043.180923343</v>
      </c>
      <c r="J11" s="160">
        <f t="shared" ref="J11:J64" si="1">IF(+IF(ISERROR(G11/H11-1),"…",G11/H11-1)&gt;200%,"...",IF(ISERROR(G11/H11-1),"…",G11/H11-1))</f>
        <v>0.19374246836134645</v>
      </c>
      <c r="K11" s="277">
        <f>SUM('2021'!G11:I11)</f>
        <v>228312824.08000001</v>
      </c>
      <c r="L11" s="158">
        <f>+G11-K11</f>
        <v>71825989.870000035</v>
      </c>
      <c r="M11" s="160">
        <f t="shared" ref="M11:M64" si="2">IF(+IF(ISERROR(G11/K11),"…",G11/K11-1)&gt;200%,"...",IF(ISERROR(G11/K11),"…",G11/K11-1))</f>
        <v>0.3145946363697576</v>
      </c>
      <c r="N11" s="277">
        <f>'2022'!I11</f>
        <v>136363333.32000002</v>
      </c>
      <c r="O11" s="277">
        <f>'2022'!I85</f>
        <v>105701262.46110664</v>
      </c>
      <c r="P11" s="158">
        <f>+N11-O11</f>
        <v>30662070.85889338</v>
      </c>
      <c r="Q11" s="160">
        <f t="shared" ref="Q11:Q64" si="3">IF(+IF(ISERROR(N11/O11),"…",N11/O11-1)&gt;200%,"...",IF(ISERROR(N11/O11),"…",N11/O11-1))</f>
        <v>0.29008235232928903</v>
      </c>
      <c r="R11" s="277">
        <f>'2021'!I11</f>
        <v>99466337.219999999</v>
      </c>
      <c r="S11" s="158">
        <f t="shared" ref="S11:S57" si="4">+N11-R11</f>
        <v>36896996.100000024</v>
      </c>
      <c r="T11" s="160">
        <f t="shared" ref="T11:T64" si="5">IF(+IF(ISERROR(N11/R11),"…",N11/R11-1)&gt;200%,"...",IF(ISERROR(N11/R11),"…",N11/R11-1))</f>
        <v>0.37094958084553897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'2022'!S12</f>
        <v>20476917.02</v>
      </c>
      <c r="H12" s="163">
        <f>SUM('2022'!G86:I86)</f>
        <v>23558463.566653699</v>
      </c>
      <c r="I12" s="164">
        <f t="shared" si="0"/>
        <v>-3081546.5466536991</v>
      </c>
      <c r="J12" s="166">
        <f t="shared" si="1"/>
        <v>-0.13080422405031267</v>
      </c>
      <c r="K12" s="163">
        <f>SUM('2021'!G12:I12)</f>
        <v>22794265.77</v>
      </c>
      <c r="L12" s="164">
        <f>+G12-K12</f>
        <v>-2317348.75</v>
      </c>
      <c r="M12" s="166">
        <f t="shared" si="2"/>
        <v>-0.10166367161735523</v>
      </c>
      <c r="N12" s="163">
        <f>'2022'!I12</f>
        <v>6664350.6399999997</v>
      </c>
      <c r="O12" s="163">
        <f>'2022'!I86</f>
        <v>8610008.171962196</v>
      </c>
      <c r="P12" s="164">
        <f t="shared" ref="P12:P57" si="6">+N12-O12</f>
        <v>-1945657.5319621963</v>
      </c>
      <c r="Q12" s="166">
        <f t="shared" si="3"/>
        <v>-0.22597627006883392</v>
      </c>
      <c r="R12" s="163">
        <f>'2021'!I12</f>
        <v>10457309.710000001</v>
      </c>
      <c r="S12" s="164">
        <f t="shared" si="4"/>
        <v>-3792959.0700000012</v>
      </c>
      <c r="T12" s="166">
        <f t="shared" si="5"/>
        <v>-0.36270887782666628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'2022'!S13</f>
        <v>41248279.109999999</v>
      </c>
      <c r="H13" s="163">
        <f>SUM('2022'!G87:I87)</f>
        <v>31720404.781161029</v>
      </c>
      <c r="I13" s="164">
        <f t="shared" si="0"/>
        <v>9527874.3288389705</v>
      </c>
      <c r="J13" s="166">
        <f t="shared" si="1"/>
        <v>0.3003705152746865</v>
      </c>
      <c r="K13" s="163">
        <f>SUM('2021'!G13:I13)</f>
        <v>30868426.009999998</v>
      </c>
      <c r="L13" s="164">
        <f t="shared" ref="L13:L57" si="7">+G13-K13</f>
        <v>10379853.100000001</v>
      </c>
      <c r="M13" s="166">
        <f t="shared" si="2"/>
        <v>0.33626117174349579</v>
      </c>
      <c r="N13" s="163">
        <f>'2022'!I13</f>
        <v>38679260.32</v>
      </c>
      <c r="O13" s="163">
        <f>'2022'!I87</f>
        <v>28996013.122200411</v>
      </c>
      <c r="P13" s="164">
        <f t="shared" si="6"/>
        <v>9683247.1977995895</v>
      </c>
      <c r="Q13" s="166">
        <f t="shared" si="3"/>
        <v>0.33395098688190816</v>
      </c>
      <c r="R13" s="163">
        <f>'2021'!I13</f>
        <v>28472275</v>
      </c>
      <c r="S13" s="164">
        <f t="shared" si="4"/>
        <v>10206985.32</v>
      </c>
      <c r="T13" s="166">
        <f t="shared" si="5"/>
        <v>0.35848857599190787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'2022'!S14</f>
        <v>547993.65</v>
      </c>
      <c r="H14" s="163">
        <f>SUM('2022'!G88:I88)</f>
        <v>438362.62107949005</v>
      </c>
      <c r="I14" s="164">
        <f t="shared" si="0"/>
        <v>109631.02892050997</v>
      </c>
      <c r="J14" s="166">
        <f t="shared" si="1"/>
        <v>0.25009210103392943</v>
      </c>
      <c r="K14" s="163">
        <f>SUM('2021'!G14:I14)</f>
        <v>308911.34999999998</v>
      </c>
      <c r="L14" s="164">
        <f t="shared" si="7"/>
        <v>239082.30000000005</v>
      </c>
      <c r="M14" s="166">
        <f t="shared" si="2"/>
        <v>0.77395116754369853</v>
      </c>
      <c r="N14" s="163">
        <f>'2022'!I14</f>
        <v>233459.66</v>
      </c>
      <c r="O14" s="163">
        <f>'2022'!I88</f>
        <v>160800.54964910698</v>
      </c>
      <c r="P14" s="164">
        <f t="shared" si="6"/>
        <v>72659.110350893025</v>
      </c>
      <c r="Q14" s="166">
        <f t="shared" si="3"/>
        <v>0.45185859444788612</v>
      </c>
      <c r="R14" s="163">
        <f>'2021'!I14</f>
        <v>106253.15</v>
      </c>
      <c r="S14" s="164">
        <f t="shared" si="4"/>
        <v>127206.51000000001</v>
      </c>
      <c r="T14" s="166">
        <f t="shared" si="5"/>
        <v>1.1972022476510111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'2022'!S15</f>
        <v>171411208.22999999</v>
      </c>
      <c r="H15" s="163">
        <f>SUM('2022'!G89:I89)</f>
        <v>139004746.5893546</v>
      </c>
      <c r="I15" s="164">
        <f t="shared" si="0"/>
        <v>32406461.640645385</v>
      </c>
      <c r="J15" s="166">
        <f t="shared" si="1"/>
        <v>0.23313205078082677</v>
      </c>
      <c r="K15" s="163">
        <f>SUM('2021'!G15:I15)</f>
        <v>124572035.69</v>
      </c>
      <c r="L15" s="164">
        <f t="shared" si="7"/>
        <v>46839172.539999992</v>
      </c>
      <c r="M15" s="166">
        <f t="shared" si="2"/>
        <v>0.37600069935888514</v>
      </c>
      <c r="N15" s="163">
        <f>'2022'!I15</f>
        <v>67019753.909999996</v>
      </c>
      <c r="O15" s="163">
        <f>'2022'!I89</f>
        <v>50004466.090834908</v>
      </c>
      <c r="P15" s="164">
        <f t="shared" si="6"/>
        <v>17015287.819165088</v>
      </c>
      <c r="Q15" s="166">
        <f t="shared" si="3"/>
        <v>0.34027536236975719</v>
      </c>
      <c r="R15" s="163">
        <f>'2021'!I15</f>
        <v>44544288.810000002</v>
      </c>
      <c r="S15" s="164">
        <f t="shared" si="4"/>
        <v>22475465.099999994</v>
      </c>
      <c r="T15" s="166">
        <f t="shared" si="5"/>
        <v>0.50456446158265633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'2022'!S16</f>
        <v>56688234.68</v>
      </c>
      <c r="H16" s="163">
        <f>SUM('2022'!G90:I90)</f>
        <v>48440640.591338575</v>
      </c>
      <c r="I16" s="164">
        <f t="shared" si="0"/>
        <v>8247594.0886614248</v>
      </c>
      <c r="J16" s="166">
        <f t="shared" si="1"/>
        <v>0.17026187077584054</v>
      </c>
      <c r="K16" s="163">
        <f>SUM('2021'!G16:I16)</f>
        <v>42325324.729999997</v>
      </c>
      <c r="L16" s="164">
        <f t="shared" si="7"/>
        <v>14362909.950000003</v>
      </c>
      <c r="M16" s="166">
        <f t="shared" si="2"/>
        <v>0.33934553465622064</v>
      </c>
      <c r="N16" s="163">
        <f>'2022'!I16</f>
        <v>19528829.140000001</v>
      </c>
      <c r="O16" s="163">
        <f>'2022'!I90</f>
        <v>14529557.862004982</v>
      </c>
      <c r="P16" s="164">
        <f t="shared" si="6"/>
        <v>4999271.2779950183</v>
      </c>
      <c r="Q16" s="166">
        <f t="shared" si="3"/>
        <v>0.34407593992024976</v>
      </c>
      <c r="R16" s="163">
        <f>'2021'!I16</f>
        <v>12802969.220000001</v>
      </c>
      <c r="S16" s="164">
        <f t="shared" si="4"/>
        <v>6725859.9199999999</v>
      </c>
      <c r="T16" s="166">
        <f t="shared" si="5"/>
        <v>0.52533594390692429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'2022'!S17</f>
        <v>7122968.6799999997</v>
      </c>
      <c r="H17" s="163">
        <f>SUM('2022'!G91:I91)</f>
        <v>5745775.7236759728</v>
      </c>
      <c r="I17" s="164">
        <f t="shared" si="0"/>
        <v>1377192.9563240269</v>
      </c>
      <c r="J17" s="166">
        <f t="shared" si="1"/>
        <v>0.23968790683026175</v>
      </c>
      <c r="K17" s="163">
        <f>SUM('2021'!G17:I17)</f>
        <v>5055156.43</v>
      </c>
      <c r="L17" s="164">
        <f t="shared" si="7"/>
        <v>2067812.25</v>
      </c>
      <c r="M17" s="166">
        <f t="shared" si="2"/>
        <v>0.4090501013437482</v>
      </c>
      <c r="N17" s="163">
        <f>'2022'!I17</f>
        <v>3284454.25</v>
      </c>
      <c r="O17" s="163">
        <f>'2022'!I91</f>
        <v>2460685.1155701326</v>
      </c>
      <c r="P17" s="164">
        <f t="shared" si="6"/>
        <v>823769.13442986738</v>
      </c>
      <c r="Q17" s="166">
        <f t="shared" si="3"/>
        <v>0.3347722669663904</v>
      </c>
      <c r="R17" s="163">
        <f>'2021'!I17</f>
        <v>2245463.5699999998</v>
      </c>
      <c r="S17" s="164">
        <f t="shared" si="4"/>
        <v>1038990.6800000002</v>
      </c>
      <c r="T17" s="166">
        <f t="shared" si="5"/>
        <v>0.46270654036930114</v>
      </c>
    </row>
    <row r="18" spans="1:20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'2022'!S18</f>
        <v>2643212.58</v>
      </c>
      <c r="H18" s="163">
        <f>SUM('2022'!G92:I92)</f>
        <v>2518376.8958133515</v>
      </c>
      <c r="I18" s="164">
        <f t="shared" si="0"/>
        <v>124835.68418664858</v>
      </c>
      <c r="J18" s="166">
        <f t="shared" si="1"/>
        <v>4.956989733910766E-2</v>
      </c>
      <c r="K18" s="163">
        <f>SUM('2021'!G18:I18)</f>
        <v>2388704.1</v>
      </c>
      <c r="L18" s="164">
        <f t="shared" si="7"/>
        <v>254508.47999999998</v>
      </c>
      <c r="M18" s="166">
        <f t="shared" si="2"/>
        <v>0.10654667524537675</v>
      </c>
      <c r="N18" s="163">
        <f>'2022'!I18</f>
        <v>953225.4</v>
      </c>
      <c r="O18" s="163">
        <f>'2022'!I92</f>
        <v>939731.54888491821</v>
      </c>
      <c r="P18" s="164">
        <f t="shared" si="6"/>
        <v>13493.851115081809</v>
      </c>
      <c r="Q18" s="166">
        <f t="shared" si="3"/>
        <v>1.4359261569001802E-2</v>
      </c>
      <c r="R18" s="163">
        <f>'2021'!I18</f>
        <v>837777.76</v>
      </c>
      <c r="S18" s="164">
        <f t="shared" si="4"/>
        <v>115447.64000000001</v>
      </c>
      <c r="T18" s="166">
        <f t="shared" si="5"/>
        <v>0.13780222573585621</v>
      </c>
    </row>
    <row r="19" spans="1:20">
      <c r="A19" s="150">
        <v>712</v>
      </c>
      <c r="B19" s="538" t="str">
        <f>+VLOOKUP($A19,Master!$D$29:$G$225,4,FALSE)</f>
        <v>Doprinosi</v>
      </c>
      <c r="C19" s="539"/>
      <c r="D19" s="539"/>
      <c r="E19" s="539"/>
      <c r="F19" s="539"/>
      <c r="G19" s="169">
        <f>'2022'!S19</f>
        <v>83772855.75</v>
      </c>
      <c r="H19" s="169">
        <f>SUM('2022'!G93:I93)</f>
        <v>85522929.671695411</v>
      </c>
      <c r="I19" s="170">
        <f t="shared" si="0"/>
        <v>-1750073.9216954112</v>
      </c>
      <c r="J19" s="172">
        <f t="shared" si="1"/>
        <v>-2.0463212946674969E-2</v>
      </c>
      <c r="K19" s="169">
        <f>SUM('2021'!G19:I19)</f>
        <v>100648998.08</v>
      </c>
      <c r="L19" s="170">
        <f t="shared" si="7"/>
        <v>-16876142.329999998</v>
      </c>
      <c r="M19" s="172">
        <f t="shared" si="2"/>
        <v>-0.16767322727431566</v>
      </c>
      <c r="N19" s="169">
        <f>'2022'!I19</f>
        <v>37056759.600000001</v>
      </c>
      <c r="O19" s="169">
        <f>'2022'!I93</f>
        <v>35206496.551826648</v>
      </c>
      <c r="P19" s="170">
        <f t="shared" si="6"/>
        <v>1850263.0481733531</v>
      </c>
      <c r="Q19" s="172">
        <f t="shared" si="3"/>
        <v>5.2554591606399192E-2</v>
      </c>
      <c r="R19" s="169">
        <f>'2021'!I19</f>
        <v>47599893.060000002</v>
      </c>
      <c r="S19" s="170">
        <f t="shared" si="4"/>
        <v>-10543133.460000001</v>
      </c>
      <c r="T19" s="172">
        <f t="shared" si="5"/>
        <v>-0.221494898039168</v>
      </c>
    </row>
    <row r="20" spans="1:20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'2022'!S20</f>
        <v>63808537.519999996</v>
      </c>
      <c r="H20" s="163">
        <f>SUM('2022'!G94:I94)</f>
        <v>72020920.046768844</v>
      </c>
      <c r="I20" s="164">
        <f t="shared" si="0"/>
        <v>-8212382.5267688483</v>
      </c>
      <c r="J20" s="166">
        <f t="shared" si="1"/>
        <v>-0.11402773696081503</v>
      </c>
      <c r="K20" s="163">
        <f>SUM('2021'!G20:I20)</f>
        <v>62607649.640000001</v>
      </c>
      <c r="L20" s="164">
        <f t="shared" si="7"/>
        <v>1200887.8799999952</v>
      </c>
      <c r="M20" s="166">
        <f t="shared" si="2"/>
        <v>1.9181168545780114E-2</v>
      </c>
      <c r="N20" s="163">
        <f>'2022'!I20</f>
        <v>31891479.559999999</v>
      </c>
      <c r="O20" s="163">
        <f>'2022'!I94</f>
        <v>30831127.527752884</v>
      </c>
      <c r="P20" s="164">
        <f t="shared" si="6"/>
        <v>1060352.0322471149</v>
      </c>
      <c r="Q20" s="166">
        <f t="shared" si="3"/>
        <v>3.4392256050078895E-2</v>
      </c>
      <c r="R20" s="163">
        <f>'2021'!I20</f>
        <v>29662575.77</v>
      </c>
      <c r="S20" s="164">
        <f t="shared" si="4"/>
        <v>2228903.7899999991</v>
      </c>
      <c r="T20" s="166">
        <f t="shared" si="5"/>
        <v>7.5141950155733106E-2</v>
      </c>
    </row>
    <row r="21" spans="1:20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'2022'!S21</f>
        <v>15016477.529999999</v>
      </c>
      <c r="H21" s="163">
        <f>SUM('2022'!G95:I95)</f>
        <v>6991701.9601362981</v>
      </c>
      <c r="I21" s="164">
        <f t="shared" si="0"/>
        <v>8024775.5698637012</v>
      </c>
      <c r="J21" s="166">
        <f t="shared" si="1"/>
        <v>1.1477571005768765</v>
      </c>
      <c r="K21" s="163">
        <f>SUM('2021'!G21:I21)</f>
        <v>32563618.57</v>
      </c>
      <c r="L21" s="164">
        <f t="shared" si="7"/>
        <v>-17547141.039999999</v>
      </c>
      <c r="M21" s="166">
        <f t="shared" si="2"/>
        <v>-0.53885722197242902</v>
      </c>
      <c r="N21" s="163">
        <f>'2022'!I21</f>
        <v>2582574.44</v>
      </c>
      <c r="O21" s="163">
        <f>'2022'!I95</f>
        <v>1387272.7272727001</v>
      </c>
      <c r="P21" s="164">
        <f t="shared" si="6"/>
        <v>1195301.7127272999</v>
      </c>
      <c r="Q21" s="166">
        <f t="shared" si="3"/>
        <v>0.86161984534734981</v>
      </c>
      <c r="R21" s="163">
        <f>'2021'!I21</f>
        <v>15296477.220000001</v>
      </c>
      <c r="S21" s="164">
        <f t="shared" si="4"/>
        <v>-12713902.780000001</v>
      </c>
      <c r="T21" s="166">
        <f t="shared" si="5"/>
        <v>-0.83116541129984434</v>
      </c>
    </row>
    <row r="22" spans="1:20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'2022'!S22</f>
        <v>2901152.4699999997</v>
      </c>
      <c r="H22" s="163">
        <f>SUM('2022'!G96:I96)</f>
        <v>3588247.4051694265</v>
      </c>
      <c r="I22" s="164">
        <f t="shared" si="0"/>
        <v>-687094.93516942672</v>
      </c>
      <c r="J22" s="166">
        <f t="shared" si="1"/>
        <v>-0.19148482743401696</v>
      </c>
      <c r="K22" s="163">
        <f>SUM('2021'!G22:I22)</f>
        <v>3031537.26</v>
      </c>
      <c r="L22" s="164">
        <f t="shared" si="7"/>
        <v>-130384.79000000004</v>
      </c>
      <c r="M22" s="166">
        <f t="shared" si="2"/>
        <v>-4.3009463126308378E-2</v>
      </c>
      <c r="N22" s="163">
        <f>'2022'!I22</f>
        <v>1459655.88</v>
      </c>
      <c r="O22" s="163">
        <f>'2022'!I96</f>
        <v>1641125.2437121717</v>
      </c>
      <c r="P22" s="164">
        <f t="shared" si="6"/>
        <v>-181469.36371217179</v>
      </c>
      <c r="Q22" s="166">
        <f t="shared" si="3"/>
        <v>-0.11057618204793074</v>
      </c>
      <c r="R22" s="163">
        <f>'2021'!I22</f>
        <v>1459515.26</v>
      </c>
      <c r="S22" s="164">
        <f t="shared" si="4"/>
        <v>140.61999999987893</v>
      </c>
      <c r="T22" s="166">
        <f t="shared" si="5"/>
        <v>9.6347057035872652E-5</v>
      </c>
    </row>
    <row r="23" spans="1:20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'2022'!S23</f>
        <v>2046688.23</v>
      </c>
      <c r="H23" s="163">
        <f>SUM('2022'!G97:I97)</f>
        <v>2922060.2596208276</v>
      </c>
      <c r="I23" s="164">
        <f t="shared" si="0"/>
        <v>-875372.02962082764</v>
      </c>
      <c r="J23" s="166">
        <f t="shared" si="1"/>
        <v>-0.29957357201607393</v>
      </c>
      <c r="K23" s="163">
        <f>SUM('2021'!G23:I23)</f>
        <v>2446192.6100000003</v>
      </c>
      <c r="L23" s="164">
        <f t="shared" si="7"/>
        <v>-399504.38000000035</v>
      </c>
      <c r="M23" s="166">
        <f t="shared" si="2"/>
        <v>-0.16331681257102659</v>
      </c>
      <c r="N23" s="163">
        <f>'2022'!I23</f>
        <v>1123049.72</v>
      </c>
      <c r="O23" s="163">
        <f>'2022'!I97</f>
        <v>1346971.0530888957</v>
      </c>
      <c r="P23" s="164">
        <f t="shared" si="6"/>
        <v>-223921.33308889577</v>
      </c>
      <c r="Q23" s="166">
        <f t="shared" si="3"/>
        <v>-0.16624064234743263</v>
      </c>
      <c r="R23" s="163">
        <f>'2021'!I23</f>
        <v>1181324.81</v>
      </c>
      <c r="S23" s="164">
        <f t="shared" si="4"/>
        <v>-58275.090000000084</v>
      </c>
      <c r="T23" s="166">
        <f t="shared" si="5"/>
        <v>-4.9330285376805061E-2</v>
      </c>
    </row>
    <row r="24" spans="1:20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'2022'!S24</f>
        <v>2313738.8499999996</v>
      </c>
      <c r="H24" s="175">
        <f>SUM('2022'!G98:I98)</f>
        <v>2490924.4637146294</v>
      </c>
      <c r="I24" s="176">
        <f t="shared" si="0"/>
        <v>-177185.61371462978</v>
      </c>
      <c r="J24" s="178">
        <f t="shared" si="1"/>
        <v>-7.1132471616742299E-2</v>
      </c>
      <c r="K24" s="175">
        <f>SUM('2021'!G24:I24)</f>
        <v>2162339.1900000004</v>
      </c>
      <c r="L24" s="176">
        <f t="shared" si="7"/>
        <v>151399.65999999922</v>
      </c>
      <c r="M24" s="178">
        <f t="shared" si="2"/>
        <v>7.0016610113790234E-2</v>
      </c>
      <c r="N24" s="175">
        <f>'2022'!I24</f>
        <v>932834.7</v>
      </c>
      <c r="O24" s="175">
        <f>'2022'!I98</f>
        <v>898134.53683155368</v>
      </c>
      <c r="P24" s="176">
        <f t="shared" si="6"/>
        <v>34700.163168446277</v>
      </c>
      <c r="Q24" s="178">
        <f t="shared" si="3"/>
        <v>3.8635818739207739E-2</v>
      </c>
      <c r="R24" s="175">
        <f>'2021'!I24</f>
        <v>872908.3</v>
      </c>
      <c r="S24" s="176">
        <f t="shared" si="4"/>
        <v>59926.399999999907</v>
      </c>
      <c r="T24" s="178">
        <f t="shared" si="5"/>
        <v>6.8651426501500579E-2</v>
      </c>
    </row>
    <row r="25" spans="1:20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'2022'!S25</f>
        <v>17329638.84</v>
      </c>
      <c r="H25" s="175">
        <f>SUM('2022'!G99:I99)</f>
        <v>15955353.372429213</v>
      </c>
      <c r="I25" s="176">
        <f t="shared" si="0"/>
        <v>1374285.4675707873</v>
      </c>
      <c r="J25" s="178">
        <f t="shared" si="1"/>
        <v>8.6133188998843924E-2</v>
      </c>
      <c r="K25" s="175">
        <f>SUM('2021'!G25:I25)</f>
        <v>7646319.7000000002</v>
      </c>
      <c r="L25" s="176">
        <f t="shared" si="7"/>
        <v>9683319.1400000006</v>
      </c>
      <c r="M25" s="178">
        <f t="shared" si="2"/>
        <v>1.2664025988868866</v>
      </c>
      <c r="N25" s="175">
        <f>'2022'!I25</f>
        <v>2432089.7200000002</v>
      </c>
      <c r="O25" s="175">
        <f>'2022'!I99</f>
        <v>3332017.5114569198</v>
      </c>
      <c r="P25" s="176">
        <f t="shared" si="6"/>
        <v>-899927.79145691963</v>
      </c>
      <c r="Q25" s="178">
        <f t="shared" si="3"/>
        <v>-0.27008495254379006</v>
      </c>
      <c r="R25" s="175">
        <f>'2021'!I25</f>
        <v>2388170.21</v>
      </c>
      <c r="S25" s="176">
        <f t="shared" si="4"/>
        <v>43919.510000000242</v>
      </c>
      <c r="T25" s="178">
        <f t="shared" si="5"/>
        <v>1.8390443786667987E-2</v>
      </c>
    </row>
    <row r="26" spans="1:20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'2022'!S26</f>
        <v>4675169.7300000004</v>
      </c>
      <c r="H26" s="175">
        <f>SUM('2022'!G100:I100)</f>
        <v>5808119.1083143111</v>
      </c>
      <c r="I26" s="176">
        <f t="shared" si="0"/>
        <v>-1132949.3783143107</v>
      </c>
      <c r="J26" s="178">
        <f t="shared" si="1"/>
        <v>-0.19506304144012743</v>
      </c>
      <c r="K26" s="175">
        <f>SUM('2021'!G26:I26)</f>
        <v>5011032.8900000006</v>
      </c>
      <c r="L26" s="176">
        <f t="shared" si="7"/>
        <v>-335863.16000000015</v>
      </c>
      <c r="M26" s="178">
        <f t="shared" si="2"/>
        <v>-6.7024736690562858E-2</v>
      </c>
      <c r="N26" s="175">
        <f>'2022'!I26</f>
        <v>1736220.8</v>
      </c>
      <c r="O26" s="175">
        <f>'2022'!I100</f>
        <v>2575064.836907316</v>
      </c>
      <c r="P26" s="176">
        <f t="shared" si="6"/>
        <v>-838844.03690731595</v>
      </c>
      <c r="Q26" s="178">
        <f t="shared" si="3"/>
        <v>-0.32575647218062975</v>
      </c>
      <c r="R26" s="175">
        <f>'2021'!I26</f>
        <v>1693779.5</v>
      </c>
      <c r="S26" s="176">
        <f t="shared" si="4"/>
        <v>42441.300000000047</v>
      </c>
      <c r="T26" s="178">
        <f t="shared" si="5"/>
        <v>2.5057157676072972E-2</v>
      </c>
    </row>
    <row r="27" spans="1:20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'2022'!S27</f>
        <v>784463.10999999987</v>
      </c>
      <c r="H27" s="175">
        <f>SUM('2022'!G101:I101)</f>
        <v>846685.93402877718</v>
      </c>
      <c r="I27" s="176">
        <f t="shared" si="0"/>
        <v>-62222.824028777308</v>
      </c>
      <c r="J27" s="178">
        <f t="shared" si="1"/>
        <v>-7.3489852054944516E-2</v>
      </c>
      <c r="K27" s="175">
        <f>SUM('2021'!G27:I27)</f>
        <v>1580205.76</v>
      </c>
      <c r="L27" s="176">
        <f t="shared" si="7"/>
        <v>-795742.65000000014</v>
      </c>
      <c r="M27" s="178">
        <f t="shared" si="2"/>
        <v>-0.50356900989906539</v>
      </c>
      <c r="N27" s="175">
        <f>'2022'!I27</f>
        <v>621678.06999999995</v>
      </c>
      <c r="O27" s="175">
        <f>'2022'!I101</f>
        <v>309002.47729931993</v>
      </c>
      <c r="P27" s="176">
        <f t="shared" si="6"/>
        <v>312675.59270068002</v>
      </c>
      <c r="Q27" s="178">
        <f t="shared" si="3"/>
        <v>1.011887009558833</v>
      </c>
      <c r="R27" s="175">
        <f>'2021'!I27</f>
        <v>648742.61</v>
      </c>
      <c r="S27" s="176">
        <f t="shared" si="4"/>
        <v>-27064.540000000037</v>
      </c>
      <c r="T27" s="178">
        <f t="shared" si="5"/>
        <v>-4.1718455952816202E-2</v>
      </c>
    </row>
    <row r="28" spans="1:20" ht="15.7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'2022'!S28</f>
        <v>7545890.9900000002</v>
      </c>
      <c r="H28" s="175">
        <f>SUM('2022'!G102:I102)</f>
        <v>4045566.8535138103</v>
      </c>
      <c r="I28" s="176">
        <f t="shared" si="0"/>
        <v>3500324.1364861899</v>
      </c>
      <c r="J28" s="178">
        <f t="shared" si="1"/>
        <v>0.86522464298073687</v>
      </c>
      <c r="K28" s="175">
        <f>SUM('2021'!G28:I28)</f>
        <v>3078243.08</v>
      </c>
      <c r="L28" s="176">
        <f t="shared" si="7"/>
        <v>4467647.91</v>
      </c>
      <c r="M28" s="178">
        <f t="shared" si="2"/>
        <v>1.4513629345996937</v>
      </c>
      <c r="N28" s="175">
        <f>'2022'!I28</f>
        <v>4995286.66</v>
      </c>
      <c r="O28" s="175">
        <f>'2022'!I102</f>
        <v>1801341.7206237079</v>
      </c>
      <c r="P28" s="176">
        <f t="shared" si="6"/>
        <v>3193944.9393762923</v>
      </c>
      <c r="Q28" s="178">
        <f t="shared" si="3"/>
        <v>1.7730921916749924</v>
      </c>
      <c r="R28" s="175">
        <f>'2021'!I28</f>
        <v>1522925.29</v>
      </c>
      <c r="S28" s="176">
        <f t="shared" si="4"/>
        <v>3472361.37</v>
      </c>
      <c r="T28" s="178" t="str">
        <f t="shared" si="5"/>
        <v>...</v>
      </c>
    </row>
    <row r="29" spans="1:20" ht="15.7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'2022'!S29</f>
        <v>438599213.62</v>
      </c>
      <c r="H29" s="151">
        <f>SUM('2022'!G103:I103)</f>
        <v>503227023.10764289</v>
      </c>
      <c r="I29" s="152">
        <f t="shared" si="0"/>
        <v>-64627809.487642884</v>
      </c>
      <c r="J29" s="154">
        <f t="shared" si="1"/>
        <v>-0.12842674681605615</v>
      </c>
      <c r="K29" s="151">
        <f>SUM('2021'!G29:I29)</f>
        <v>451665505.45000005</v>
      </c>
      <c r="L29" s="152">
        <f t="shared" si="7"/>
        <v>-13066291.830000043</v>
      </c>
      <c r="M29" s="154">
        <f t="shared" si="2"/>
        <v>-2.8929133777842786E-2</v>
      </c>
      <c r="N29" s="151">
        <f>'2022'!I29</f>
        <v>152238145.65000001</v>
      </c>
      <c r="O29" s="151">
        <f>'2022'!I103</f>
        <v>165757927.57454765</v>
      </c>
      <c r="P29" s="152">
        <f t="shared" si="6"/>
        <v>-13519781.924547642</v>
      </c>
      <c r="Q29" s="154">
        <f t="shared" si="3"/>
        <v>-8.1563410706056771E-2</v>
      </c>
      <c r="R29" s="151">
        <f>'2021'!I29</f>
        <v>164445513.62</v>
      </c>
      <c r="S29" s="152">
        <f t="shared" si="4"/>
        <v>-12207367.969999999</v>
      </c>
      <c r="T29" s="154">
        <f t="shared" si="5"/>
        <v>-7.423351176492865E-2</v>
      </c>
    </row>
    <row r="30" spans="1:20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313">
        <f>'2022'!S30</f>
        <v>172389178.33999997</v>
      </c>
      <c r="H30" s="313">
        <f>SUM('2022'!G104:I104)</f>
        <v>189740865.90799999</v>
      </c>
      <c r="I30" s="188">
        <f t="shared" si="0"/>
        <v>-17351687.568000019</v>
      </c>
      <c r="J30" s="190">
        <f t="shared" si="1"/>
        <v>-9.1449395916709753E-2</v>
      </c>
      <c r="K30" s="313">
        <f>SUM('2021'!G30:I30)</f>
        <v>189098838.91</v>
      </c>
      <c r="L30" s="188">
        <f t="shared" si="7"/>
        <v>-16709660.570000023</v>
      </c>
      <c r="M30" s="190">
        <f t="shared" si="2"/>
        <v>-8.8364691535482431E-2</v>
      </c>
      <c r="N30" s="313">
        <f>'2022'!I30</f>
        <v>59814606.179999992</v>
      </c>
      <c r="O30" s="313">
        <f>'2022'!I104</f>
        <v>63034205.774666667</v>
      </c>
      <c r="P30" s="188">
        <f t="shared" si="6"/>
        <v>-3219599.5946666747</v>
      </c>
      <c r="Q30" s="190">
        <f t="shared" si="3"/>
        <v>-5.1077023262195653E-2</v>
      </c>
      <c r="R30" s="313">
        <f>'2021'!I30</f>
        <v>74936031.789999992</v>
      </c>
      <c r="S30" s="188">
        <f t="shared" si="4"/>
        <v>-15121425.609999999</v>
      </c>
      <c r="T30" s="190">
        <f t="shared" si="5"/>
        <v>-0.20179111768789859</v>
      </c>
    </row>
    <row r="31" spans="1:20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'2022'!S31</f>
        <v>129168251.69999999</v>
      </c>
      <c r="H31" s="163">
        <f>SUM('2022'!G105:I105)</f>
        <v>133104272.59</v>
      </c>
      <c r="I31" s="164">
        <f t="shared" si="0"/>
        <v>-3936020.8900000155</v>
      </c>
      <c r="J31" s="166">
        <f t="shared" si="1"/>
        <v>-2.9570958267614023E-2</v>
      </c>
      <c r="K31" s="163">
        <f>SUM('2021'!G31:I31)</f>
        <v>134577195.43000001</v>
      </c>
      <c r="L31" s="164">
        <f t="shared" si="7"/>
        <v>-5408943.7300000191</v>
      </c>
      <c r="M31" s="166">
        <f t="shared" si="2"/>
        <v>-4.0192126999804123E-2</v>
      </c>
      <c r="N31" s="163">
        <f>'2022'!I31</f>
        <v>40375934.009999998</v>
      </c>
      <c r="O31" s="163">
        <f>'2022'!I105</f>
        <v>45488297.416666664</v>
      </c>
      <c r="P31" s="164">
        <f>+N31-O31</f>
        <v>-5112363.4066666663</v>
      </c>
      <c r="Q31" s="166">
        <f>IF(+IF(ISERROR(N31/O31),"…",N31/O31-1)&gt;200%,"...",IF(ISERROR(N31/O31),"…",N31/O31-1))</f>
        <v>-0.11238854160308764</v>
      </c>
      <c r="R31" s="163">
        <f>'2021'!I31</f>
        <v>44665315.899999999</v>
      </c>
      <c r="S31" s="164">
        <f t="shared" si="4"/>
        <v>-4289381.8900000006</v>
      </c>
      <c r="T31" s="166">
        <f t="shared" si="5"/>
        <v>-9.6033841999536795E-2</v>
      </c>
    </row>
    <row r="32" spans="1:20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'2022'!S32</f>
        <v>2295622.7400000002</v>
      </c>
      <c r="H32" s="163">
        <f>SUM('2022'!G106:I106)</f>
        <v>3452936.01</v>
      </c>
      <c r="I32" s="164">
        <f t="shared" si="0"/>
        <v>-1157313.2699999996</v>
      </c>
      <c r="J32" s="166">
        <f t="shared" si="1"/>
        <v>-0.33516788803740372</v>
      </c>
      <c r="K32" s="163">
        <f>SUM('2021'!G32:I32)</f>
        <v>1862596.3699999999</v>
      </c>
      <c r="L32" s="164">
        <f t="shared" si="7"/>
        <v>433026.37000000034</v>
      </c>
      <c r="M32" s="166">
        <f t="shared" si="2"/>
        <v>0.23248535054323138</v>
      </c>
      <c r="N32" s="163">
        <f>'2022'!I32</f>
        <v>946225.55</v>
      </c>
      <c r="O32" s="163">
        <f>'2022'!I106</f>
        <v>1150630.3799999999</v>
      </c>
      <c r="P32" s="164">
        <f t="shared" si="6"/>
        <v>-204404.82999999984</v>
      </c>
      <c r="Q32" s="166">
        <f t="shared" si="3"/>
        <v>-0.17764595264727834</v>
      </c>
      <c r="R32" s="163">
        <f>'2021'!I32</f>
        <v>864515.21</v>
      </c>
      <c r="S32" s="164">
        <f t="shared" si="4"/>
        <v>81710.340000000084</v>
      </c>
      <c r="T32" s="166">
        <f t="shared" si="5"/>
        <v>9.4515792266974819E-2</v>
      </c>
    </row>
    <row r="33" spans="1:20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'2022'!S33</f>
        <v>6258318.5199999996</v>
      </c>
      <c r="H33" s="163">
        <f>SUM('2022'!G107:I107)</f>
        <v>6870562.7899999991</v>
      </c>
      <c r="I33" s="164">
        <f t="shared" si="0"/>
        <v>-612244.26999999955</v>
      </c>
      <c r="J33" s="166">
        <f t="shared" si="1"/>
        <v>-8.9111225486667833E-2</v>
      </c>
      <c r="K33" s="163">
        <f>SUM('2021'!G33:I33)</f>
        <v>5104928.28</v>
      </c>
      <c r="L33" s="164">
        <f t="shared" si="7"/>
        <v>1153390.2399999993</v>
      </c>
      <c r="M33" s="166">
        <f t="shared" si="2"/>
        <v>0.22593661981868229</v>
      </c>
      <c r="N33" s="163">
        <f>'2022'!I33</f>
        <v>2628375.67</v>
      </c>
      <c r="O33" s="163">
        <f>'2022'!I107</f>
        <v>1986301.3299999996</v>
      </c>
      <c r="P33" s="164">
        <f t="shared" si="6"/>
        <v>642074.34000000032</v>
      </c>
      <c r="Q33" s="166">
        <f t="shared" si="3"/>
        <v>0.32325122593559374</v>
      </c>
      <c r="R33" s="163">
        <f>'2021'!I33</f>
        <v>2846541.08</v>
      </c>
      <c r="S33" s="164">
        <f t="shared" si="4"/>
        <v>-218165.41000000015</v>
      </c>
      <c r="T33" s="166">
        <f t="shared" si="5"/>
        <v>-7.6642284045308817E-2</v>
      </c>
    </row>
    <row r="34" spans="1:20">
      <c r="A34" s="150">
        <v>414</v>
      </c>
      <c r="B34" s="536" t="str">
        <f>+VLOOKUP($A34,Master!$D$29:$G$225,4,FALSE)</f>
        <v>Rashodi za usluge</v>
      </c>
      <c r="C34" s="537"/>
      <c r="D34" s="537"/>
      <c r="E34" s="537"/>
      <c r="F34" s="537"/>
      <c r="G34" s="163">
        <f>'2022'!S34</f>
        <v>8472685.3200000003</v>
      </c>
      <c r="H34" s="163">
        <f>SUM('2022'!G108:I108)</f>
        <v>9926669.4600000009</v>
      </c>
      <c r="I34" s="164">
        <f t="shared" si="0"/>
        <v>-1453984.1400000006</v>
      </c>
      <c r="J34" s="166">
        <f t="shared" si="1"/>
        <v>-0.14647250478711926</v>
      </c>
      <c r="K34" s="163">
        <f>SUM('2021'!G34:I34)</f>
        <v>7023297.7000000002</v>
      </c>
      <c r="L34" s="164">
        <f t="shared" si="7"/>
        <v>1449387.62</v>
      </c>
      <c r="M34" s="166">
        <f t="shared" si="2"/>
        <v>0.20636852970079844</v>
      </c>
      <c r="N34" s="163">
        <f>'2022'!I34</f>
        <v>4471821.08</v>
      </c>
      <c r="O34" s="163">
        <f>'2022'!I108</f>
        <v>3202153.21</v>
      </c>
      <c r="P34" s="164">
        <f t="shared" si="6"/>
        <v>1269667.8700000001</v>
      </c>
      <c r="Q34" s="166">
        <f t="shared" si="3"/>
        <v>0.39650441023088967</v>
      </c>
      <c r="R34" s="163">
        <f>'2021'!I34</f>
        <v>3354555.29</v>
      </c>
      <c r="S34" s="164">
        <f t="shared" si="4"/>
        <v>1117265.79</v>
      </c>
      <c r="T34" s="166">
        <f t="shared" si="5"/>
        <v>0.33305928607902002</v>
      </c>
    </row>
    <row r="35" spans="1:20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'2022'!S35</f>
        <v>3650730.74</v>
      </c>
      <c r="H35" s="163">
        <f>SUM('2022'!G109:I109)</f>
        <v>4589835.0100000007</v>
      </c>
      <c r="I35" s="164">
        <f t="shared" si="0"/>
        <v>-939104.27000000048</v>
      </c>
      <c r="J35" s="166">
        <f t="shared" si="1"/>
        <v>-0.20460523481866955</v>
      </c>
      <c r="K35" s="163">
        <f>SUM('2021'!G35:I35)</f>
        <v>3543684.37</v>
      </c>
      <c r="L35" s="164">
        <f t="shared" si="7"/>
        <v>107046.37000000011</v>
      </c>
      <c r="M35" s="166">
        <f t="shared" si="2"/>
        <v>3.0207647979664687E-2</v>
      </c>
      <c r="N35" s="163">
        <f>'2022'!I35</f>
        <v>1812618.69</v>
      </c>
      <c r="O35" s="163">
        <f>'2022'!I109</f>
        <v>1646265.1700000002</v>
      </c>
      <c r="P35" s="164">
        <f t="shared" si="6"/>
        <v>166353.51999999979</v>
      </c>
      <c r="Q35" s="166">
        <f t="shared" si="3"/>
        <v>0.10104904302871187</v>
      </c>
      <c r="R35" s="163">
        <f>'2021'!I35</f>
        <v>2439729.2400000002</v>
      </c>
      <c r="S35" s="164">
        <f t="shared" si="4"/>
        <v>-627110.55000000028</v>
      </c>
      <c r="T35" s="166">
        <f t="shared" si="5"/>
        <v>-0.25704104362006996</v>
      </c>
    </row>
    <row r="36" spans="1:20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'2022'!S36</f>
        <v>6074189</v>
      </c>
      <c r="H36" s="163">
        <f>SUM('2022'!G110:I110)</f>
        <v>6599459.9500000011</v>
      </c>
      <c r="I36" s="164">
        <f t="shared" si="0"/>
        <v>-525270.95000000112</v>
      </c>
      <c r="J36" s="166">
        <f t="shared" si="1"/>
        <v>-7.959302033494442E-2</v>
      </c>
      <c r="K36" s="163">
        <f>SUM('2021'!G36:I36)</f>
        <v>24329658.02</v>
      </c>
      <c r="L36" s="164">
        <f t="shared" si="7"/>
        <v>-18255469.02</v>
      </c>
      <c r="M36" s="166">
        <f t="shared" si="2"/>
        <v>-0.75033808551658387</v>
      </c>
      <c r="N36" s="163">
        <f>'2022'!I36</f>
        <v>949082.56</v>
      </c>
      <c r="O36" s="163">
        <f>'2022'!I110</f>
        <v>1331158.92</v>
      </c>
      <c r="P36" s="164">
        <f t="shared" si="6"/>
        <v>-382076.35999999987</v>
      </c>
      <c r="Q36" s="166">
        <f t="shared" si="3"/>
        <v>-0.28702535381725869</v>
      </c>
      <c r="R36" s="163">
        <f>'2021'!I36</f>
        <v>14787982.57</v>
      </c>
      <c r="S36" s="164">
        <f t="shared" si="4"/>
        <v>-13838900.01</v>
      </c>
      <c r="T36" s="166">
        <f t="shared" si="5"/>
        <v>-0.93582068713514854</v>
      </c>
    </row>
    <row r="37" spans="1:20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'2022'!S37</f>
        <v>1786716.9300000002</v>
      </c>
      <c r="H37" s="163">
        <f>SUM('2022'!G111:I111)</f>
        <v>3040054.6299999994</v>
      </c>
      <c r="I37" s="164">
        <f t="shared" si="0"/>
        <v>-1253337.6999999993</v>
      </c>
      <c r="J37" s="166">
        <f t="shared" si="1"/>
        <v>-0.41227472941826693</v>
      </c>
      <c r="K37" s="163">
        <f>SUM('2021'!G37:I37)</f>
        <v>1808986.5699999998</v>
      </c>
      <c r="L37" s="164">
        <f t="shared" si="7"/>
        <v>-22269.639999999665</v>
      </c>
      <c r="M37" s="166">
        <f t="shared" si="2"/>
        <v>-1.2310561266355657E-2</v>
      </c>
      <c r="N37" s="163">
        <f>'2022'!I37</f>
        <v>821318.4</v>
      </c>
      <c r="O37" s="163">
        <f>'2022'!I111</f>
        <v>962640.17999999982</v>
      </c>
      <c r="P37" s="164">
        <f t="shared" si="6"/>
        <v>-141321.7799999998</v>
      </c>
      <c r="Q37" s="166">
        <f t="shared" si="3"/>
        <v>-0.14680644225758355</v>
      </c>
      <c r="R37" s="163">
        <f>'2021'!I37</f>
        <v>803228.89</v>
      </c>
      <c r="S37" s="164">
        <f t="shared" si="4"/>
        <v>18089.510000000009</v>
      </c>
      <c r="T37" s="166">
        <f t="shared" si="5"/>
        <v>2.2520990249740747E-2</v>
      </c>
    </row>
    <row r="38" spans="1:20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'2022'!S38</f>
        <v>7927885.1399999997</v>
      </c>
      <c r="H38" s="163">
        <f>SUM('2022'!G112:I112)</f>
        <v>11196416.49</v>
      </c>
      <c r="I38" s="164">
        <f t="shared" si="0"/>
        <v>-3268531.3500000006</v>
      </c>
      <c r="J38" s="166">
        <f t="shared" si="1"/>
        <v>-0.2919265599774058</v>
      </c>
      <c r="K38" s="163">
        <f>SUM('2021'!G38:I38)</f>
        <v>4315078.8499999996</v>
      </c>
      <c r="L38" s="164">
        <f t="shared" si="7"/>
        <v>3612806.29</v>
      </c>
      <c r="M38" s="166">
        <f t="shared" si="2"/>
        <v>0.83725151163807832</v>
      </c>
      <c r="N38" s="163">
        <f>'2022'!I38</f>
        <v>4730535.5999999996</v>
      </c>
      <c r="O38" s="163">
        <f>'2022'!I112</f>
        <v>3632138.83</v>
      </c>
      <c r="P38" s="164">
        <f t="shared" si="6"/>
        <v>1098396.7699999996</v>
      </c>
      <c r="Q38" s="166">
        <f t="shared" si="3"/>
        <v>0.30241045879845929</v>
      </c>
      <c r="R38" s="163">
        <f>'2021'!I38</f>
        <v>1744604.63</v>
      </c>
      <c r="S38" s="164">
        <f t="shared" si="4"/>
        <v>2985930.9699999997</v>
      </c>
      <c r="T38" s="166">
        <f t="shared" si="5"/>
        <v>1.7115230113770821</v>
      </c>
    </row>
    <row r="39" spans="1:20">
      <c r="A39" s="150">
        <v>419</v>
      </c>
      <c r="B39" s="536" t="str">
        <f>+VLOOKUP($A39,Master!$D$29:$G$225,4,FALSE)</f>
        <v>Ostali izdaci</v>
      </c>
      <c r="C39" s="537"/>
      <c r="D39" s="537"/>
      <c r="E39" s="537"/>
      <c r="F39" s="537"/>
      <c r="G39" s="163">
        <f>'2022'!S39</f>
        <v>6754778.25</v>
      </c>
      <c r="H39" s="163">
        <f>SUM('2022'!G113:I113)</f>
        <v>10960658.978</v>
      </c>
      <c r="I39" s="164">
        <f t="shared" si="0"/>
        <v>-4205880.7280000001</v>
      </c>
      <c r="J39" s="166">
        <f t="shared" si="1"/>
        <v>-0.38372516984991079</v>
      </c>
      <c r="K39" s="163">
        <f>SUM('2021'!G39:I39)</f>
        <v>6533413.3200000003</v>
      </c>
      <c r="L39" s="164">
        <f t="shared" si="7"/>
        <v>221364.9299999997</v>
      </c>
      <c r="M39" s="166">
        <f t="shared" si="2"/>
        <v>3.3881972432749707E-2</v>
      </c>
      <c r="N39" s="163">
        <f>'2022'!I39</f>
        <v>3078694.62</v>
      </c>
      <c r="O39" s="163">
        <f>'2022'!I113</f>
        <v>3634620.3380000009</v>
      </c>
      <c r="P39" s="164">
        <f t="shared" si="6"/>
        <v>-555925.71800000081</v>
      </c>
      <c r="Q39" s="166">
        <f t="shared" si="3"/>
        <v>-0.15295289914816979</v>
      </c>
      <c r="R39" s="163">
        <f>'2021'!I39</f>
        <v>3429558.98</v>
      </c>
      <c r="S39" s="164">
        <f t="shared" si="4"/>
        <v>-350864.35999999987</v>
      </c>
      <c r="T39" s="166">
        <f t="shared" si="5"/>
        <v>-0.10230597054785162</v>
      </c>
    </row>
    <row r="40" spans="1:20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'2022'!S40</f>
        <v>142783250.94999999</v>
      </c>
      <c r="H40" s="193">
        <f>SUM('2022'!G114:I114)</f>
        <v>154975864.18964288</v>
      </c>
      <c r="I40" s="194">
        <f t="shared" si="0"/>
        <v>-12192613.239642888</v>
      </c>
      <c r="J40" s="196">
        <f t="shared" si="1"/>
        <v>-7.867427165770069E-2</v>
      </c>
      <c r="K40" s="193">
        <f>SUM('2021'!G40:I40)</f>
        <v>137224210.57999998</v>
      </c>
      <c r="L40" s="194">
        <f t="shared" si="7"/>
        <v>5559040.3700000048</v>
      </c>
      <c r="M40" s="196">
        <f t="shared" si="2"/>
        <v>4.0510638366975105E-2</v>
      </c>
      <c r="N40" s="193">
        <f>'2022'!I40</f>
        <v>50290726.350000001</v>
      </c>
      <c r="O40" s="193">
        <f>'2022'!I114</f>
        <v>52476514.839880966</v>
      </c>
      <c r="P40" s="194">
        <f t="shared" si="6"/>
        <v>-2185788.4898809642</v>
      </c>
      <c r="Q40" s="196">
        <f t="shared" si="3"/>
        <v>-4.1652699241753299E-2</v>
      </c>
      <c r="R40" s="193">
        <f>'2021'!I40</f>
        <v>47469284.640000001</v>
      </c>
      <c r="S40" s="194">
        <f t="shared" si="4"/>
        <v>2821441.7100000009</v>
      </c>
      <c r="T40" s="196">
        <f t="shared" si="5"/>
        <v>5.9437207267760472E-2</v>
      </c>
    </row>
    <row r="41" spans="1:20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'2022'!S41</f>
        <v>24977494.689999998</v>
      </c>
      <c r="H41" s="163">
        <f>SUM('2022'!G115:I115)</f>
        <v>27597142.897142857</v>
      </c>
      <c r="I41" s="164">
        <f t="shared" si="0"/>
        <v>-2619648.2071428597</v>
      </c>
      <c r="J41" s="166">
        <f t="shared" si="1"/>
        <v>-9.4924616541159135E-2</v>
      </c>
      <c r="K41" s="163">
        <f>SUM('2021'!G41:I41)</f>
        <v>19725106.289999999</v>
      </c>
      <c r="L41" s="164">
        <f t="shared" si="7"/>
        <v>5252388.3999999985</v>
      </c>
      <c r="M41" s="166">
        <f t="shared" si="2"/>
        <v>0.26627934586404689</v>
      </c>
      <c r="N41" s="163">
        <f>'2022'!I41</f>
        <v>8605052.6899999995</v>
      </c>
      <c r="O41" s="163">
        <f>'2022'!I115</f>
        <v>9199047.6323809531</v>
      </c>
      <c r="P41" s="164">
        <f t="shared" si="6"/>
        <v>-593994.94238095358</v>
      </c>
      <c r="Q41" s="166">
        <f t="shared" si="3"/>
        <v>-6.4571351961486889E-2</v>
      </c>
      <c r="R41" s="163">
        <f>'2021'!I41</f>
        <v>6520717.1299999999</v>
      </c>
      <c r="S41" s="164">
        <f t="shared" si="4"/>
        <v>2084335.5599999996</v>
      </c>
      <c r="T41" s="166">
        <f t="shared" si="5"/>
        <v>0.31964821022684053</v>
      </c>
    </row>
    <row r="42" spans="1:20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'2022'!S42</f>
        <v>4939208.09</v>
      </c>
      <c r="H42" s="163">
        <f>SUM('2022'!G116:I116)</f>
        <v>7477319.7300000004</v>
      </c>
      <c r="I42" s="164">
        <f t="shared" si="0"/>
        <v>-2538111.6400000006</v>
      </c>
      <c r="J42" s="166">
        <f t="shared" si="1"/>
        <v>-0.33944136825081306</v>
      </c>
      <c r="K42" s="163">
        <f>SUM('2021'!G42:I42)</f>
        <v>3000939.4699999997</v>
      </c>
      <c r="L42" s="164">
        <f t="shared" si="7"/>
        <v>1938268.62</v>
      </c>
      <c r="M42" s="166">
        <f t="shared" si="2"/>
        <v>0.64588727609357632</v>
      </c>
      <c r="N42" s="163">
        <f>'2022'!I42</f>
        <v>2440778.17</v>
      </c>
      <c r="O42" s="163">
        <f>'2022'!I116</f>
        <v>2291666.67</v>
      </c>
      <c r="P42" s="164">
        <f t="shared" si="6"/>
        <v>149111.5</v>
      </c>
      <c r="Q42" s="166">
        <f t="shared" si="3"/>
        <v>6.5066836268993677E-2</v>
      </c>
      <c r="R42" s="163">
        <f>'2021'!I42</f>
        <v>1502929.47</v>
      </c>
      <c r="S42" s="164">
        <f t="shared" si="4"/>
        <v>937848.7</v>
      </c>
      <c r="T42" s="166">
        <f t="shared" si="5"/>
        <v>0.624013780234145</v>
      </c>
    </row>
    <row r="43" spans="1:20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'2022'!S43</f>
        <v>107573776.7</v>
      </c>
      <c r="H43" s="163">
        <f>SUM('2022'!G117:I117)</f>
        <v>114087401.54250002</v>
      </c>
      <c r="I43" s="164">
        <f t="shared" si="0"/>
        <v>-6513624.8425000161</v>
      </c>
      <c r="J43" s="166">
        <f t="shared" si="1"/>
        <v>-5.7093287728825604E-2</v>
      </c>
      <c r="K43" s="163">
        <f>SUM('2021'!G43:I43)</f>
        <v>108411366.19</v>
      </c>
      <c r="L43" s="164">
        <f t="shared" si="7"/>
        <v>-837589.48999999464</v>
      </c>
      <c r="M43" s="166">
        <f t="shared" si="2"/>
        <v>-7.7260302073128839E-3</v>
      </c>
      <c r="N43" s="163">
        <f>'2022'!I43</f>
        <v>36069832.590000004</v>
      </c>
      <c r="O43" s="163">
        <f>'2022'!I117</f>
        <v>38029133.847500004</v>
      </c>
      <c r="P43" s="164">
        <f t="shared" si="6"/>
        <v>-1959301.2575000003</v>
      </c>
      <c r="Q43" s="166">
        <f t="shared" si="3"/>
        <v>-5.1521059232034094E-2</v>
      </c>
      <c r="R43" s="163">
        <f>'2021'!I43</f>
        <v>36148021.82</v>
      </c>
      <c r="S43" s="164">
        <f t="shared" si="4"/>
        <v>-78189.229999996722</v>
      </c>
      <c r="T43" s="166">
        <f t="shared" si="5"/>
        <v>-2.1630292907683923E-3</v>
      </c>
    </row>
    <row r="44" spans="1:20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'2022'!S44</f>
        <v>2782473.65</v>
      </c>
      <c r="H44" s="163">
        <f>SUM('2022'!G118:I118)</f>
        <v>2982000</v>
      </c>
      <c r="I44" s="164">
        <f t="shared" si="0"/>
        <v>-199526.35000000009</v>
      </c>
      <c r="J44" s="166">
        <f t="shared" si="1"/>
        <v>-6.6910244802146246E-2</v>
      </c>
      <c r="K44" s="163">
        <f>SUM('2021'!G44:I44)</f>
        <v>3813002.13</v>
      </c>
      <c r="L44" s="164">
        <f t="shared" si="7"/>
        <v>-1030528.48</v>
      </c>
      <c r="M44" s="166">
        <f t="shared" si="2"/>
        <v>-0.27026695628937403</v>
      </c>
      <c r="N44" s="163">
        <f>'2022'!I44</f>
        <v>1609138.94</v>
      </c>
      <c r="O44" s="163">
        <f>'2022'!I118</f>
        <v>1186666.67</v>
      </c>
      <c r="P44" s="164">
        <f t="shared" si="6"/>
        <v>422472.27</v>
      </c>
      <c r="Q44" s="166">
        <f t="shared" si="3"/>
        <v>0.35601595686512377</v>
      </c>
      <c r="R44" s="163">
        <f>'2021'!I44</f>
        <v>1836110.36</v>
      </c>
      <c r="S44" s="164">
        <f t="shared" si="4"/>
        <v>-226971.42000000016</v>
      </c>
      <c r="T44" s="166">
        <f t="shared" si="5"/>
        <v>-0.12361534739121027</v>
      </c>
    </row>
    <row r="45" spans="1:20">
      <c r="A45" s="150">
        <v>425</v>
      </c>
      <c r="B45" s="536" t="str">
        <f>+VLOOKUP($A45,Master!$D$29:$G$225,4,FALSE)</f>
        <v>Ostala prava iz zdravstvenog osiguranja</v>
      </c>
      <c r="C45" s="537"/>
      <c r="D45" s="537"/>
      <c r="E45" s="537"/>
      <c r="F45" s="537"/>
      <c r="G45" s="163">
        <f>'2022'!S45</f>
        <v>2510297.8200000003</v>
      </c>
      <c r="H45" s="163">
        <f>SUM('2022'!G119:I119)</f>
        <v>2832000.02</v>
      </c>
      <c r="I45" s="164">
        <f t="shared" si="0"/>
        <v>-321702.19999999972</v>
      </c>
      <c r="J45" s="166">
        <f t="shared" si="1"/>
        <v>-0.11359540880229224</v>
      </c>
      <c r="K45" s="163">
        <f>SUM('2021'!G45:I45)</f>
        <v>2273796.5</v>
      </c>
      <c r="L45" s="164">
        <f t="shared" si="7"/>
        <v>236501.3200000003</v>
      </c>
      <c r="M45" s="166">
        <f t="shared" si="2"/>
        <v>0.10401164748032654</v>
      </c>
      <c r="N45" s="163">
        <f>'2022'!I45</f>
        <v>1565923.96</v>
      </c>
      <c r="O45" s="163">
        <f>'2022'!I119</f>
        <v>1770000.02</v>
      </c>
      <c r="P45" s="164">
        <f t="shared" si="6"/>
        <v>-204076.06000000006</v>
      </c>
      <c r="Q45" s="166">
        <f t="shared" si="3"/>
        <v>-0.11529720773675478</v>
      </c>
      <c r="R45" s="163">
        <f>'2021'!I45</f>
        <v>1461505.86</v>
      </c>
      <c r="S45" s="164">
        <f t="shared" si="4"/>
        <v>104418.09999999986</v>
      </c>
      <c r="T45" s="166">
        <f t="shared" si="5"/>
        <v>7.1445556845047387E-2</v>
      </c>
    </row>
    <row r="46" spans="1:20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'2022'!S46</f>
        <v>61847613.010000005</v>
      </c>
      <c r="H46" s="175">
        <f>SUM('2022'!G120:I120)</f>
        <v>73382546.090000004</v>
      </c>
      <c r="I46" s="176">
        <f t="shared" si="0"/>
        <v>-11534933.079999998</v>
      </c>
      <c r="J46" s="178">
        <f t="shared" si="1"/>
        <v>-0.15718905509019787</v>
      </c>
      <c r="K46" s="175">
        <f>SUM('2021'!G46:I46)</f>
        <v>57156502.379999995</v>
      </c>
      <c r="L46" s="176">
        <f t="shared" si="7"/>
        <v>4691110.6300000101</v>
      </c>
      <c r="M46" s="178">
        <f t="shared" si="2"/>
        <v>8.20748372391924E-2</v>
      </c>
      <c r="N46" s="175">
        <f>'2022'!I46</f>
        <v>30707914.969999999</v>
      </c>
      <c r="O46" s="175">
        <f>'2022'!I120</f>
        <v>26995988.960000001</v>
      </c>
      <c r="P46" s="176">
        <f t="shared" si="6"/>
        <v>3711926.0099999979</v>
      </c>
      <c r="Q46" s="178">
        <f t="shared" si="3"/>
        <v>0.13749916758004188</v>
      </c>
      <c r="R46" s="175">
        <f>'2021'!I46</f>
        <v>23735027.57</v>
      </c>
      <c r="S46" s="176">
        <f t="shared" si="4"/>
        <v>6972887.3999999985</v>
      </c>
      <c r="T46" s="178">
        <f t="shared" si="5"/>
        <v>0.29378046347051279</v>
      </c>
    </row>
    <row r="47" spans="1:20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'2022'!S47</f>
        <v>35662874.810000002</v>
      </c>
      <c r="H47" s="175">
        <f>SUM('2022'!G121:I121)</f>
        <v>53313885</v>
      </c>
      <c r="I47" s="176">
        <f t="shared" si="0"/>
        <v>-17651010.189999998</v>
      </c>
      <c r="J47" s="178">
        <f t="shared" si="1"/>
        <v>-0.33107717042192664</v>
      </c>
      <c r="K47" s="175">
        <f>SUM('2021'!G47:I47)</f>
        <v>27125934.210000001</v>
      </c>
      <c r="L47" s="176">
        <f t="shared" si="7"/>
        <v>8536940.6000000015</v>
      </c>
      <c r="M47" s="178">
        <f t="shared" si="2"/>
        <v>0.31471508165985496</v>
      </c>
      <c r="N47" s="175">
        <f>'2022'!I47</f>
        <v>7995861.7599999998</v>
      </c>
      <c r="O47" s="175">
        <f>'2022'!I121</f>
        <v>18221026.579999998</v>
      </c>
      <c r="P47" s="176">
        <f t="shared" si="6"/>
        <v>-10225164.819999998</v>
      </c>
      <c r="Q47" s="178">
        <f t="shared" si="3"/>
        <v>-0.5611739149331727</v>
      </c>
      <c r="R47" s="175">
        <f>'2021'!I47</f>
        <v>8279888.46</v>
      </c>
      <c r="S47" s="176">
        <f t="shared" si="4"/>
        <v>-284026.70000000019</v>
      </c>
      <c r="T47" s="178">
        <f t="shared" si="5"/>
        <v>-3.430320364484718E-2</v>
      </c>
    </row>
    <row r="48" spans="1:20">
      <c r="A48" s="150">
        <v>451</v>
      </c>
      <c r="B48" s="504" t="str">
        <f>+VLOOKUP($A48,Master!$D$29:$G$225,4,FALSE)</f>
        <v>Pozajmice i krediti</v>
      </c>
      <c r="C48" s="505"/>
      <c r="D48" s="505"/>
      <c r="E48" s="505"/>
      <c r="F48" s="505"/>
      <c r="G48" s="163">
        <f>'2022'!S48</f>
        <v>250240</v>
      </c>
      <c r="H48" s="163">
        <f>SUM('2022'!G122:I122)</f>
        <v>247666.89999999997</v>
      </c>
      <c r="I48" s="164">
        <f>G48-H48</f>
        <v>2573.1000000000349</v>
      </c>
      <c r="J48" s="282">
        <f t="shared" si="1"/>
        <v>1.0389357641251262E-2</v>
      </c>
      <c r="K48" s="163">
        <f>SUM('2021'!G48:I48)</f>
        <v>264894</v>
      </c>
      <c r="L48" s="279">
        <f t="shared" si="7"/>
        <v>-14654</v>
      </c>
      <c r="M48" s="282">
        <f t="shared" si="2"/>
        <v>-5.5320241304068762E-2</v>
      </c>
      <c r="N48" s="163">
        <f>'2022'!I48</f>
        <v>1730</v>
      </c>
      <c r="O48" s="163">
        <f>'2022'!I122</f>
        <v>2000.08</v>
      </c>
      <c r="P48" s="164">
        <f t="shared" si="6"/>
        <v>-270.07999999999993</v>
      </c>
      <c r="Q48" s="282">
        <f t="shared" si="3"/>
        <v>-0.13503459861605538</v>
      </c>
      <c r="R48" s="163">
        <f>'2021'!I48</f>
        <v>5000</v>
      </c>
      <c r="S48" s="279">
        <f>+N48-R48-S58</f>
        <v>-3270</v>
      </c>
      <c r="T48" s="282">
        <f t="shared" si="5"/>
        <v>-0.65400000000000003</v>
      </c>
    </row>
    <row r="49" spans="1:23">
      <c r="A49" s="150">
        <v>47</v>
      </c>
      <c r="B49" s="504" t="str">
        <f>+VLOOKUP($A49,Master!$D$29:$G$225,4,FALSE)</f>
        <v>Rezerve</v>
      </c>
      <c r="C49" s="505"/>
      <c r="D49" s="505"/>
      <c r="E49" s="505"/>
      <c r="F49" s="505"/>
      <c r="G49" s="163">
        <f>'2022'!S49</f>
        <v>1863174.26</v>
      </c>
      <c r="H49" s="163">
        <f>SUM('2022'!G123:I123)</f>
        <v>10116353.040000001</v>
      </c>
      <c r="I49" s="164">
        <f t="shared" ref="I49:I50" si="8">G49-H49</f>
        <v>-8253178.7800000012</v>
      </c>
      <c r="J49" s="283">
        <f t="shared" si="1"/>
        <v>-0.81582550029313727</v>
      </c>
      <c r="K49" s="163">
        <f>SUM('2021'!G49:I49)</f>
        <v>32808803.189999998</v>
      </c>
      <c r="L49" s="280">
        <f t="shared" si="7"/>
        <v>-30945628.929999996</v>
      </c>
      <c r="M49" s="283">
        <f t="shared" si="2"/>
        <v>-0.94321114826377184</v>
      </c>
      <c r="N49" s="163">
        <f>'2022'!I49</f>
        <v>1101664.26</v>
      </c>
      <c r="O49" s="163">
        <f>'2022'!I123</f>
        <v>3372117.68</v>
      </c>
      <c r="P49" s="164">
        <f t="shared" si="6"/>
        <v>-2270453.42</v>
      </c>
      <c r="Q49" s="283">
        <f t="shared" si="3"/>
        <v>-0.67330195309198104</v>
      </c>
      <c r="R49" s="163">
        <f>'2021'!I49</f>
        <v>8526683.3100000005</v>
      </c>
      <c r="S49" s="280">
        <f t="shared" si="4"/>
        <v>-7425019.0500000007</v>
      </c>
      <c r="T49" s="283">
        <f t="shared" si="5"/>
        <v>-0.87079803248843779</v>
      </c>
      <c r="W49" s="344"/>
    </row>
    <row r="50" spans="1:23" ht="15.7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f>'2022'!S50</f>
        <v>0</v>
      </c>
      <c r="H50" s="163">
        <f>SUM('2022'!G124:I124)</f>
        <v>0</v>
      </c>
      <c r="I50" s="164">
        <f t="shared" si="8"/>
        <v>0</v>
      </c>
      <c r="J50" s="284" t="str">
        <f t="shared" si="1"/>
        <v>...</v>
      </c>
      <c r="K50" s="163">
        <f>SUM('2021'!G50:I50)</f>
        <v>3831496.4</v>
      </c>
      <c r="L50" s="280">
        <f t="shared" si="7"/>
        <v>-3831496.4</v>
      </c>
      <c r="M50" s="284">
        <f t="shared" si="2"/>
        <v>-1</v>
      </c>
      <c r="N50" s="163">
        <f>'2022'!I50</f>
        <v>0</v>
      </c>
      <c r="O50" s="163">
        <f>'2022'!I124</f>
        <v>0</v>
      </c>
      <c r="P50" s="164">
        <f t="shared" si="6"/>
        <v>0</v>
      </c>
      <c r="Q50" s="284" t="str">
        <f t="shared" si="3"/>
        <v>...</v>
      </c>
      <c r="R50" s="163">
        <f>'2021'!I50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2" t="str">
        <f>+VLOOKUP($A51,Master!$D$29:$G$225,4,FALSE)</f>
        <v>Otplata obaveza iz prethodnog perioda</v>
      </c>
      <c r="C51" s="523"/>
      <c r="D51" s="523"/>
      <c r="E51" s="523"/>
      <c r="F51" s="523"/>
      <c r="G51" s="314">
        <f>'2022'!S51</f>
        <v>23802882.249999996</v>
      </c>
      <c r="H51" s="314">
        <f>SUM('2022'!G125:I125)</f>
        <v>21449841.980000008</v>
      </c>
      <c r="I51" s="281">
        <f>G51-H51</f>
        <v>2353040.2699999884</v>
      </c>
      <c r="J51" s="285">
        <f t="shared" si="1"/>
        <v>0.10969965523261105</v>
      </c>
      <c r="K51" s="314">
        <f>SUM('2021'!G51:I51)</f>
        <v>4154825.78</v>
      </c>
      <c r="L51" s="287">
        <f t="shared" si="7"/>
        <v>19648056.469999995</v>
      </c>
      <c r="M51" s="285" t="str">
        <f t="shared" si="2"/>
        <v>...</v>
      </c>
      <c r="N51" s="314">
        <f>'2022'!I51</f>
        <v>2325642.13</v>
      </c>
      <c r="O51" s="314">
        <f>'2022'!I125</f>
        <v>1656073.6600000036</v>
      </c>
      <c r="P51" s="281">
        <f>N51-O51</f>
        <v>669568.46999999625</v>
      </c>
      <c r="Q51" s="285">
        <f t="shared" si="3"/>
        <v>0.40431080221395144</v>
      </c>
      <c r="R51" s="314">
        <f>'2021'!I51</f>
        <v>1493597.85</v>
      </c>
      <c r="S51" s="287">
        <f>+N51-R51</f>
        <v>832044.2799999998</v>
      </c>
      <c r="T51" s="285">
        <f t="shared" si="5"/>
        <v>0.55707383349540818</v>
      </c>
    </row>
    <row r="52" spans="1:23" ht="15.75" thickBot="1">
      <c r="A52" s="144">
        <v>1005</v>
      </c>
      <c r="B52" s="522" t="str">
        <f>+VLOOKUP($A52,Master!$D$29:$G$227,4,FALSE)</f>
        <v>Neto povećanje obaveza</v>
      </c>
      <c r="C52" s="523"/>
      <c r="D52" s="523"/>
      <c r="E52" s="523"/>
      <c r="F52" s="523"/>
      <c r="G52" s="163">
        <f>'2022'!S52</f>
        <v>0</v>
      </c>
      <c r="H52" s="163">
        <f>SUM('2022'!G126:I126)</f>
        <v>0</v>
      </c>
      <c r="I52" s="281">
        <f>G52-H52</f>
        <v>0</v>
      </c>
      <c r="J52" s="285" t="str">
        <f t="shared" si="1"/>
        <v>...</v>
      </c>
      <c r="K52" s="163">
        <f>SUM('2021'!G52:I52)</f>
        <v>0</v>
      </c>
      <c r="L52" s="287">
        <f t="shared" si="7"/>
        <v>0</v>
      </c>
      <c r="M52" s="285" t="str">
        <f t="shared" si="2"/>
        <v>...</v>
      </c>
      <c r="N52" s="163">
        <f>'2022'!I52</f>
        <v>0</v>
      </c>
      <c r="O52" s="163">
        <f>'2022'!I126</f>
        <v>0</v>
      </c>
      <c r="P52" s="281">
        <f>N52-O52</f>
        <v>0</v>
      </c>
      <c r="Q52" s="285" t="str">
        <f t="shared" si="3"/>
        <v>...</v>
      </c>
      <c r="R52" s="163">
        <f>'2021'!I52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>'2022'!S53</f>
        <v>-22038642.399999991</v>
      </c>
      <c r="H53" s="151">
        <f>SUM('2022'!G127:I127)</f>
        <v>-137130672.93487006</v>
      </c>
      <c r="I53" s="320">
        <f>+G53-H53</f>
        <v>115092030.53487007</v>
      </c>
      <c r="J53" s="286">
        <f t="shared" si="1"/>
        <v>-0.83928728760437721</v>
      </c>
      <c r="K53" s="151">
        <f>SUM('2021'!G53:I53)</f>
        <v>-103225542.67000002</v>
      </c>
      <c r="L53" s="288">
        <f t="shared" si="7"/>
        <v>81186900.270000026</v>
      </c>
      <c r="M53" s="286">
        <f t="shared" si="2"/>
        <v>-0.78650010617570731</v>
      </c>
      <c r="N53" s="151">
        <f>'2022'!I53</f>
        <v>31900057.219999999</v>
      </c>
      <c r="O53" s="151">
        <f>'2022'!I127</f>
        <v>-15934607.478495538</v>
      </c>
      <c r="P53" s="320">
        <f>N53-O53</f>
        <v>47834664.698495537</v>
      </c>
      <c r="Q53" s="286">
        <f t="shared" si="3"/>
        <v>-3.0019355521025886</v>
      </c>
      <c r="R53" s="151">
        <f>'2021'!I53</f>
        <v>-10252757.430000007</v>
      </c>
      <c r="S53" s="288">
        <f t="shared" si="4"/>
        <v>42152814.650000006</v>
      </c>
      <c r="T53" s="286">
        <f t="shared" si="5"/>
        <v>-4.1113636929182649</v>
      </c>
    </row>
    <row r="54" spans="1:23" ht="15.7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151">
        <f>'2022'!S54</f>
        <v>-15964453.399999995</v>
      </c>
      <c r="H54" s="151">
        <f>SUM('2022'!G128:I128)</f>
        <v>-130531212.98487006</v>
      </c>
      <c r="I54" s="206">
        <f t="shared" si="0"/>
        <v>114566759.58487007</v>
      </c>
      <c r="J54" s="208">
        <f t="shared" si="1"/>
        <v>-0.87769627635460312</v>
      </c>
      <c r="K54" s="151">
        <f>SUM('2021'!G54:I54)</f>
        <v>-78895884.650000006</v>
      </c>
      <c r="L54" s="206">
        <f t="shared" si="7"/>
        <v>62931431.250000015</v>
      </c>
      <c r="M54" s="208">
        <f t="shared" si="2"/>
        <v>-0.79765163327818778</v>
      </c>
      <c r="N54" s="151">
        <f>'2022'!I54</f>
        <v>32849139.779999997</v>
      </c>
      <c r="O54" s="151">
        <f>'2022'!I128</f>
        <v>-14603448.558495538</v>
      </c>
      <c r="P54" s="206">
        <f t="shared" si="6"/>
        <v>47452588.338495538</v>
      </c>
      <c r="Q54" s="208">
        <f t="shared" si="3"/>
        <v>-3.2494097643046134</v>
      </c>
      <c r="R54" s="151">
        <f>'2021'!I54</f>
        <v>4535225.1399999931</v>
      </c>
      <c r="S54" s="206">
        <f t="shared" si="4"/>
        <v>28313914.640000004</v>
      </c>
      <c r="T54" s="208" t="str">
        <f t="shared" si="5"/>
        <v>...</v>
      </c>
    </row>
    <row r="55" spans="1:23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491">
        <f>'2022'!S55</f>
        <v>54311943.090000004</v>
      </c>
      <c r="H55" s="491">
        <f>SUM('2022'!G129:I129)</f>
        <v>52266946.07</v>
      </c>
      <c r="I55" s="492">
        <f t="shared" si="0"/>
        <v>2044997.0200000033</v>
      </c>
      <c r="J55" s="493">
        <f t="shared" si="1"/>
        <v>3.9126009337931977E-2</v>
      </c>
      <c r="K55" s="491">
        <f>SUM('2021'!G55:I55)</f>
        <v>286369561.41000003</v>
      </c>
      <c r="L55" s="492">
        <f t="shared" si="7"/>
        <v>-232057618.32000002</v>
      </c>
      <c r="M55" s="493">
        <f t="shared" si="2"/>
        <v>-0.81034317047320292</v>
      </c>
      <c r="N55" s="491">
        <f>'2022'!I55</f>
        <v>11671682.99</v>
      </c>
      <c r="O55" s="491">
        <f>'2022'!I129</f>
        <v>20177043.91</v>
      </c>
      <c r="P55" s="492">
        <f t="shared" si="6"/>
        <v>-8505360.9199999999</v>
      </c>
      <c r="Q55" s="493">
        <f t="shared" si="3"/>
        <v>-0.42153652229426108</v>
      </c>
      <c r="R55" s="491">
        <f>'2021'!I55</f>
        <v>238783771.24000001</v>
      </c>
      <c r="S55" s="492">
        <f t="shared" si="4"/>
        <v>-227112088.25</v>
      </c>
      <c r="T55" s="493">
        <f t="shared" si="5"/>
        <v>-0.95112028372200863</v>
      </c>
    </row>
    <row r="56" spans="1:23">
      <c r="A56" s="144">
        <v>4611</v>
      </c>
      <c r="B56" s="504" t="str">
        <f>+VLOOKUP($A56,Master!$D$29:$G$225,4,FALSE)</f>
        <v>Otplata hartija od vrijednosti i kredita rezidentima</v>
      </c>
      <c r="C56" s="505"/>
      <c r="D56" s="505"/>
      <c r="E56" s="505"/>
      <c r="F56" s="505"/>
      <c r="G56" s="163">
        <f>'2022'!S56</f>
        <v>8038271.9500000011</v>
      </c>
      <c r="H56" s="163">
        <f>SUM('2022'!G130:I130)</f>
        <v>6254401.4100000001</v>
      </c>
      <c r="I56" s="212">
        <f t="shared" si="0"/>
        <v>1783870.540000001</v>
      </c>
      <c r="J56" s="214">
        <f t="shared" si="1"/>
        <v>0.28521842828121269</v>
      </c>
      <c r="K56" s="163">
        <f>SUM('2021'!G56:I56)</f>
        <v>37833912.020000003</v>
      </c>
      <c r="L56" s="212">
        <f t="shared" si="7"/>
        <v>-29795640.07</v>
      </c>
      <c r="M56" s="214">
        <f t="shared" si="2"/>
        <v>-0.78753791186724864</v>
      </c>
      <c r="N56" s="163">
        <f>'2022'!I56</f>
        <v>2560106.65</v>
      </c>
      <c r="O56" s="163">
        <f>'2022'!I130</f>
        <v>2560106.65</v>
      </c>
      <c r="P56" s="212">
        <f t="shared" si="6"/>
        <v>0</v>
      </c>
      <c r="Q56" s="214">
        <f t="shared" si="3"/>
        <v>0</v>
      </c>
      <c r="R56" s="163">
        <f>'2021'!I56</f>
        <v>2399482.21</v>
      </c>
      <c r="S56" s="212">
        <f t="shared" si="4"/>
        <v>160624.43999999994</v>
      </c>
      <c r="T56" s="214">
        <f t="shared" si="5"/>
        <v>6.6941292304892652E-2</v>
      </c>
    </row>
    <row r="57" spans="1:23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163">
        <f>'2022'!S57</f>
        <v>46273671.140000001</v>
      </c>
      <c r="H57" s="163">
        <f>SUM('2022'!G131:I131)</f>
        <v>46012544.659999996</v>
      </c>
      <c r="I57" s="212">
        <f t="shared" si="0"/>
        <v>261126.48000000417</v>
      </c>
      <c r="J57" s="214">
        <f t="shared" si="1"/>
        <v>5.6751149480982477E-3</v>
      </c>
      <c r="K57" s="163">
        <f>SUM('2021'!G57:I57)</f>
        <v>248535649.38999999</v>
      </c>
      <c r="L57" s="212">
        <f t="shared" si="7"/>
        <v>-202261978.25</v>
      </c>
      <c r="M57" s="214">
        <f t="shared" si="2"/>
        <v>-0.81381475352299359</v>
      </c>
      <c r="N57" s="163">
        <f>'2022'!I57</f>
        <v>9111576.3399999999</v>
      </c>
      <c r="O57" s="163">
        <f>'2022'!I131</f>
        <v>17616937.260000002</v>
      </c>
      <c r="P57" s="212">
        <f t="shared" si="6"/>
        <v>-8505360.9200000018</v>
      </c>
      <c r="Q57" s="214">
        <f t="shared" si="3"/>
        <v>-0.48279452861036076</v>
      </c>
      <c r="R57" s="163">
        <f>'2021'!I57</f>
        <v>236384289.03</v>
      </c>
      <c r="S57" s="212">
        <f t="shared" si="4"/>
        <v>-227272712.69</v>
      </c>
      <c r="T57" s="214">
        <f t="shared" si="5"/>
        <v>-0.96145439116368836</v>
      </c>
    </row>
    <row r="58" spans="1:23" ht="15.75" thickBot="1">
      <c r="A58" s="144">
        <v>4418</v>
      </c>
      <c r="B58" s="532" t="str">
        <f>+VLOOKUP($A58,Master!$D$29:$G$225,4,FALSE)</f>
        <v>Izdaci za kupovinu hartija od vrijednosti</v>
      </c>
      <c r="C58" s="533"/>
      <c r="D58" s="533"/>
      <c r="E58" s="533"/>
      <c r="F58" s="533"/>
      <c r="G58" s="335">
        <f>'2022'!S58</f>
        <v>0</v>
      </c>
      <c r="H58" s="335">
        <f>SUM('2022'!G132:I132)</f>
        <v>141190.01</v>
      </c>
      <c r="I58" s="336">
        <f t="shared" ref="I58:I64" si="9">+G58-H58</f>
        <v>-141190.01</v>
      </c>
      <c r="J58" s="337">
        <f t="shared" si="1"/>
        <v>-1</v>
      </c>
      <c r="K58" s="335">
        <f>SUM('2021'!G58:I58)</f>
        <v>0</v>
      </c>
      <c r="L58" s="336">
        <f t="shared" ref="L58:L64" si="10">+G58-K58</f>
        <v>0</v>
      </c>
      <c r="M58" s="337" t="str">
        <f t="shared" si="2"/>
        <v>...</v>
      </c>
      <c r="N58" s="335">
        <f>'2022'!I58</f>
        <v>0</v>
      </c>
      <c r="O58" s="335">
        <f>'2022'!I132</f>
        <v>48116.67</v>
      </c>
      <c r="P58" s="336">
        <f t="shared" ref="P58:P64" si="11">+N58-O58</f>
        <v>-48116.67</v>
      </c>
      <c r="Q58" s="337">
        <f t="shared" si="3"/>
        <v>-1</v>
      </c>
      <c r="R58" s="335">
        <f>'2021'!I58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319">
        <f>'2022'!S59</f>
        <v>-76350585.49000001</v>
      </c>
      <c r="H59" s="319">
        <f>SUM('2022'!G133:I133)</f>
        <v>-189538809.01487005</v>
      </c>
      <c r="I59" s="321">
        <f t="shared" si="9"/>
        <v>113188223.52487004</v>
      </c>
      <c r="J59" s="322">
        <f t="shared" si="1"/>
        <v>-0.5971770325727328</v>
      </c>
      <c r="K59" s="319">
        <f>SUM('2021'!G59:I59)</f>
        <v>-389595104.08000004</v>
      </c>
      <c r="L59" s="321">
        <f t="shared" si="10"/>
        <v>313244518.59000003</v>
      </c>
      <c r="M59" s="322">
        <f t="shared" si="2"/>
        <v>-0.80402580861405781</v>
      </c>
      <c r="N59" s="319">
        <f>'2022'!I59</f>
        <v>20228374.229999997</v>
      </c>
      <c r="O59" s="319">
        <f>'2022'!I133</f>
        <v>-36159768.058495536</v>
      </c>
      <c r="P59" s="321">
        <f t="shared" si="11"/>
        <v>56388142.288495533</v>
      </c>
      <c r="Q59" s="322">
        <f t="shared" si="3"/>
        <v>-1.5594165924205217</v>
      </c>
      <c r="R59" s="319">
        <f>'2021'!I59</f>
        <v>-249036528.67000002</v>
      </c>
      <c r="S59" s="321">
        <f t="shared" si="12"/>
        <v>269264902.90000004</v>
      </c>
      <c r="T59" s="322">
        <f t="shared" si="5"/>
        <v>-1.0812265346695575</v>
      </c>
    </row>
    <row r="60" spans="1:23" ht="15.7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'2022'!S60</f>
        <v>76350585.49000001</v>
      </c>
      <c r="H60" s="151">
        <f>SUM('2022'!G134:I134)</f>
        <v>189538809.01487005</v>
      </c>
      <c r="I60" s="320">
        <f t="shared" si="9"/>
        <v>-113188223.52487004</v>
      </c>
      <c r="J60" s="323">
        <f t="shared" si="1"/>
        <v>-0.5971770325727328</v>
      </c>
      <c r="K60" s="151">
        <f>SUM('2021'!G60:I60)</f>
        <v>389595104.08000004</v>
      </c>
      <c r="L60" s="320">
        <f t="shared" si="10"/>
        <v>-313244518.59000003</v>
      </c>
      <c r="M60" s="323">
        <f t="shared" si="2"/>
        <v>-0.80402580861405781</v>
      </c>
      <c r="N60" s="151">
        <f>'2022'!I60</f>
        <v>-20228374.229999997</v>
      </c>
      <c r="O60" s="151">
        <f>'2022'!I134</f>
        <v>36159768.058495536</v>
      </c>
      <c r="P60" s="320">
        <f t="shared" si="11"/>
        <v>-56388142.288495533</v>
      </c>
      <c r="Q60" s="323">
        <f t="shared" si="3"/>
        <v>-1.5594165924205217</v>
      </c>
      <c r="R60" s="151">
        <f>'2021'!I60</f>
        <v>249036528.67000002</v>
      </c>
      <c r="S60" s="320">
        <f t="shared" si="12"/>
        <v>-269264902.90000004</v>
      </c>
      <c r="T60" s="323">
        <f t="shared" si="5"/>
        <v>-1.0812265346695575</v>
      </c>
    </row>
    <row r="61" spans="1:23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483">
        <f>'2022'!S61</f>
        <v>0</v>
      </c>
      <c r="H61" s="483">
        <f>SUM('2022'!G135:I135)</f>
        <v>0</v>
      </c>
      <c r="I61" s="212">
        <f t="shared" si="9"/>
        <v>0</v>
      </c>
      <c r="J61" s="214" t="str">
        <f t="shared" si="1"/>
        <v>...</v>
      </c>
      <c r="K61" s="483">
        <f>SUM('2021'!G61:I61)</f>
        <v>0</v>
      </c>
      <c r="L61" s="212">
        <f t="shared" si="10"/>
        <v>0</v>
      </c>
      <c r="M61" s="214" t="str">
        <f t="shared" si="2"/>
        <v>...</v>
      </c>
      <c r="N61" s="483">
        <f>'2022'!I61</f>
        <v>0</v>
      </c>
      <c r="O61" s="483">
        <f>'2022'!I135</f>
        <v>0</v>
      </c>
      <c r="P61" s="212">
        <f t="shared" si="11"/>
        <v>0</v>
      </c>
      <c r="Q61" s="214" t="str">
        <f t="shared" si="3"/>
        <v>...</v>
      </c>
      <c r="R61" s="483">
        <f>'2021'!I61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163">
        <f>'2022'!S62</f>
        <v>24474433.500000004</v>
      </c>
      <c r="H62" s="163">
        <f>SUM('2022'!G136:I136)</f>
        <v>35933213.415999994</v>
      </c>
      <c r="I62" s="212">
        <f t="shared" si="9"/>
        <v>-11458779.91599999</v>
      </c>
      <c r="J62" s="214">
        <f t="shared" si="1"/>
        <v>-0.31889104331809459</v>
      </c>
      <c r="K62" s="163">
        <f>SUM('2021'!G62:I62)</f>
        <v>14101527.220000001</v>
      </c>
      <c r="L62" s="212">
        <f t="shared" si="10"/>
        <v>10372906.280000003</v>
      </c>
      <c r="M62" s="214">
        <f t="shared" si="2"/>
        <v>0.73558743802502846</v>
      </c>
      <c r="N62" s="163">
        <f>'2022'!I62</f>
        <v>1223913.3700000001</v>
      </c>
      <c r="O62" s="163">
        <f>'2022'!I136</f>
        <v>9996104.4719999991</v>
      </c>
      <c r="P62" s="212">
        <f t="shared" si="11"/>
        <v>-8772191.1019999981</v>
      </c>
      <c r="Q62" s="214">
        <f t="shared" si="3"/>
        <v>-0.87756096653168314</v>
      </c>
      <c r="R62" s="163">
        <f>'2021'!I62</f>
        <v>1856107.06</v>
      </c>
      <c r="S62" s="212">
        <f t="shared" si="12"/>
        <v>-632193.68999999994</v>
      </c>
      <c r="T62" s="214">
        <f t="shared" si="5"/>
        <v>-0.34060195320845332</v>
      </c>
    </row>
    <row r="63" spans="1:23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163">
        <f>'2022'!S63</f>
        <v>1147491.29</v>
      </c>
      <c r="H63" s="163">
        <f>SUM('2022'!G137:I137)</f>
        <v>1500000</v>
      </c>
      <c r="I63" s="212">
        <f t="shared" si="9"/>
        <v>-352508.70999999996</v>
      </c>
      <c r="J63" s="214">
        <f t="shared" si="1"/>
        <v>-0.23500580666666659</v>
      </c>
      <c r="K63" s="163">
        <f>SUM('2021'!G63:I63)</f>
        <v>116481.33</v>
      </c>
      <c r="L63" s="212">
        <f t="shared" si="10"/>
        <v>1031009.9600000001</v>
      </c>
      <c r="M63" s="214" t="str">
        <f t="shared" si="2"/>
        <v>...</v>
      </c>
      <c r="N63" s="163">
        <f>'2022'!I63</f>
        <v>383792.48</v>
      </c>
      <c r="O63" s="163">
        <f>'2022'!I137</f>
        <v>500000</v>
      </c>
      <c r="P63" s="212">
        <f t="shared" si="11"/>
        <v>-116207.52000000002</v>
      </c>
      <c r="Q63" s="214">
        <f t="shared" si="3"/>
        <v>-0.23241504000000002</v>
      </c>
      <c r="R63" s="163">
        <f>'2021'!I63</f>
        <v>52164.39</v>
      </c>
      <c r="S63" s="212">
        <f t="shared" si="12"/>
        <v>331628.08999999997</v>
      </c>
      <c r="T63" s="214" t="str">
        <f t="shared" si="5"/>
        <v>...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7">
        <f>'2022'!S64</f>
        <v>50728660.700000003</v>
      </c>
      <c r="H64" s="317">
        <f>SUM('2022'!G138:I138)</f>
        <v>152105595.59887007</v>
      </c>
      <c r="I64" s="226">
        <f t="shared" si="9"/>
        <v>-101376934.89887007</v>
      </c>
      <c r="J64" s="228">
        <f t="shared" si="1"/>
        <v>-0.66649050286236244</v>
      </c>
      <c r="K64" s="317">
        <f>SUM('2021'!G64:I64)</f>
        <v>375377095.53000003</v>
      </c>
      <c r="L64" s="226">
        <f t="shared" si="10"/>
        <v>-324648434.83000004</v>
      </c>
      <c r="M64" s="228">
        <f t="shared" si="2"/>
        <v>-0.86485946717559969</v>
      </c>
      <c r="N64" s="317">
        <f>'2022'!I64</f>
        <v>-21836080.079999998</v>
      </c>
      <c r="O64" s="317">
        <f>'2022'!I138</f>
        <v>25663663.586495537</v>
      </c>
      <c r="P64" s="226">
        <f t="shared" si="11"/>
        <v>-47499743.666495532</v>
      </c>
      <c r="Q64" s="228">
        <f t="shared" si="3"/>
        <v>-1.8508559195535259</v>
      </c>
      <c r="R64" s="317">
        <f>'2021'!I64</f>
        <v>247128257.22000003</v>
      </c>
      <c r="S64" s="226">
        <f t="shared" si="12"/>
        <v>-268964337.30000001</v>
      </c>
      <c r="T64" s="228">
        <f t="shared" si="5"/>
        <v>-1.0883593010594532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501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2Gl2LW9x7yBGVXvdVN2yXKs0/76gapPwvqq1WzamUn8NV0+NsiCo9HX+CtSaOXIMT44ApdXpYmezv57Ly8zC5g==" saltValue="XXWm2ANRz7f4snKvEC4etg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6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7" width="12.28515625" style="258" bestFit="1" customWidth="1"/>
    <col min="8" max="9" width="10.7109375" style="258" customWidth="1"/>
    <col min="10" max="10" width="14.42578125" style="258" customWidth="1"/>
    <col min="11" max="11" width="10.7109375" style="258" customWidth="1"/>
    <col min="12" max="12" width="12.28515625" style="258" bestFit="1" customWidth="1"/>
    <col min="13" max="14" width="10.7109375" style="258" customWidth="1"/>
    <col min="15" max="16" width="12.28515625" style="258" bestFit="1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500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826</v>
      </c>
      <c r="H6" s="234" t="s">
        <v>827</v>
      </c>
      <c r="I6" s="234" t="s">
        <v>828</v>
      </c>
      <c r="J6" s="234" t="s">
        <v>829</v>
      </c>
      <c r="K6" s="234" t="s">
        <v>830</v>
      </c>
      <c r="L6" s="234" t="s">
        <v>831</v>
      </c>
      <c r="M6" s="234" t="s">
        <v>832</v>
      </c>
      <c r="N6" s="234" t="s">
        <v>833</v>
      </c>
      <c r="O6" s="234" t="s">
        <v>834</v>
      </c>
      <c r="P6" s="234" t="s">
        <v>835</v>
      </c>
      <c r="Q6" s="234" t="s">
        <v>836</v>
      </c>
      <c r="R6" s="234" t="s">
        <v>837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2022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5306400000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>+G11+G19+SUM(G24:G28)</f>
        <v>107803954.11</v>
      </c>
      <c r="H10" s="151">
        <f t="shared" ref="H10:R10" si="1">+H11+H19+SUM(H24:H28)</f>
        <v>124618414.24000001</v>
      </c>
      <c r="I10" s="151">
        <f t="shared" si="1"/>
        <v>184138202.87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416560571.22000003</v>
      </c>
      <c r="T10" s="462">
        <f>+S10/$T$7*100</f>
        <v>7.8501539880144726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0</v>
      </c>
      <c r="K11" s="157">
        <f t="shared" si="2"/>
        <v>0</v>
      </c>
      <c r="L11" s="157">
        <f>+SUM(L12:L18)</f>
        <v>0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300138813.95000005</v>
      </c>
      <c r="T11" s="463">
        <f t="shared" ref="T11:T64" si="3">+S11/$T$7*100</f>
        <v>5.6561664018920554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6139790.5700000003</v>
      </c>
      <c r="H12" s="163">
        <v>7672775.8099999996</v>
      </c>
      <c r="I12" s="163">
        <v>6664350.6399999997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20476917.02</v>
      </c>
      <c r="T12" s="464">
        <f t="shared" si="3"/>
        <v>0.385890943389115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395935.5</v>
      </c>
      <c r="H13" s="163">
        <v>2173083.29</v>
      </c>
      <c r="I13" s="163">
        <v>38679260.32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41248279.109999999</v>
      </c>
      <c r="T13" s="464">
        <f t="shared" si="3"/>
        <v>0.7773307536182722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146340.34</v>
      </c>
      <c r="H14" s="163">
        <v>168193.65</v>
      </c>
      <c r="I14" s="163">
        <v>233459.66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547993.65</v>
      </c>
      <c r="T14" s="464">
        <f t="shared" si="3"/>
        <v>1.0327032451379467E-2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50270008.859999999</v>
      </c>
      <c r="H15" s="163">
        <v>54121445.460000001</v>
      </c>
      <c r="I15" s="163">
        <v>67019753.909999996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171411208.22999999</v>
      </c>
      <c r="T15" s="464">
        <f t="shared" si="3"/>
        <v>3.2302730331298055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21096875.199999999</v>
      </c>
      <c r="H16" s="163">
        <v>16062530.34</v>
      </c>
      <c r="I16" s="163">
        <v>19528829.140000001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56688234.68</v>
      </c>
      <c r="T16" s="464">
        <f t="shared" si="3"/>
        <v>1.068299311774461</v>
      </c>
    </row>
    <row r="17" spans="1:23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1689510.83</v>
      </c>
      <c r="H17" s="163">
        <v>2149003.6</v>
      </c>
      <c r="I17" s="163">
        <v>3284454.25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7122968.6799999997</v>
      </c>
      <c r="T17" s="464">
        <f t="shared" si="3"/>
        <v>0.13423354213779587</v>
      </c>
    </row>
    <row r="18" spans="1:23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v>821034.23</v>
      </c>
      <c r="H18" s="163">
        <v>868952.95</v>
      </c>
      <c r="I18" s="163">
        <v>953225.4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2643212.58</v>
      </c>
      <c r="T18" s="464">
        <f t="shared" si="3"/>
        <v>4.9811785391225695E-2</v>
      </c>
    </row>
    <row r="19" spans="1:23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0</v>
      </c>
      <c r="K19" s="169">
        <f t="shared" si="5"/>
        <v>0</v>
      </c>
      <c r="L19" s="169">
        <f t="shared" si="5"/>
        <v>0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83772855.75</v>
      </c>
      <c r="T19" s="465">
        <f t="shared" si="3"/>
        <v>1.5787135487336048</v>
      </c>
    </row>
    <row r="20" spans="1:23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v>7550452.8499999996</v>
      </c>
      <c r="H20" s="163">
        <v>24366605.109999999</v>
      </c>
      <c r="I20" s="163">
        <v>31891479.559999999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63808537.519999996</v>
      </c>
      <c r="T20" s="464">
        <f t="shared" si="3"/>
        <v>1.202482615709332</v>
      </c>
    </row>
    <row r="21" spans="1:23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v>3618221.62</v>
      </c>
      <c r="H21" s="163">
        <v>8815681.4700000007</v>
      </c>
      <c r="I21" s="163">
        <v>2582574.44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15016477.529999999</v>
      </c>
      <c r="T21" s="464">
        <f t="shared" si="3"/>
        <v>0.28298804330619631</v>
      </c>
    </row>
    <row r="22" spans="1:23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v>333527.59999999998</v>
      </c>
      <c r="H22" s="163">
        <v>1107968.99</v>
      </c>
      <c r="I22" s="163">
        <v>1459655.88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2901152.4699999997</v>
      </c>
      <c r="T22" s="464">
        <f t="shared" si="3"/>
        <v>5.4672705977687315E-2</v>
      </c>
    </row>
    <row r="23" spans="1:23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v>229600.09</v>
      </c>
      <c r="H23" s="163">
        <v>694038.42</v>
      </c>
      <c r="I23" s="163">
        <v>1123049.72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2046688.23</v>
      </c>
      <c r="T23" s="464">
        <f t="shared" si="3"/>
        <v>3.8570183740388959E-2</v>
      </c>
      <c r="W23" s="305"/>
    </row>
    <row r="24" spans="1:23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v>606952.54999999993</v>
      </c>
      <c r="H24" s="175">
        <v>773951.60000000009</v>
      </c>
      <c r="I24" s="175">
        <v>932834.7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2313738.8499999996</v>
      </c>
      <c r="T24" s="465">
        <f t="shared" si="3"/>
        <v>4.3602797565204271E-2</v>
      </c>
      <c r="W24" s="305"/>
    </row>
    <row r="25" spans="1:23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v>12538803.32</v>
      </c>
      <c r="H25" s="175">
        <v>2358745.7999999998</v>
      </c>
      <c r="I25" s="175">
        <v>2432089.7200000002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17329638.84</v>
      </c>
      <c r="T25" s="465">
        <f t="shared" si="3"/>
        <v>0.32657995703301673</v>
      </c>
    </row>
    <row r="26" spans="1:23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v>1297684</v>
      </c>
      <c r="H26" s="175">
        <v>1641264.9300000002</v>
      </c>
      <c r="I26" s="175">
        <v>1736220.8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4675169.7300000004</v>
      </c>
      <c r="T26" s="465">
        <f t="shared" si="3"/>
        <v>8.8104359452736328E-2</v>
      </c>
    </row>
    <row r="27" spans="1:23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v>124509.95</v>
      </c>
      <c r="H27" s="175">
        <v>38275.089999999997</v>
      </c>
      <c r="I27" s="175">
        <v>621678.06999999995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784463.10999999987</v>
      </c>
      <c r="T27" s="465">
        <f t="shared" si="3"/>
        <v>1.4783339175335442E-2</v>
      </c>
    </row>
    <row r="28" spans="1:23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v>944706.6</v>
      </c>
      <c r="H28" s="175">
        <v>1605897.73</v>
      </c>
      <c r="I28" s="175">
        <v>4995286.66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7545890.9900000002</v>
      </c>
      <c r="T28" s="466">
        <f t="shared" si="3"/>
        <v>0.14220358416252074</v>
      </c>
    </row>
    <row r="29" spans="1:23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+G30+G40+G46+SUM(G47:G51)</f>
        <v>135525045.41</v>
      </c>
      <c r="H29" s="151">
        <f t="shared" ref="H29:R29" si="6">+H30+H40+H46+SUM(H47:H51)</f>
        <v>150836022.56</v>
      </c>
      <c r="I29" s="151">
        <f t="shared" si="6"/>
        <v>152238145.65000001</v>
      </c>
      <c r="J29" s="151">
        <f t="shared" si="6"/>
        <v>0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438599213.62</v>
      </c>
      <c r="T29" s="467">
        <f t="shared" si="3"/>
        <v>8.2654759087140057</v>
      </c>
    </row>
    <row r="30" spans="1:23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7">+SUM(G31:G39)</f>
        <v>50898622.359999999</v>
      </c>
      <c r="H30" s="187">
        <f t="shared" si="7"/>
        <v>61675949.800000004</v>
      </c>
      <c r="I30" s="187">
        <f t="shared" si="7"/>
        <v>59814606.179999992</v>
      </c>
      <c r="J30" s="187">
        <f t="shared" si="7"/>
        <v>0</v>
      </c>
      <c r="K30" s="187">
        <f t="shared" si="7"/>
        <v>0</v>
      </c>
      <c r="L30" s="187">
        <f t="shared" si="7"/>
        <v>0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4">
        <f t="shared" si="4"/>
        <v>172389178.33999997</v>
      </c>
      <c r="T30" s="463">
        <f t="shared" si="3"/>
        <v>3.2487030442484541</v>
      </c>
      <c r="U30" s="242"/>
    </row>
    <row r="31" spans="1:23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v>44240125.009999998</v>
      </c>
      <c r="H31" s="163">
        <v>44552192.68</v>
      </c>
      <c r="I31" s="163">
        <v>40375934.009999998</v>
      </c>
      <c r="J31" s="163">
        <v>0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129168251.69999999</v>
      </c>
      <c r="T31" s="464">
        <f t="shared" si="3"/>
        <v>2.4341974163274536</v>
      </c>
      <c r="U31" s="242"/>
    </row>
    <row r="32" spans="1:23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v>137001.32999999999</v>
      </c>
      <c r="H32" s="163">
        <v>1212395.8600000001</v>
      </c>
      <c r="I32" s="163">
        <v>946225.55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2295622.7400000002</v>
      </c>
      <c r="T32" s="464">
        <f t="shared" si="3"/>
        <v>4.3261396426956131E-2</v>
      </c>
      <c r="U32" s="457"/>
    </row>
    <row r="33" spans="1:21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v>140825.03</v>
      </c>
      <c r="H33" s="163">
        <v>3489117.82</v>
      </c>
      <c r="I33" s="163">
        <v>2628375.67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6258318.5199999996</v>
      </c>
      <c r="T33" s="464">
        <f t="shared" si="3"/>
        <v>0.11793906452585556</v>
      </c>
      <c r="U33" s="457"/>
    </row>
    <row r="34" spans="1:21" s="361" customFormat="1">
      <c r="A34" s="360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v>1088181.29</v>
      </c>
      <c r="H34" s="163">
        <v>2912682.95</v>
      </c>
      <c r="I34" s="163">
        <v>4471821.08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8472685.3200000003</v>
      </c>
      <c r="T34" s="464">
        <f t="shared" si="3"/>
        <v>0.15966917910447762</v>
      </c>
      <c r="U34" s="457"/>
    </row>
    <row r="35" spans="1:21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v>51153.02</v>
      </c>
      <c r="H35" s="163">
        <v>1786959.03</v>
      </c>
      <c r="I35" s="163">
        <v>1812618.69</v>
      </c>
      <c r="J35" s="163">
        <v>0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3650730.74</v>
      </c>
      <c r="T35" s="464">
        <f t="shared" si="3"/>
        <v>6.8798634479119561E-2</v>
      </c>
      <c r="U35" s="457"/>
    </row>
    <row r="36" spans="1:21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v>3854762.25</v>
      </c>
      <c r="H36" s="163">
        <v>1270344.19</v>
      </c>
      <c r="I36" s="163">
        <v>949082.56</v>
      </c>
      <c r="J36" s="163">
        <v>0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6074189</v>
      </c>
      <c r="T36" s="464">
        <f t="shared" si="3"/>
        <v>0.1144691127694859</v>
      </c>
      <c r="U36" s="457"/>
    </row>
    <row r="37" spans="1:21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v>222069.04</v>
      </c>
      <c r="H37" s="163">
        <v>743329.49</v>
      </c>
      <c r="I37" s="163">
        <v>821318.4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1786716.9300000002</v>
      </c>
      <c r="T37" s="464">
        <f t="shared" si="3"/>
        <v>3.3670980890999548E-2</v>
      </c>
      <c r="U37" s="457"/>
    </row>
    <row r="38" spans="1:21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v>511006.04</v>
      </c>
      <c r="H38" s="163">
        <v>2686343.5</v>
      </c>
      <c r="I38" s="163">
        <v>4730535.5999999996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7927885.1399999997</v>
      </c>
      <c r="T38" s="464">
        <f t="shared" si="3"/>
        <v>0.14940232813206694</v>
      </c>
      <c r="U38" s="457"/>
    </row>
    <row r="39" spans="1:21" s="361" customFormat="1">
      <c r="A39" s="360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v>653499.35</v>
      </c>
      <c r="H39" s="163">
        <v>3022584.28</v>
      </c>
      <c r="I39" s="163">
        <v>3078694.62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6754778.25</v>
      </c>
      <c r="T39" s="464">
        <f t="shared" si="3"/>
        <v>0.12729493159203978</v>
      </c>
      <c r="U39" s="457"/>
    </row>
    <row r="40" spans="1:21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43461857.619999997</v>
      </c>
      <c r="H40" s="193">
        <f t="shared" ref="H40:R40" si="8">+SUM(H41:H45)</f>
        <v>49030666.979999997</v>
      </c>
      <c r="I40" s="193">
        <f t="shared" si="8"/>
        <v>50290726.350000001</v>
      </c>
      <c r="J40" s="193">
        <f t="shared" si="8"/>
        <v>0</v>
      </c>
      <c r="K40" s="193">
        <f t="shared" si="8"/>
        <v>0</v>
      </c>
      <c r="L40" s="193">
        <f t="shared" si="8"/>
        <v>0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489">
        <f t="shared" si="4"/>
        <v>142783250.94999999</v>
      </c>
      <c r="T40" s="490">
        <f t="shared" si="3"/>
        <v>2.6907743658600931</v>
      </c>
      <c r="U40" s="242"/>
    </row>
    <row r="41" spans="1:21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v>8200110.4000000004</v>
      </c>
      <c r="H41" s="163">
        <v>8172331.5999999996</v>
      </c>
      <c r="I41" s="163">
        <v>8605052.6899999995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24977494.689999998</v>
      </c>
      <c r="T41" s="464">
        <f t="shared" si="3"/>
        <v>0.47070508612241813</v>
      </c>
      <c r="U41" s="457"/>
    </row>
    <row r="42" spans="1:21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v>0</v>
      </c>
      <c r="H42" s="163">
        <v>2498429.92</v>
      </c>
      <c r="I42" s="163">
        <v>2440778.17</v>
      </c>
      <c r="J42" s="163">
        <v>0</v>
      </c>
      <c r="K42" s="163">
        <v>0</v>
      </c>
      <c r="L42" s="163">
        <v>0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4939208.09</v>
      </c>
      <c r="T42" s="464">
        <f t="shared" si="3"/>
        <v>9.3080206731494045E-2</v>
      </c>
      <c r="U42" s="457"/>
    </row>
    <row r="43" spans="1:21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v>35149513.420000002</v>
      </c>
      <c r="H43" s="163">
        <v>36354430.689999998</v>
      </c>
      <c r="I43" s="163">
        <v>36069832.590000004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107573776.7</v>
      </c>
      <c r="T43" s="464">
        <f t="shared" si="3"/>
        <v>2.027245904944972</v>
      </c>
      <c r="U43" s="457"/>
    </row>
    <row r="44" spans="1:21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v>103430</v>
      </c>
      <c r="H44" s="163">
        <v>1069904.71</v>
      </c>
      <c r="I44" s="163">
        <v>1609138.94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2782473.65</v>
      </c>
      <c r="T44" s="464">
        <f t="shared" si="3"/>
        <v>5.2436183665008289E-2</v>
      </c>
      <c r="U44" s="457"/>
    </row>
    <row r="45" spans="1:21" s="361" customFormat="1">
      <c r="A45" s="360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v>8803.7999999999993</v>
      </c>
      <c r="H45" s="163">
        <v>935570.06</v>
      </c>
      <c r="I45" s="163">
        <v>1565923.96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2510297.8200000003</v>
      </c>
      <c r="T45" s="464">
        <f t="shared" si="3"/>
        <v>4.7306984396200819E-2</v>
      </c>
      <c r="U45" s="457"/>
    </row>
    <row r="46" spans="1:21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v>7351440.8700000001</v>
      </c>
      <c r="H46" s="175">
        <v>23788257.170000002</v>
      </c>
      <c r="I46" s="175">
        <v>30707914.969999999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61847613.010000005</v>
      </c>
      <c r="T46" s="465">
        <f t="shared" si="3"/>
        <v>1.1655286636891302</v>
      </c>
      <c r="U46" s="481"/>
    </row>
    <row r="47" spans="1:21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v>16016474.34</v>
      </c>
      <c r="H47" s="175">
        <v>11650538.710000001</v>
      </c>
      <c r="I47" s="175">
        <v>7995861.7599999998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35662874.810000002</v>
      </c>
      <c r="T47" s="465">
        <f t="shared" si="3"/>
        <v>0.67207287068445654</v>
      </c>
      <c r="U47" s="481"/>
    </row>
    <row r="48" spans="1:21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v>0</v>
      </c>
      <c r="H48" s="163">
        <v>248510</v>
      </c>
      <c r="I48" s="163">
        <v>1730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250240</v>
      </c>
      <c r="T48" s="464">
        <f t="shared" si="3"/>
        <v>4.7158148650685962E-3</v>
      </c>
      <c r="U48" s="481"/>
    </row>
    <row r="49" spans="1:21" s="361" customFormat="1">
      <c r="A49" s="360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v>265800</v>
      </c>
      <c r="H49" s="163">
        <v>495710</v>
      </c>
      <c r="I49" s="163">
        <v>1101664.26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1863174.26</v>
      </c>
      <c r="T49" s="464">
        <f t="shared" si="3"/>
        <v>3.5111832127242573E-2</v>
      </c>
      <c r="U49" s="481"/>
    </row>
    <row r="50" spans="1:21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0</v>
      </c>
      <c r="T50" s="464">
        <f t="shared" si="3"/>
        <v>0</v>
      </c>
      <c r="U50" s="481"/>
    </row>
    <row r="51" spans="1:21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458">
        <v>17530850.219999999</v>
      </c>
      <c r="H51" s="458">
        <v>3946389.9</v>
      </c>
      <c r="I51" s="458">
        <v>2325642.13</v>
      </c>
      <c r="J51" s="458">
        <v>0</v>
      </c>
      <c r="K51" s="458">
        <v>0</v>
      </c>
      <c r="L51" s="458">
        <v>0</v>
      </c>
      <c r="M51" s="458">
        <v>0</v>
      </c>
      <c r="N51" s="458">
        <v>0</v>
      </c>
      <c r="O51" s="458">
        <v>0</v>
      </c>
      <c r="P51" s="458">
        <v>0</v>
      </c>
      <c r="Q51" s="458">
        <v>0</v>
      </c>
      <c r="R51" s="458">
        <v>0</v>
      </c>
      <c r="S51" s="425">
        <f>+SUM(G51:R51)</f>
        <v>23802882.249999996</v>
      </c>
      <c r="T51" s="468">
        <f t="shared" si="3"/>
        <v>0.44856931723955967</v>
      </c>
      <c r="U51" s="481"/>
    </row>
    <row r="52" spans="1:21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9">+G10-G29</f>
        <v>-27721091.299999997</v>
      </c>
      <c r="H53" s="151">
        <f t="shared" si="9"/>
        <v>-26217608.319999993</v>
      </c>
      <c r="I53" s="151">
        <f t="shared" si="9"/>
        <v>31900057.219999999</v>
      </c>
      <c r="J53" s="151">
        <f t="shared" si="9"/>
        <v>0</v>
      </c>
      <c r="K53" s="151">
        <f t="shared" si="9"/>
        <v>0</v>
      </c>
      <c r="L53" s="151">
        <f t="shared" si="9"/>
        <v>0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-22038642.399999991</v>
      </c>
      <c r="T53" s="470">
        <f t="shared" si="3"/>
        <v>-0.4153219206995325</v>
      </c>
    </row>
    <row r="54" spans="1:21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10">+G53+G36</f>
        <v>-23866329.049999997</v>
      </c>
      <c r="H54" s="205">
        <f t="shared" si="10"/>
        <v>-24947264.129999992</v>
      </c>
      <c r="I54" s="205">
        <f t="shared" si="10"/>
        <v>32849139.779999997</v>
      </c>
      <c r="J54" s="205">
        <f t="shared" si="10"/>
        <v>0</v>
      </c>
      <c r="K54" s="205">
        <f t="shared" si="10"/>
        <v>0</v>
      </c>
      <c r="L54" s="205">
        <f t="shared" si="10"/>
        <v>0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-15964453.399999995</v>
      </c>
      <c r="T54" s="470">
        <f t="shared" si="3"/>
        <v>-0.30085280793004665</v>
      </c>
    </row>
    <row r="55" spans="1:21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0</v>
      </c>
      <c r="K55" s="193">
        <f t="shared" si="11"/>
        <v>0</v>
      </c>
      <c r="L55" s="193">
        <f t="shared" si="11"/>
        <v>0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54311943.090000004</v>
      </c>
      <c r="T55" s="471">
        <f t="shared" si="3"/>
        <v>1.0235176973089102</v>
      </c>
    </row>
    <row r="56" spans="1:21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v>2390495.08</v>
      </c>
      <c r="H56" s="211">
        <v>3087670.22</v>
      </c>
      <c r="I56" s="211">
        <v>2560106.65</v>
      </c>
      <c r="J56" s="211">
        <v>0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8038271.9500000011</v>
      </c>
      <c r="T56" s="472">
        <f t="shared" si="3"/>
        <v>0.15148258612241822</v>
      </c>
    </row>
    <row r="57" spans="1:21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v>26040763.890000001</v>
      </c>
      <c r="H57" s="211">
        <v>11121330.91</v>
      </c>
      <c r="I57" s="211">
        <v>9111576.3399999999</v>
      </c>
      <c r="J57" s="211">
        <v>0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46273671.140000001</v>
      </c>
      <c r="T57" s="472">
        <f t="shared" si="3"/>
        <v>0.8720351111864918</v>
      </c>
    </row>
    <row r="58" spans="1:21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0</v>
      </c>
      <c r="R58" s="460">
        <v>0</v>
      </c>
      <c r="S58" s="249">
        <f>SUM(G58:R58)</f>
        <v>0</v>
      </c>
      <c r="T58" s="473">
        <f t="shared" si="3"/>
        <v>0</v>
      </c>
    </row>
    <row r="59" spans="1:21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-56152350.269999996</v>
      </c>
      <c r="H59" s="217">
        <f t="shared" ref="H59:R59" si="12">+H53-H55-H58</f>
        <v>-40426609.449999996</v>
      </c>
      <c r="I59" s="217">
        <f t="shared" si="12"/>
        <v>20228374.229999997</v>
      </c>
      <c r="J59" s="217">
        <f t="shared" si="12"/>
        <v>0</v>
      </c>
      <c r="K59" s="217">
        <f t="shared" si="12"/>
        <v>0</v>
      </c>
      <c r="L59" s="217">
        <f t="shared" si="12"/>
        <v>0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-76350585.49000001</v>
      </c>
      <c r="T59" s="474">
        <f t="shared" si="3"/>
        <v>-1.4388396180084428</v>
      </c>
    </row>
    <row r="60" spans="1:21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56152350.269999996</v>
      </c>
      <c r="H60" s="151">
        <f t="shared" ref="H60:R60" si="13">+SUM(H61:H64)</f>
        <v>40426609.449999996</v>
      </c>
      <c r="I60" s="151">
        <f t="shared" si="13"/>
        <v>-20228374.229999997</v>
      </c>
      <c r="J60" s="151">
        <f t="shared" si="13"/>
        <v>0</v>
      </c>
      <c r="K60" s="151">
        <f t="shared" si="13"/>
        <v>0</v>
      </c>
      <c r="L60" s="151">
        <f t="shared" si="13"/>
        <v>0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76350585.49000001</v>
      </c>
      <c r="T60" s="475">
        <f t="shared" si="3"/>
        <v>1.4388396180084428</v>
      </c>
    </row>
    <row r="61" spans="1:21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v>12789994.92</v>
      </c>
      <c r="H62" s="211">
        <v>10460525.210000001</v>
      </c>
      <c r="I62" s="211">
        <v>1223913.3700000001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24474433.500000004</v>
      </c>
      <c r="T62" s="472">
        <f t="shared" si="3"/>
        <v>0.46122481343283583</v>
      </c>
    </row>
    <row r="63" spans="1:21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v>693159.59</v>
      </c>
      <c r="H63" s="211">
        <v>70539.22</v>
      </c>
      <c r="I63" s="211">
        <v>383792.48</v>
      </c>
      <c r="J63" s="211">
        <v>0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1147491.29</v>
      </c>
      <c r="T63" s="472">
        <f t="shared" si="3"/>
        <v>2.1624666252072971E-2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42669195.759999998</v>
      </c>
      <c r="H64" s="225">
        <f t="shared" ref="H64:R64" si="14">-H59-SUM(H61:H63)</f>
        <v>29895545.019999996</v>
      </c>
      <c r="I64" s="225">
        <f t="shared" si="14"/>
        <v>-21836080.079999998</v>
      </c>
      <c r="J64" s="225">
        <f t="shared" si="14"/>
        <v>0</v>
      </c>
      <c r="K64" s="225">
        <f t="shared" si="14"/>
        <v>0</v>
      </c>
      <c r="L64" s="225">
        <f t="shared" si="14"/>
        <v>0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50728660.700000003</v>
      </c>
      <c r="T64" s="476">
        <f t="shared" si="3"/>
        <v>0.95599013832353386</v>
      </c>
    </row>
    <row r="65" spans="7:21">
      <c r="R65" s="312"/>
    </row>
    <row r="67" spans="7:21">
      <c r="G67" s="311"/>
    </row>
    <row r="74" spans="7:21">
      <c r="U74" s="257"/>
    </row>
    <row r="79" spans="7:21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21" ht="13.5" thickBot="1">
      <c r="G80" s="68" t="str">
        <f t="shared" ref="G80:R80" si="15">+CONCATENATE(G6,"p")</f>
        <v>2022-01p</v>
      </c>
      <c r="H80" s="68" t="str">
        <f t="shared" si="15"/>
        <v>2022-02p</v>
      </c>
      <c r="I80" s="68" t="str">
        <f t="shared" si="15"/>
        <v>2022-03p</v>
      </c>
      <c r="J80" s="68" t="str">
        <f t="shared" si="15"/>
        <v>2022-04p</v>
      </c>
      <c r="K80" s="68" t="str">
        <f t="shared" si="15"/>
        <v>2022-05p</v>
      </c>
      <c r="L80" s="68" t="str">
        <f t="shared" si="15"/>
        <v>2022-06p</v>
      </c>
      <c r="M80" s="68" t="str">
        <f t="shared" si="15"/>
        <v>2022-07p</v>
      </c>
      <c r="N80" s="68" t="str">
        <f t="shared" si="15"/>
        <v>2022-08p</v>
      </c>
      <c r="O80" s="68" t="str">
        <f t="shared" si="15"/>
        <v>2022-09p</v>
      </c>
      <c r="P80" s="68" t="str">
        <f t="shared" si="15"/>
        <v>2022-10p</v>
      </c>
      <c r="Q80" s="68" t="str">
        <f t="shared" si="15"/>
        <v>2022-11p</v>
      </c>
      <c r="R80" s="68" t="str">
        <f t="shared" si="15"/>
        <v>2022-12p</v>
      </c>
    </row>
    <row r="81" spans="1:21" ht="15.75" customHeight="1" thickBot="1">
      <c r="B81" s="584" t="str">
        <f>+Master!G252</f>
        <v>Plan ostvarenja budžeta</v>
      </c>
      <c r="C81" s="585"/>
      <c r="D81" s="585"/>
      <c r="E81" s="585"/>
      <c r="F81" s="585"/>
      <c r="G81" s="592">
        <v>2022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BDP</v>
      </c>
      <c r="T81" s="108">
        <v>5306400000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38" si="17">+CONCATENATE(A10,"p")</f>
        <v>7p</v>
      </c>
      <c r="B84" s="580" t="str">
        <f>+VLOOKUP(LEFT($A84,LEN(A84)-1)*1,Master!$D$29:$G$225,4,FALSE)</f>
        <v>Prihodi budžeta</v>
      </c>
      <c r="C84" s="581"/>
      <c r="D84" s="581"/>
      <c r="E84" s="581"/>
      <c r="F84" s="581"/>
      <c r="G84" s="93">
        <f t="shared" ref="G84:R84" si="18">+G85+G93+SUM(G98:G102)</f>
        <v>103883592.73418278</v>
      </c>
      <c r="H84" s="93">
        <f t="shared" si="18"/>
        <v>112389437.34253797</v>
      </c>
      <c r="I84" s="93">
        <f t="shared" si="18"/>
        <v>149823320.09605211</v>
      </c>
      <c r="J84" s="93">
        <f t="shared" si="18"/>
        <v>161889007.68791279</v>
      </c>
      <c r="K84" s="93">
        <f t="shared" si="18"/>
        <v>140633489.37786841</v>
      </c>
      <c r="L84" s="93">
        <f t="shared" si="18"/>
        <v>163567969.03586718</v>
      </c>
      <c r="M84" s="93">
        <f t="shared" si="18"/>
        <v>189013439.82863885</v>
      </c>
      <c r="N84" s="93">
        <f t="shared" si="18"/>
        <v>195169347.71786064</v>
      </c>
      <c r="O84" s="93">
        <f t="shared" si="18"/>
        <v>173319933.4629713</v>
      </c>
      <c r="P84" s="93">
        <f t="shared" si="18"/>
        <v>168315875.7953729</v>
      </c>
      <c r="Q84" s="93">
        <f t="shared" si="18"/>
        <v>160954690.16744265</v>
      </c>
      <c r="R84" s="93">
        <f t="shared" si="18"/>
        <v>215797515.85336715</v>
      </c>
      <c r="S84" s="453">
        <f>+SUM(G84:R84)</f>
        <v>1934757619.1000748</v>
      </c>
      <c r="T84" s="477">
        <f>+S84/$T$81*100</f>
        <v>36.460832562567369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Porezi</v>
      </c>
      <c r="C85" s="583"/>
      <c r="D85" s="583"/>
      <c r="E85" s="583"/>
      <c r="F85" s="583"/>
      <c r="G85" s="79">
        <f t="shared" ref="G85:R85" si="19">+SUM(G86:G92)</f>
        <v>76986192.301309064</v>
      </c>
      <c r="H85" s="79">
        <f t="shared" si="19"/>
        <v>68739316.006660998</v>
      </c>
      <c r="I85" s="79">
        <f t="shared" si="19"/>
        <v>105701262.46110664</v>
      </c>
      <c r="J85" s="79">
        <f t="shared" si="19"/>
        <v>109215070.37754746</v>
      </c>
      <c r="K85" s="79">
        <f t="shared" si="19"/>
        <v>93834576.699615017</v>
      </c>
      <c r="L85" s="79">
        <f t="shared" si="19"/>
        <v>108847757.90236668</v>
      </c>
      <c r="M85" s="79">
        <f t="shared" si="19"/>
        <v>125840403.83781756</v>
      </c>
      <c r="N85" s="79">
        <f t="shared" si="19"/>
        <v>134576943.18371007</v>
      </c>
      <c r="O85" s="79">
        <f t="shared" si="19"/>
        <v>121706415.21215931</v>
      </c>
      <c r="P85" s="79">
        <f t="shared" si="19"/>
        <v>112627812.98825803</v>
      </c>
      <c r="Q85" s="79">
        <f t="shared" si="19"/>
        <v>103171800.18523188</v>
      </c>
      <c r="R85" s="80">
        <f t="shared" si="19"/>
        <v>116102139.13114922</v>
      </c>
      <c r="S85" s="111">
        <f t="shared" ref="S85:S138" si="20">+SUM(G85:R85)</f>
        <v>1277349690.286932</v>
      </c>
      <c r="T85" s="463">
        <f t="shared" ref="T85:T138" si="21">+S85/$T$81*100</f>
        <v>24.071869634534373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Porez na dohodak fizičkih lica</v>
      </c>
      <c r="C86" s="571"/>
      <c r="D86" s="571"/>
      <c r="E86" s="571"/>
      <c r="F86" s="571"/>
      <c r="G86" s="87">
        <v>6036977.0769869126</v>
      </c>
      <c r="H86" s="87">
        <v>8911478.3177045882</v>
      </c>
      <c r="I86" s="87">
        <v>8610008.171962196</v>
      </c>
      <c r="J86" s="87">
        <v>12249334.247183047</v>
      </c>
      <c r="K86" s="87">
        <v>11719700.466837784</v>
      </c>
      <c r="L86" s="87">
        <v>11838864.683369705</v>
      </c>
      <c r="M86" s="87">
        <v>12658416.85178042</v>
      </c>
      <c r="N86" s="87">
        <v>12153377.839137483</v>
      </c>
      <c r="O86" s="87">
        <v>12015172.827783465</v>
      </c>
      <c r="P86" s="87">
        <v>12484353.918082759</v>
      </c>
      <c r="Q86" s="87">
        <v>11687568.278631231</v>
      </c>
      <c r="R86" s="87">
        <v>19924639.630337406</v>
      </c>
      <c r="S86" s="112">
        <f t="shared" si="20"/>
        <v>140289892.30979699</v>
      </c>
      <c r="T86" s="464">
        <f t="shared" si="21"/>
        <v>2.6437866031546244</v>
      </c>
    </row>
    <row r="87" spans="1:21">
      <c r="A87" s="116" t="str">
        <f t="shared" si="17"/>
        <v>7112p</v>
      </c>
      <c r="B87" s="570" t="str">
        <f>+VLOOKUP(LEFT($A87,LEN(A87)-1)*1,Master!$D$29:$G$228,4,FALSE)</f>
        <v>Porez na dobit pravnih lica</v>
      </c>
      <c r="C87" s="571"/>
      <c r="D87" s="571"/>
      <c r="E87" s="571"/>
      <c r="F87" s="571"/>
      <c r="G87" s="87">
        <v>386172.45118166273</v>
      </c>
      <c r="H87" s="87">
        <v>2338219.2077789549</v>
      </c>
      <c r="I87" s="87">
        <v>28996013.122200411</v>
      </c>
      <c r="J87" s="87">
        <v>22814989.281143885</v>
      </c>
      <c r="K87" s="87">
        <v>5197060.1926962147</v>
      </c>
      <c r="L87" s="87">
        <v>4933009.0913874442</v>
      </c>
      <c r="M87" s="87">
        <v>5265465.4182412103</v>
      </c>
      <c r="N87" s="87">
        <v>4155051.2661085152</v>
      </c>
      <c r="O87" s="87">
        <v>2892088.1311011645</v>
      </c>
      <c r="P87" s="87">
        <v>1042099.4749570616</v>
      </c>
      <c r="Q87" s="87">
        <v>1268040.6826842749</v>
      </c>
      <c r="R87" s="87">
        <v>4996140.2242778074</v>
      </c>
      <c r="S87" s="112">
        <f t="shared" si="20"/>
        <v>84284348.543758601</v>
      </c>
      <c r="T87" s="464">
        <f t="shared" si="21"/>
        <v>1.5883527164133611</v>
      </c>
    </row>
    <row r="88" spans="1:21">
      <c r="A88" s="116" t="str">
        <f t="shared" si="17"/>
        <v>7113p</v>
      </c>
      <c r="B88" s="570" t="str">
        <f>+VLOOKUP(LEFT($A88,LEN(A88)-1)*1,Master!$D$29:$G$228,4,FALSE)</f>
        <v>Porez na promet nepokretnosti</v>
      </c>
      <c r="C88" s="571"/>
      <c r="D88" s="571"/>
      <c r="E88" s="571"/>
      <c r="F88" s="571"/>
      <c r="G88" s="87">
        <v>137599.11671066686</v>
      </c>
      <c r="H88" s="87">
        <v>139962.95471971622</v>
      </c>
      <c r="I88" s="87">
        <v>160800.54964910698</v>
      </c>
      <c r="J88" s="87">
        <v>168679.89751277707</v>
      </c>
      <c r="K88" s="87">
        <v>151756.38063291303</v>
      </c>
      <c r="L88" s="87">
        <v>130623.85679923798</v>
      </c>
      <c r="M88" s="87">
        <v>126029.78316750137</v>
      </c>
      <c r="N88" s="87">
        <v>142307.1388536517</v>
      </c>
      <c r="O88" s="87">
        <v>108672.06715796523</v>
      </c>
      <c r="P88" s="87">
        <v>143661.48518472709</v>
      </c>
      <c r="Q88" s="87">
        <v>142630.12109384249</v>
      </c>
      <c r="R88" s="87">
        <v>128842.67579023782</v>
      </c>
      <c r="S88" s="112">
        <f t="shared" si="20"/>
        <v>1681566.0272723434</v>
      </c>
      <c r="T88" s="464">
        <f t="shared" si="21"/>
        <v>3.1689394453345836E-2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Porez na dodatu vrijednost</v>
      </c>
      <c r="C89" s="571"/>
      <c r="D89" s="571"/>
      <c r="E89" s="571"/>
      <c r="F89" s="571"/>
      <c r="G89" s="87">
        <v>48997810.15816012</v>
      </c>
      <c r="H89" s="87">
        <v>40002470.340359561</v>
      </c>
      <c r="I89" s="87">
        <v>50004466.090834908</v>
      </c>
      <c r="J89" s="87">
        <v>53003514.578586213</v>
      </c>
      <c r="K89" s="87">
        <v>53019436.722509921</v>
      </c>
      <c r="L89" s="87">
        <v>65702977.290997334</v>
      </c>
      <c r="M89" s="87">
        <v>76000116.474118784</v>
      </c>
      <c r="N89" s="87">
        <v>80017450.661895335</v>
      </c>
      <c r="O89" s="87">
        <v>70695564.988729894</v>
      </c>
      <c r="P89" s="87">
        <v>69519387.136670247</v>
      </c>
      <c r="Q89" s="87">
        <v>62764600.786352843</v>
      </c>
      <c r="R89" s="87">
        <v>64112577.546304867</v>
      </c>
      <c r="S89" s="112">
        <f t="shared" si="20"/>
        <v>733840372.77552009</v>
      </c>
      <c r="T89" s="464">
        <f t="shared" si="21"/>
        <v>13.829345182713707</v>
      </c>
    </row>
    <row r="90" spans="1:21">
      <c r="A90" s="116" t="str">
        <f t="shared" si="17"/>
        <v>7115p</v>
      </c>
      <c r="B90" s="570" t="str">
        <f>+VLOOKUP(LEFT($A90,LEN(A90)-1)*1,Master!$D$29:$G$228,4,FALSE)</f>
        <v>Akcize</v>
      </c>
      <c r="C90" s="571"/>
      <c r="D90" s="571"/>
      <c r="E90" s="571"/>
      <c r="F90" s="571"/>
      <c r="G90" s="87">
        <v>19022248.857979022</v>
      </c>
      <c r="H90" s="87">
        <v>14888833.871354572</v>
      </c>
      <c r="I90" s="87">
        <v>14529557.862004982</v>
      </c>
      <c r="J90" s="87">
        <v>17361043.168040603</v>
      </c>
      <c r="K90" s="87">
        <v>20215865.486963261</v>
      </c>
      <c r="L90" s="87">
        <v>22457232.88613506</v>
      </c>
      <c r="M90" s="87">
        <v>27691704.400892012</v>
      </c>
      <c r="N90" s="87">
        <v>32942521.963602662</v>
      </c>
      <c r="O90" s="87">
        <v>31301086.260136649</v>
      </c>
      <c r="P90" s="87">
        <v>24896741.211742759</v>
      </c>
      <c r="Q90" s="87">
        <v>23199515.912827551</v>
      </c>
      <c r="R90" s="87">
        <v>22494227.663672887</v>
      </c>
      <c r="S90" s="112">
        <f t="shared" si="20"/>
        <v>271000579.54535198</v>
      </c>
      <c r="T90" s="464">
        <f t="shared" si="21"/>
        <v>5.1070514764313275</v>
      </c>
    </row>
    <row r="91" spans="1:21">
      <c r="A91" s="116" t="str">
        <f t="shared" si="17"/>
        <v>7116p</v>
      </c>
      <c r="B91" s="570" t="str">
        <f>+VLOOKUP(LEFT($A91,LEN(A91)-1)*1,Master!$D$29:$G$228,4,FALSE)</f>
        <v>Porez na međunarodnu trgovinu i transakcije</v>
      </c>
      <c r="C91" s="571"/>
      <c r="D91" s="571"/>
      <c r="E91" s="571"/>
      <c r="F91" s="571"/>
      <c r="G91" s="87">
        <v>1581959.901535122</v>
      </c>
      <c r="H91" s="87">
        <v>1703130.706570718</v>
      </c>
      <c r="I91" s="87">
        <v>2460685.1155701326</v>
      </c>
      <c r="J91" s="87">
        <v>2633161.7547204318</v>
      </c>
      <c r="K91" s="87">
        <v>2602607.8746786527</v>
      </c>
      <c r="L91" s="87">
        <v>2684994.2017241237</v>
      </c>
      <c r="M91" s="87">
        <v>3011596.6669215872</v>
      </c>
      <c r="N91" s="87">
        <v>3100234.0208783555</v>
      </c>
      <c r="O91" s="87">
        <v>2655237.4002162451</v>
      </c>
      <c r="P91" s="87">
        <v>2592394.5025440347</v>
      </c>
      <c r="Q91" s="87">
        <v>2104701.7503375057</v>
      </c>
      <c r="R91" s="87">
        <v>2536747.8171281349</v>
      </c>
      <c r="S91" s="112">
        <f t="shared" si="20"/>
        <v>29667451.712825045</v>
      </c>
      <c r="T91" s="464">
        <f t="shared" si="21"/>
        <v>0.55908811459417007</v>
      </c>
    </row>
    <row r="92" spans="1:21">
      <c r="A92" s="116" t="str">
        <f t="shared" si="17"/>
        <v>7118p</v>
      </c>
      <c r="B92" s="570" t="str">
        <f>+VLOOKUP(LEFT($A92,LEN(A92)-1)*1,Master!$D$29:$G$228,4,FALSE)</f>
        <v>Ostali državni porezi</v>
      </c>
      <c r="C92" s="571"/>
      <c r="D92" s="571"/>
      <c r="E92" s="571"/>
      <c r="F92" s="571"/>
      <c r="G92" s="87">
        <v>823424.73875555594</v>
      </c>
      <c r="H92" s="87">
        <v>755220.60817287723</v>
      </c>
      <c r="I92" s="87">
        <v>939731.54888491821</v>
      </c>
      <c r="J92" s="87">
        <v>984347.45036050549</v>
      </c>
      <c r="K92" s="87">
        <v>928149.5752962752</v>
      </c>
      <c r="L92" s="87">
        <v>1100055.8919537803</v>
      </c>
      <c r="M92" s="87">
        <v>1087074.2426960634</v>
      </c>
      <c r="N92" s="87">
        <v>2066000.2932340601</v>
      </c>
      <c r="O92" s="87">
        <v>2038593.5370339223</v>
      </c>
      <c r="P92" s="87">
        <v>1949175.2590764421</v>
      </c>
      <c r="Q92" s="87">
        <v>2004742.6533046227</v>
      </c>
      <c r="R92" s="87">
        <v>1908963.573637875</v>
      </c>
      <c r="S92" s="112">
        <f t="shared" si="20"/>
        <v>16585479.3724069</v>
      </c>
      <c r="T92" s="464">
        <f t="shared" si="21"/>
        <v>0.31255614677383725</v>
      </c>
    </row>
    <row r="93" spans="1:21">
      <c r="A93" s="116" t="str">
        <f t="shared" si="17"/>
        <v>712p</v>
      </c>
      <c r="B93" s="578" t="str">
        <f>+VLOOKUP(LEFT($A93,LEN(A93)-1)*1,Master!$D$29:$G$228,4,FALSE)</f>
        <v>Doprinosi</v>
      </c>
      <c r="C93" s="579"/>
      <c r="D93" s="579"/>
      <c r="E93" s="579"/>
      <c r="F93" s="579"/>
      <c r="G93" s="81">
        <f>+SUM(G94:G97)</f>
        <v>14739033.95730887</v>
      </c>
      <c r="H93" s="81">
        <f t="shared" ref="H93:R93" si="22">+SUM(H94:H97)</f>
        <v>35577399.162559882</v>
      </c>
      <c r="I93" s="480">
        <f t="shared" si="22"/>
        <v>35206496.551826648</v>
      </c>
      <c r="J93" s="81">
        <f t="shared" si="22"/>
        <v>42715012.505468771</v>
      </c>
      <c r="K93" s="81">
        <f t="shared" si="22"/>
        <v>35349770.216303565</v>
      </c>
      <c r="L93" s="81">
        <f t="shared" si="22"/>
        <v>40049430.910925195</v>
      </c>
      <c r="M93" s="81">
        <f t="shared" si="22"/>
        <v>42753293.821960472</v>
      </c>
      <c r="N93" s="81">
        <f t="shared" si="22"/>
        <v>40593513.231235966</v>
      </c>
      <c r="O93" s="81">
        <f t="shared" si="22"/>
        <v>39471393.883434452</v>
      </c>
      <c r="P93" s="81">
        <f t="shared" si="22"/>
        <v>42070524.854843825</v>
      </c>
      <c r="Q93" s="81">
        <f t="shared" si="22"/>
        <v>40155069.118088707</v>
      </c>
      <c r="R93" s="82">
        <f t="shared" si="22"/>
        <v>76385991.571237266</v>
      </c>
      <c r="S93" s="113">
        <f t="shared" si="20"/>
        <v>485066929.78519362</v>
      </c>
      <c r="T93" s="465">
        <f t="shared" si="21"/>
        <v>9.1411678310190254</v>
      </c>
    </row>
    <row r="94" spans="1:21">
      <c r="A94" s="116" t="str">
        <f t="shared" si="17"/>
        <v>7121p</v>
      </c>
      <c r="B94" s="570" t="str">
        <f>+VLOOKUP(LEFT($A94,LEN(A94)-1)*1,Master!$D$29:$G$228,4,FALSE)</f>
        <v>Doprinosi za penzijsko i invalidsko osiguranje</v>
      </c>
      <c r="C94" s="571"/>
      <c r="D94" s="571"/>
      <c r="E94" s="571"/>
      <c r="F94" s="571"/>
      <c r="G94" s="87">
        <v>9495171.1621009018</v>
      </c>
      <c r="H94" s="87">
        <v>31694621.356915068</v>
      </c>
      <c r="I94" s="87">
        <v>30831127.527752884</v>
      </c>
      <c r="J94" s="87">
        <v>38211450.90576046</v>
      </c>
      <c r="K94" s="87">
        <v>31487172.281432074</v>
      </c>
      <c r="L94" s="87">
        <v>35607882.632401399</v>
      </c>
      <c r="M94" s="87">
        <v>38126882.692857176</v>
      </c>
      <c r="N94" s="87">
        <v>36064695.044786133</v>
      </c>
      <c r="O94" s="87">
        <v>35048794.935994439</v>
      </c>
      <c r="P94" s="87">
        <v>37410500.030440003</v>
      </c>
      <c r="Q94" s="87">
        <v>35705275.759551719</v>
      </c>
      <c r="R94" s="87">
        <v>69140609.601068795</v>
      </c>
      <c r="S94" s="112">
        <f t="shared" si="20"/>
        <v>428824183.93106103</v>
      </c>
      <c r="T94" s="464">
        <f t="shared" si="21"/>
        <v>8.0812638310542173</v>
      </c>
    </row>
    <row r="95" spans="1:21">
      <c r="A95" s="116" t="str">
        <f t="shared" si="17"/>
        <v>7122p</v>
      </c>
      <c r="B95" s="570" t="str">
        <f>+VLOOKUP(LEFT($A95,LEN(A95)-1)*1,Master!$D$29:$G$228,4,FALSE)</f>
        <v>Doprinosi za zdravstveno osiguranje</v>
      </c>
      <c r="C95" s="571"/>
      <c r="D95" s="571"/>
      <c r="E95" s="571"/>
      <c r="F95" s="571"/>
      <c r="G95" s="87">
        <v>4217156.505590898</v>
      </c>
      <c r="H95" s="87">
        <v>1387272.7272727001</v>
      </c>
      <c r="I95" s="87">
        <v>1387272.7272727001</v>
      </c>
      <c r="J95" s="87">
        <v>1387272.7272727001</v>
      </c>
      <c r="K95" s="87">
        <v>1387272.7272727001</v>
      </c>
      <c r="L95" s="87">
        <v>1387272.7272727001</v>
      </c>
      <c r="M95" s="87">
        <v>1387272.7272727001</v>
      </c>
      <c r="N95" s="87">
        <v>1387272.7272727001</v>
      </c>
      <c r="O95" s="87">
        <v>1387272.7272727001</v>
      </c>
      <c r="P95" s="87">
        <v>1387272.7272727001</v>
      </c>
      <c r="Q95" s="87">
        <v>1387272.7272727001</v>
      </c>
      <c r="R95" s="87">
        <v>1387272.7272727001</v>
      </c>
      <c r="S95" s="112">
        <f t="shared" si="20"/>
        <v>19477156.505590603</v>
      </c>
      <c r="T95" s="464">
        <f t="shared" si="21"/>
        <v>0.36705028843642773</v>
      </c>
    </row>
    <row r="96" spans="1:21">
      <c r="A96" s="116" t="str">
        <f t="shared" si="17"/>
        <v>7123p</v>
      </c>
      <c r="B96" s="570" t="str">
        <f>+VLOOKUP(LEFT($A96,LEN(A96)-1)*1,Master!$D$29:$G$228,4,FALSE)</f>
        <v>Doprinosi za osiguranje od nezaposlenosti</v>
      </c>
      <c r="C96" s="571"/>
      <c r="D96" s="571"/>
      <c r="E96" s="571"/>
      <c r="F96" s="571"/>
      <c r="G96" s="87">
        <v>603768.4288435023</v>
      </c>
      <c r="H96" s="87">
        <v>1343353.7326137528</v>
      </c>
      <c r="I96" s="87">
        <v>1641125.2437121717</v>
      </c>
      <c r="J96" s="87">
        <v>1626153.9845466164</v>
      </c>
      <c r="K96" s="87">
        <v>1467152.5454538772</v>
      </c>
      <c r="L96" s="87">
        <v>1755326.7677572384</v>
      </c>
      <c r="M96" s="87">
        <v>1879060.7612420167</v>
      </c>
      <c r="N96" s="87">
        <v>1839647.957332494</v>
      </c>
      <c r="O96" s="87">
        <v>1731484.6640204804</v>
      </c>
      <c r="P96" s="87">
        <v>1821603.5457183875</v>
      </c>
      <c r="Q96" s="87">
        <v>1718684.5581534628</v>
      </c>
      <c r="R96" s="87">
        <v>3226187.9480236997</v>
      </c>
      <c r="S96" s="112">
        <f t="shared" si="20"/>
        <v>20653550.1374177</v>
      </c>
      <c r="T96" s="464">
        <f t="shared" si="21"/>
        <v>0.38921962417868422</v>
      </c>
    </row>
    <row r="97" spans="1:23">
      <c r="A97" s="116" t="str">
        <f t="shared" si="17"/>
        <v>7124p</v>
      </c>
      <c r="B97" s="570" t="str">
        <f>+VLOOKUP(LEFT($A97,LEN(A97)-1)*1,Master!$D$29:$G$228,4,FALSE)</f>
        <v>Ostali doprinosi</v>
      </c>
      <c r="C97" s="571"/>
      <c r="D97" s="571"/>
      <c r="E97" s="571"/>
      <c r="F97" s="571"/>
      <c r="G97" s="87">
        <v>422937.86077356793</v>
      </c>
      <c r="H97" s="87">
        <v>1152151.3457583643</v>
      </c>
      <c r="I97" s="87">
        <v>1346971.0530888957</v>
      </c>
      <c r="J97" s="87">
        <v>1490134.8878889994</v>
      </c>
      <c r="K97" s="87">
        <v>1008172.6621449152</v>
      </c>
      <c r="L97" s="87">
        <v>1298948.7834938644</v>
      </c>
      <c r="M97" s="87">
        <v>1360077.6405885809</v>
      </c>
      <c r="N97" s="87">
        <v>1301897.5018446438</v>
      </c>
      <c r="O97" s="87">
        <v>1303841.5561468413</v>
      </c>
      <c r="P97" s="87">
        <v>1451148.5514127368</v>
      </c>
      <c r="Q97" s="87">
        <v>1343836.0731108226</v>
      </c>
      <c r="R97" s="87">
        <v>2631921.2948720674</v>
      </c>
      <c r="S97" s="112">
        <f t="shared" si="20"/>
        <v>16112039.211124301</v>
      </c>
      <c r="T97" s="464">
        <f t="shared" si="21"/>
        <v>0.3036340873496966</v>
      </c>
    </row>
    <row r="98" spans="1:23">
      <c r="A98" s="116" t="str">
        <f t="shared" si="17"/>
        <v>713p</v>
      </c>
      <c r="B98" s="576" t="str">
        <f>+VLOOKUP(LEFT($A98,LEN(A98)-1)*1,Master!$D$29:$G$228,4,FALSE)</f>
        <v>Takse</v>
      </c>
      <c r="C98" s="577"/>
      <c r="D98" s="577"/>
      <c r="E98" s="577"/>
      <c r="F98" s="577"/>
      <c r="G98" s="83">
        <v>716959.63744480617</v>
      </c>
      <c r="H98" s="83">
        <v>875830.28943826968</v>
      </c>
      <c r="I98" s="83">
        <v>898134.53683155368</v>
      </c>
      <c r="J98" s="83">
        <v>888310.9651939217</v>
      </c>
      <c r="K98" s="83">
        <v>1030366.1861709147</v>
      </c>
      <c r="L98" s="83">
        <v>1185843.6965174251</v>
      </c>
      <c r="M98" s="83">
        <v>1667639.8869234594</v>
      </c>
      <c r="N98" s="83">
        <v>1578448.2866900889</v>
      </c>
      <c r="O98" s="83">
        <v>1380373.0567911586</v>
      </c>
      <c r="P98" s="83">
        <v>1169305.3807242704</v>
      </c>
      <c r="Q98" s="83">
        <v>852590.84694761061</v>
      </c>
      <c r="R98" s="83">
        <v>1132750.4323350992</v>
      </c>
      <c r="S98" s="113">
        <f t="shared" si="20"/>
        <v>13376553.202008577</v>
      </c>
      <c r="T98" s="465">
        <f t="shared" si="21"/>
        <v>0.25208339367572324</v>
      </c>
    </row>
    <row r="99" spans="1:23">
      <c r="A99" s="116" t="str">
        <f t="shared" si="17"/>
        <v>714p</v>
      </c>
      <c r="B99" s="576" t="str">
        <f>+VLOOKUP(LEFT($A99,LEN(A99)-1)*1,Master!$D$29:$G$228,4,FALSE)</f>
        <v>Naknade</v>
      </c>
      <c r="C99" s="577"/>
      <c r="D99" s="577"/>
      <c r="E99" s="577"/>
      <c r="F99" s="577"/>
      <c r="G99" s="83">
        <v>9700438.6639014706</v>
      </c>
      <c r="H99" s="83">
        <v>2922897.1970708221</v>
      </c>
      <c r="I99" s="83">
        <v>3332017.5114569198</v>
      </c>
      <c r="J99" s="83">
        <v>4136191.0704011233</v>
      </c>
      <c r="K99" s="83">
        <v>3074367.946991629</v>
      </c>
      <c r="L99" s="83">
        <v>5739309.4993893243</v>
      </c>
      <c r="M99" s="83">
        <v>6472254.6831636187</v>
      </c>
      <c r="N99" s="83">
        <v>5700766.1375209093</v>
      </c>
      <c r="O99" s="83">
        <v>5838639.4240750894</v>
      </c>
      <c r="P99" s="83">
        <v>6404757.6661479613</v>
      </c>
      <c r="Q99" s="83">
        <v>5747893.6025398392</v>
      </c>
      <c r="R99" s="83">
        <v>7633324.3507150738</v>
      </c>
      <c r="S99" s="113">
        <f t="shared" si="20"/>
        <v>66702857.753373779</v>
      </c>
      <c r="T99" s="465">
        <f t="shared" si="21"/>
        <v>1.2570265670393068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Ostali prihodi</v>
      </c>
      <c r="C100" s="577"/>
      <c r="D100" s="577"/>
      <c r="E100" s="577"/>
      <c r="F100" s="577"/>
      <c r="G100" s="83">
        <v>1331781.4619610589</v>
      </c>
      <c r="H100" s="83">
        <v>1901272.8094459367</v>
      </c>
      <c r="I100" s="83">
        <v>2575064.836907316</v>
      </c>
      <c r="J100" s="83">
        <v>2112330.3067699438</v>
      </c>
      <c r="K100" s="83">
        <v>3659838.2733385107</v>
      </c>
      <c r="L100" s="83">
        <v>3097932.5006113267</v>
      </c>
      <c r="M100" s="83">
        <v>8852221.2517254446</v>
      </c>
      <c r="N100" s="83">
        <v>8102620.0768102016</v>
      </c>
      <c r="O100" s="83">
        <v>1810690.2451614358</v>
      </c>
      <c r="P100" s="83">
        <v>2046468.0200236528</v>
      </c>
      <c r="Q100" s="83">
        <v>1800926.1426908849</v>
      </c>
      <c r="R100" s="83">
        <v>3354130.5189856696</v>
      </c>
      <c r="S100" s="113">
        <f t="shared" si="20"/>
        <v>40645276.444431379</v>
      </c>
      <c r="T100" s="465">
        <f t="shared" si="21"/>
        <v>0.76596706702154715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Primici od otplate kredita i sredstva prenesena iz prethodne godine</v>
      </c>
      <c r="C101" s="577"/>
      <c r="D101" s="577"/>
      <c r="E101" s="577"/>
      <c r="F101" s="577"/>
      <c r="G101" s="83">
        <v>83096.852737975787</v>
      </c>
      <c r="H101" s="83">
        <v>454586.60399148142</v>
      </c>
      <c r="I101" s="83">
        <v>309002.47729931993</v>
      </c>
      <c r="J101" s="83">
        <v>419622.28002297197</v>
      </c>
      <c r="K101" s="83">
        <v>971629.20596685004</v>
      </c>
      <c r="L101" s="83">
        <v>1560498.8700287652</v>
      </c>
      <c r="M101" s="83">
        <v>161785.36767540569</v>
      </c>
      <c r="N101" s="83">
        <v>1556954.075826132</v>
      </c>
      <c r="O101" s="83">
        <v>220617.05383413273</v>
      </c>
      <c r="P101" s="83">
        <v>268269.85752094636</v>
      </c>
      <c r="Q101" s="83">
        <v>1736495.5315598873</v>
      </c>
      <c r="R101" s="83">
        <v>2005346.4516715538</v>
      </c>
      <c r="S101" s="113">
        <f t="shared" si="20"/>
        <v>9747904.6281354222</v>
      </c>
      <c r="T101" s="465">
        <f t="shared" si="21"/>
        <v>0.1837009013292519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Donacije i transferi</v>
      </c>
      <c r="C102" s="573"/>
      <c r="D102" s="573"/>
      <c r="E102" s="573"/>
      <c r="F102" s="573"/>
      <c r="G102" s="83">
        <v>326089.85951951938</v>
      </c>
      <c r="H102" s="83">
        <v>1918135.2733705833</v>
      </c>
      <c r="I102" s="83">
        <v>1801341.7206237079</v>
      </c>
      <c r="J102" s="83">
        <v>2402470.1825086102</v>
      </c>
      <c r="K102" s="83">
        <v>2712940.849481931</v>
      </c>
      <c r="L102" s="83">
        <v>3087195.6560284691</v>
      </c>
      <c r="M102" s="83">
        <v>3265840.9793729056</v>
      </c>
      <c r="N102" s="83">
        <v>3060102.7260672809</v>
      </c>
      <c r="O102" s="83">
        <v>2891804.587515723</v>
      </c>
      <c r="P102" s="83">
        <v>3728737.0278541967</v>
      </c>
      <c r="Q102" s="83">
        <v>7489914.7403838299</v>
      </c>
      <c r="R102" s="83">
        <v>9183833.3972732462</v>
      </c>
      <c r="S102" s="114">
        <f t="shared" si="20"/>
        <v>41868407</v>
      </c>
      <c r="T102" s="466">
        <f t="shared" si="21"/>
        <v>0.78901716794813803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Izdaci budžeta</v>
      </c>
      <c r="C103" s="555"/>
      <c r="D103" s="555"/>
      <c r="E103" s="555"/>
      <c r="F103" s="555"/>
      <c r="G103" s="93">
        <f t="shared" ref="G103:R103" si="23">+G104+G114+G120+SUM(G121:G125)</f>
        <v>177831446.59654763</v>
      </c>
      <c r="H103" s="93">
        <f t="shared" si="23"/>
        <v>159637648.93654764</v>
      </c>
      <c r="I103" s="93">
        <f t="shared" si="23"/>
        <v>165757927.57454765</v>
      </c>
      <c r="J103" s="93">
        <f t="shared" si="23"/>
        <v>181656276.27454761</v>
      </c>
      <c r="K103" s="93">
        <f t="shared" si="23"/>
        <v>176553533.49454764</v>
      </c>
      <c r="L103" s="93">
        <f t="shared" si="23"/>
        <v>176451567.45454761</v>
      </c>
      <c r="M103" s="93">
        <f t="shared" si="23"/>
        <v>175218266.98454764</v>
      </c>
      <c r="N103" s="93">
        <f t="shared" si="23"/>
        <v>168803890.89883336</v>
      </c>
      <c r="O103" s="93">
        <f t="shared" si="23"/>
        <v>183880560.57883337</v>
      </c>
      <c r="P103" s="93">
        <f t="shared" si="23"/>
        <v>204140909.79883331</v>
      </c>
      <c r="Q103" s="93">
        <f t="shared" si="23"/>
        <v>199230681.58883333</v>
      </c>
      <c r="R103" s="93">
        <f t="shared" si="23"/>
        <v>233607135.19883329</v>
      </c>
      <c r="S103" s="451">
        <f>+SUM(G103:R103)</f>
        <v>2202769845.3800001</v>
      </c>
      <c r="T103" s="478">
        <f t="shared" si="21"/>
        <v>41.511568019372838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Tekući izdaci</v>
      </c>
      <c r="C104" s="575"/>
      <c r="D104" s="575"/>
      <c r="E104" s="575"/>
      <c r="F104" s="575"/>
      <c r="G104" s="85">
        <f t="shared" ref="G104:R104" si="24">+SUM(G105:G113)</f>
        <v>62550652.746666655</v>
      </c>
      <c r="H104" s="85">
        <f t="shared" si="24"/>
        <v>64156007.386666663</v>
      </c>
      <c r="I104" s="85">
        <f t="shared" si="24"/>
        <v>63034205.774666667</v>
      </c>
      <c r="J104" s="85">
        <f t="shared" si="24"/>
        <v>84860701.324666679</v>
      </c>
      <c r="K104" s="85">
        <f t="shared" si="24"/>
        <v>68218729.554666668</v>
      </c>
      <c r="L104" s="85">
        <f t="shared" si="24"/>
        <v>67573285.934666663</v>
      </c>
      <c r="M104" s="85">
        <f t="shared" si="24"/>
        <v>77752915.334666669</v>
      </c>
      <c r="N104" s="85">
        <f t="shared" si="24"/>
        <v>64588135.274666667</v>
      </c>
      <c r="O104" s="85">
        <f t="shared" si="24"/>
        <v>73749748.834666669</v>
      </c>
      <c r="P104" s="85">
        <f t="shared" si="24"/>
        <v>94904927.814666644</v>
      </c>
      <c r="Q104" s="85">
        <f t="shared" si="24"/>
        <v>86693469.254666656</v>
      </c>
      <c r="R104" s="86">
        <f t="shared" si="24"/>
        <v>111297123.47466663</v>
      </c>
      <c r="S104" s="111">
        <f t="shared" si="20"/>
        <v>919379902.71000004</v>
      </c>
      <c r="T104" s="463">
        <f t="shared" si="21"/>
        <v>17.325868813319765</v>
      </c>
      <c r="U104" s="311"/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Bruto zarade i doprinosi na teret poslodavca</v>
      </c>
      <c r="C105" s="571"/>
      <c r="D105" s="571"/>
      <c r="E105" s="571"/>
      <c r="F105" s="571"/>
      <c r="G105" s="87">
        <v>42116720.066666663</v>
      </c>
      <c r="H105" s="87">
        <v>45499255.106666669</v>
      </c>
      <c r="I105" s="87">
        <v>45488297.416666664</v>
      </c>
      <c r="J105" s="87">
        <v>45488827.916666664</v>
      </c>
      <c r="K105" s="87">
        <v>45489920.406666666</v>
      </c>
      <c r="L105" s="87">
        <v>45490305.276666664</v>
      </c>
      <c r="M105" s="87">
        <v>45491132.876666665</v>
      </c>
      <c r="N105" s="87">
        <v>45491395.996666662</v>
      </c>
      <c r="O105" s="87">
        <v>45493143.776666671</v>
      </c>
      <c r="P105" s="87">
        <v>45484722.336666659</v>
      </c>
      <c r="Q105" s="87">
        <v>45482593.13666667</v>
      </c>
      <c r="R105" s="87">
        <v>48884659.376666658</v>
      </c>
      <c r="S105" s="112">
        <f t="shared" si="20"/>
        <v>545900973.68999994</v>
      </c>
      <c r="T105" s="464">
        <f t="shared" si="21"/>
        <v>10.28759561454093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Ostala lična primanja</v>
      </c>
      <c r="C106" s="571"/>
      <c r="D106" s="571"/>
      <c r="E106" s="571"/>
      <c r="F106" s="571"/>
      <c r="G106" s="87">
        <v>1113156.94</v>
      </c>
      <c r="H106" s="87">
        <v>1189148.69</v>
      </c>
      <c r="I106" s="87">
        <v>1150630.3799999999</v>
      </c>
      <c r="J106" s="87">
        <v>1115859.3500000001</v>
      </c>
      <c r="K106" s="87">
        <v>1113157.98</v>
      </c>
      <c r="L106" s="87">
        <v>1112991.68</v>
      </c>
      <c r="M106" s="87">
        <v>1113353.42</v>
      </c>
      <c r="N106" s="87">
        <v>1112760.3500000001</v>
      </c>
      <c r="O106" s="87">
        <v>1144213.94</v>
      </c>
      <c r="P106" s="87">
        <v>1112009.69</v>
      </c>
      <c r="Q106" s="87">
        <v>1111152.95</v>
      </c>
      <c r="R106" s="87">
        <v>1104831.2399999995</v>
      </c>
      <c r="S106" s="112">
        <f t="shared" si="20"/>
        <v>13493266.609999998</v>
      </c>
      <c r="T106" s="464">
        <f t="shared" si="21"/>
        <v>0.25428287746871697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Rashodi za materijal</v>
      </c>
      <c r="C107" s="571"/>
      <c r="D107" s="571"/>
      <c r="E107" s="571"/>
      <c r="F107" s="571"/>
      <c r="G107" s="87">
        <v>2009465.7299999995</v>
      </c>
      <c r="H107" s="87">
        <v>2874795.7299999991</v>
      </c>
      <c r="I107" s="87">
        <v>1986301.3299999996</v>
      </c>
      <c r="J107" s="87">
        <v>1956746.52</v>
      </c>
      <c r="K107" s="87">
        <v>1959377.06</v>
      </c>
      <c r="L107" s="87">
        <v>1959339.96</v>
      </c>
      <c r="M107" s="87">
        <v>4223114</v>
      </c>
      <c r="N107" s="87">
        <v>2325347.7000000002</v>
      </c>
      <c r="O107" s="87">
        <v>4227180.45</v>
      </c>
      <c r="P107" s="87">
        <v>5830846.0499999989</v>
      </c>
      <c r="Q107" s="87">
        <v>5816682.6699999999</v>
      </c>
      <c r="R107" s="87">
        <v>5818746.4899999993</v>
      </c>
      <c r="S107" s="112">
        <f t="shared" si="20"/>
        <v>40987943.689999998</v>
      </c>
      <c r="T107" s="464">
        <f t="shared" si="21"/>
        <v>0.77242468886627469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Rashodi za usluge</v>
      </c>
      <c r="C108" s="571"/>
      <c r="D108" s="571"/>
      <c r="E108" s="571"/>
      <c r="F108" s="571"/>
      <c r="G108" s="87">
        <v>3521944.0499999989</v>
      </c>
      <c r="H108" s="87">
        <v>3202572.2000000016</v>
      </c>
      <c r="I108" s="87">
        <v>3202153.21</v>
      </c>
      <c r="J108" s="87">
        <v>3981055.8700000015</v>
      </c>
      <c r="K108" s="87">
        <v>3966204.5600000015</v>
      </c>
      <c r="L108" s="87">
        <v>4355673.6900000004</v>
      </c>
      <c r="M108" s="87">
        <v>7092836.1399999987</v>
      </c>
      <c r="N108" s="87">
        <v>4331849.03</v>
      </c>
      <c r="O108" s="87">
        <v>6165776.4499999974</v>
      </c>
      <c r="P108" s="87">
        <v>7804737.9599999953</v>
      </c>
      <c r="Q108" s="87">
        <v>7600289.8199999947</v>
      </c>
      <c r="R108" s="87">
        <v>8102383.2499999963</v>
      </c>
      <c r="S108" s="112">
        <f t="shared" si="20"/>
        <v>63327476.229999989</v>
      </c>
      <c r="T108" s="464">
        <f t="shared" si="21"/>
        <v>1.1934169348334085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Rashodi za tekuće održavanje</v>
      </c>
      <c r="C109" s="571"/>
      <c r="D109" s="571"/>
      <c r="E109" s="571"/>
      <c r="F109" s="571"/>
      <c r="G109" s="87">
        <v>1482084.5400000005</v>
      </c>
      <c r="H109" s="87">
        <v>1461485.3000000003</v>
      </c>
      <c r="I109" s="87">
        <v>1646265.1700000002</v>
      </c>
      <c r="J109" s="87">
        <v>1750230.6700000004</v>
      </c>
      <c r="K109" s="87">
        <v>1756101.9100000004</v>
      </c>
      <c r="L109" s="87">
        <v>1756101.9100000004</v>
      </c>
      <c r="M109" s="87">
        <v>2627886.0200000009</v>
      </c>
      <c r="N109" s="87">
        <v>1747230.6700000004</v>
      </c>
      <c r="O109" s="87">
        <v>2627886.0200000009</v>
      </c>
      <c r="P109" s="87">
        <v>3499649.6000000006</v>
      </c>
      <c r="Q109" s="87">
        <v>3488586.12</v>
      </c>
      <c r="R109" s="87">
        <v>4278426.8899999997</v>
      </c>
      <c r="S109" s="112">
        <f t="shared" si="20"/>
        <v>28121934.820000008</v>
      </c>
      <c r="T109" s="464">
        <f t="shared" si="21"/>
        <v>0.52996258894919357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Kamate</v>
      </c>
      <c r="C110" s="571"/>
      <c r="D110" s="571"/>
      <c r="E110" s="571"/>
      <c r="F110" s="571"/>
      <c r="G110" s="87">
        <v>4229041.6800000006</v>
      </c>
      <c r="H110" s="87">
        <v>1039259.3500000003</v>
      </c>
      <c r="I110" s="87">
        <v>1331158.92</v>
      </c>
      <c r="J110" s="87">
        <v>22646995.380000003</v>
      </c>
      <c r="K110" s="87">
        <v>6067854.2499999991</v>
      </c>
      <c r="L110" s="87">
        <v>5081336.79</v>
      </c>
      <c r="M110" s="87">
        <v>4060077.8100000005</v>
      </c>
      <c r="N110" s="87">
        <v>1150681.1799999997</v>
      </c>
      <c r="O110" s="87">
        <v>1101986.1700000002</v>
      </c>
      <c r="P110" s="87">
        <v>13628170.610000001</v>
      </c>
      <c r="Q110" s="87">
        <v>5965119.169999999</v>
      </c>
      <c r="R110" s="87">
        <v>26242568.399999999</v>
      </c>
      <c r="S110" s="112">
        <f t="shared" si="20"/>
        <v>92544249.710000008</v>
      </c>
      <c r="T110" s="464">
        <f t="shared" si="21"/>
        <v>1.7440119423714762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Renta</v>
      </c>
      <c r="C111" s="571"/>
      <c r="D111" s="571"/>
      <c r="E111" s="571"/>
      <c r="F111" s="571"/>
      <c r="G111" s="87">
        <v>1114759.2699999998</v>
      </c>
      <c r="H111" s="87">
        <v>962655.17999999982</v>
      </c>
      <c r="I111" s="87">
        <v>962640.17999999982</v>
      </c>
      <c r="J111" s="87">
        <v>962640.17999999982</v>
      </c>
      <c r="K111" s="87">
        <v>962625.18999999983</v>
      </c>
      <c r="L111" s="87">
        <v>962625.17999999982</v>
      </c>
      <c r="M111" s="87">
        <v>962625.18999999983</v>
      </c>
      <c r="N111" s="87">
        <v>962625.17999999982</v>
      </c>
      <c r="O111" s="87">
        <v>962625.17999999982</v>
      </c>
      <c r="P111" s="87">
        <v>961836.57999999984</v>
      </c>
      <c r="Q111" s="87">
        <v>789373.07</v>
      </c>
      <c r="R111" s="87">
        <v>789374.13</v>
      </c>
      <c r="S111" s="112">
        <f t="shared" si="20"/>
        <v>11356404.51</v>
      </c>
      <c r="T111" s="464">
        <f t="shared" si="21"/>
        <v>0.21401335199004975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Subvencije</v>
      </c>
      <c r="C112" s="571"/>
      <c r="D112" s="571"/>
      <c r="E112" s="571"/>
      <c r="F112" s="571"/>
      <c r="G112" s="87">
        <v>3647138.83</v>
      </c>
      <c r="H112" s="87">
        <v>3917138.83</v>
      </c>
      <c r="I112" s="87">
        <v>3632138.83</v>
      </c>
      <c r="J112" s="87">
        <v>3632138.83</v>
      </c>
      <c r="K112" s="87">
        <v>3444638.83</v>
      </c>
      <c r="L112" s="87">
        <v>3444638.83</v>
      </c>
      <c r="M112" s="87">
        <v>6055944.3200000003</v>
      </c>
      <c r="N112" s="87">
        <v>3444638.83</v>
      </c>
      <c r="O112" s="87">
        <v>6055944.3200000003</v>
      </c>
      <c r="P112" s="87">
        <v>8667249.7999999989</v>
      </c>
      <c r="Q112" s="87">
        <v>8667249.7999999989</v>
      </c>
      <c r="R112" s="87">
        <v>8667249.9299999978</v>
      </c>
      <c r="S112" s="112">
        <f t="shared" si="20"/>
        <v>63276109.979999989</v>
      </c>
      <c r="T112" s="464">
        <f t="shared" si="21"/>
        <v>1.1924489292175484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Ostali izdaci</v>
      </c>
      <c r="C113" s="571"/>
      <c r="D113" s="571"/>
      <c r="E113" s="571"/>
      <c r="F113" s="571"/>
      <c r="G113" s="87">
        <v>3316341.6399999992</v>
      </c>
      <c r="H113" s="87">
        <v>4009697</v>
      </c>
      <c r="I113" s="87">
        <v>3634620.3380000009</v>
      </c>
      <c r="J113" s="87">
        <v>3326206.6079999981</v>
      </c>
      <c r="K113" s="87">
        <v>3458849.3679999984</v>
      </c>
      <c r="L113" s="87">
        <v>3410272.6179999989</v>
      </c>
      <c r="M113" s="87">
        <v>6125945.5580000011</v>
      </c>
      <c r="N113" s="87">
        <v>4021606.3380000009</v>
      </c>
      <c r="O113" s="87">
        <v>5970992.5280000009</v>
      </c>
      <c r="P113" s="87">
        <v>7915705.1879999992</v>
      </c>
      <c r="Q113" s="87">
        <v>7772422.5180000002</v>
      </c>
      <c r="R113" s="87">
        <v>7408883.7679999992</v>
      </c>
      <c r="S113" s="112">
        <f t="shared" si="20"/>
        <v>60371543.469999999</v>
      </c>
      <c r="T113" s="464">
        <f t="shared" si="21"/>
        <v>1.137711885082165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Transferi za socijalnu zaštitu</v>
      </c>
      <c r="C114" s="567"/>
      <c r="D114" s="567"/>
      <c r="E114" s="567"/>
      <c r="F114" s="567"/>
      <c r="G114" s="84">
        <f t="shared" ref="G114:R114" si="25">+SUM(G115:G119)</f>
        <v>51655501.199880958</v>
      </c>
      <c r="H114" s="84">
        <f t="shared" si="25"/>
        <v>50843848.149880961</v>
      </c>
      <c r="I114" s="84">
        <f t="shared" si="25"/>
        <v>52476514.839880966</v>
      </c>
      <c r="J114" s="84">
        <f t="shared" si="25"/>
        <v>51481848.149880961</v>
      </c>
      <c r="K114" s="84">
        <f t="shared" si="25"/>
        <v>55008848.149880961</v>
      </c>
      <c r="L114" s="84">
        <f t="shared" si="25"/>
        <v>55102848.149880961</v>
      </c>
      <c r="M114" s="84">
        <f t="shared" si="25"/>
        <v>54796848.149880961</v>
      </c>
      <c r="N114" s="84">
        <f t="shared" si="25"/>
        <v>55319453.584166676</v>
      </c>
      <c r="O114" s="84">
        <f t="shared" si="25"/>
        <v>54859133.86416667</v>
      </c>
      <c r="P114" s="84">
        <f t="shared" si="25"/>
        <v>55191133.86416667</v>
      </c>
      <c r="Q114" s="84">
        <f t="shared" si="25"/>
        <v>56919133.86416667</v>
      </c>
      <c r="R114" s="84">
        <f t="shared" si="25"/>
        <v>58092982.564166665</v>
      </c>
      <c r="S114" s="113">
        <f t="shared" si="20"/>
        <v>651748094.52999997</v>
      </c>
      <c r="T114" s="465">
        <f t="shared" si="21"/>
        <v>12.282302399555252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Prava iz oblasti socijalne zaštite</v>
      </c>
      <c r="C115" s="571"/>
      <c r="D115" s="571"/>
      <c r="E115" s="571"/>
      <c r="F115" s="571"/>
      <c r="G115" s="87">
        <v>9199047.6323809531</v>
      </c>
      <c r="H115" s="87">
        <v>9199047.6323809531</v>
      </c>
      <c r="I115" s="87">
        <v>9199047.6323809531</v>
      </c>
      <c r="J115" s="87">
        <v>9199047.6323809531</v>
      </c>
      <c r="K115" s="87">
        <v>12324047.632380953</v>
      </c>
      <c r="L115" s="87">
        <v>12324047.632380953</v>
      </c>
      <c r="M115" s="87">
        <v>12324047.632380953</v>
      </c>
      <c r="N115" s="87">
        <v>11938333.346666668</v>
      </c>
      <c r="O115" s="87">
        <v>11938333.346666668</v>
      </c>
      <c r="P115" s="87">
        <v>11938333.346666668</v>
      </c>
      <c r="Q115" s="87">
        <v>14138333.346666666</v>
      </c>
      <c r="R115" s="87">
        <v>14138333.186666667</v>
      </c>
      <c r="S115" s="112">
        <f t="shared" si="20"/>
        <v>137860000</v>
      </c>
      <c r="T115" s="464">
        <f t="shared" si="21"/>
        <v>2.5979948741142773</v>
      </c>
    </row>
    <row r="116" spans="1:22">
      <c r="A116" s="116" t="str">
        <f t="shared" si="17"/>
        <v>422p</v>
      </c>
      <c r="B116" s="570" t="str">
        <f>+VLOOKUP(LEFT($A116,LEN(A116)-1)*1,Master!$D$29:$G$228,4,FALSE)</f>
        <v>Sredstva za tehnološke viškove</v>
      </c>
      <c r="C116" s="571"/>
      <c r="D116" s="571"/>
      <c r="E116" s="571"/>
      <c r="F116" s="571"/>
      <c r="G116" s="87">
        <v>2893986.39</v>
      </c>
      <c r="H116" s="87">
        <v>2291666.67</v>
      </c>
      <c r="I116" s="87">
        <v>2291666.67</v>
      </c>
      <c r="J116" s="87">
        <v>2291666.67</v>
      </c>
      <c r="K116" s="87">
        <v>2291666.67</v>
      </c>
      <c r="L116" s="87">
        <v>2291666.67</v>
      </c>
      <c r="M116" s="87">
        <v>2291666.67</v>
      </c>
      <c r="N116" s="87">
        <v>2893986.39</v>
      </c>
      <c r="O116" s="87">
        <v>2291666.67</v>
      </c>
      <c r="P116" s="87">
        <v>2291666.67</v>
      </c>
      <c r="Q116" s="87">
        <v>2291666.67</v>
      </c>
      <c r="R116" s="87">
        <v>2425515.4899999998</v>
      </c>
      <c r="S116" s="112">
        <f t="shared" si="20"/>
        <v>28838488.300000001</v>
      </c>
      <c r="T116" s="464">
        <f t="shared" si="21"/>
        <v>0.5434661597316448</v>
      </c>
    </row>
    <row r="117" spans="1:22">
      <c r="A117" s="116" t="str">
        <f t="shared" si="17"/>
        <v>423p</v>
      </c>
      <c r="B117" s="570" t="str">
        <f>+VLOOKUP(LEFT($A117,LEN(A117)-1)*1,Master!$D$29:$G$228,4,FALSE)</f>
        <v>Prava iz oblasti penzijskog i invalidskog osiguranja</v>
      </c>
      <c r="C117" s="571"/>
      <c r="D117" s="571"/>
      <c r="E117" s="571"/>
      <c r="F117" s="571"/>
      <c r="G117" s="87">
        <v>38029133.847500004</v>
      </c>
      <c r="H117" s="87">
        <v>38029133.847500004</v>
      </c>
      <c r="I117" s="87">
        <v>38029133.847500004</v>
      </c>
      <c r="J117" s="87">
        <v>38029133.847500004</v>
      </c>
      <c r="K117" s="87">
        <v>38029133.847500004</v>
      </c>
      <c r="L117" s="87">
        <v>38029133.847500004</v>
      </c>
      <c r="M117" s="87">
        <v>38029133.847500004</v>
      </c>
      <c r="N117" s="87">
        <v>38029133.847500004</v>
      </c>
      <c r="O117" s="87">
        <v>38029133.847500004</v>
      </c>
      <c r="P117" s="87">
        <v>38929133.847500004</v>
      </c>
      <c r="Q117" s="87">
        <v>38929133.847500004</v>
      </c>
      <c r="R117" s="87">
        <v>38929133.907499999</v>
      </c>
      <c r="S117" s="112">
        <f t="shared" si="20"/>
        <v>459049606.23000014</v>
      </c>
      <c r="T117" s="464">
        <f t="shared" si="21"/>
        <v>8.6508669951379478</v>
      </c>
    </row>
    <row r="118" spans="1:22">
      <c r="A118" s="116" t="str">
        <f t="shared" si="17"/>
        <v>424p</v>
      </c>
      <c r="B118" s="570" t="str">
        <f>+VLOOKUP(LEFT($A118,LEN(A118)-1)*1,Master!$D$29:$G$228,4,FALSE)</f>
        <v>Ostala prava iz oblasti zdravstvene zaštite</v>
      </c>
      <c r="C118" s="571"/>
      <c r="D118" s="571"/>
      <c r="E118" s="571"/>
      <c r="F118" s="571"/>
      <c r="G118" s="87">
        <v>943333.33</v>
      </c>
      <c r="H118" s="87">
        <v>852000</v>
      </c>
      <c r="I118" s="87">
        <v>1186666.67</v>
      </c>
      <c r="J118" s="87">
        <v>1136000</v>
      </c>
      <c r="K118" s="87">
        <v>1420000</v>
      </c>
      <c r="L118" s="87">
        <v>1278000</v>
      </c>
      <c r="M118" s="87">
        <v>1562000</v>
      </c>
      <c r="N118" s="87">
        <v>1278000</v>
      </c>
      <c r="O118" s="87">
        <v>1420000</v>
      </c>
      <c r="P118" s="87">
        <v>852000</v>
      </c>
      <c r="Q118" s="87">
        <v>852000</v>
      </c>
      <c r="R118" s="87">
        <v>1420000</v>
      </c>
      <c r="S118" s="112">
        <f t="shared" si="20"/>
        <v>14200000</v>
      </c>
      <c r="T118" s="464">
        <f t="shared" si="21"/>
        <v>0.26760138700437208</v>
      </c>
    </row>
    <row r="119" spans="1:22">
      <c r="A119" s="116" t="str">
        <f t="shared" si="17"/>
        <v>425p</v>
      </c>
      <c r="B119" s="570" t="str">
        <f>+VLOOKUP(LEFT($A119,LEN(A119)-1)*1,Master!$D$29:$G$228,4,FALSE)</f>
        <v>Ostala prava iz zdravstvenog osiguranja</v>
      </c>
      <c r="C119" s="571"/>
      <c r="D119" s="571"/>
      <c r="E119" s="571"/>
      <c r="F119" s="571"/>
      <c r="G119" s="87">
        <v>590000</v>
      </c>
      <c r="H119" s="87">
        <v>472000</v>
      </c>
      <c r="I119" s="87">
        <v>1770000.02</v>
      </c>
      <c r="J119" s="87">
        <v>826000</v>
      </c>
      <c r="K119" s="87">
        <v>944000</v>
      </c>
      <c r="L119" s="87">
        <v>1180000</v>
      </c>
      <c r="M119" s="87">
        <v>590000</v>
      </c>
      <c r="N119" s="87">
        <v>1180000</v>
      </c>
      <c r="O119" s="87">
        <v>1180000</v>
      </c>
      <c r="P119" s="87">
        <v>1180000</v>
      </c>
      <c r="Q119" s="87">
        <v>708000</v>
      </c>
      <c r="R119" s="87">
        <v>1179999.98</v>
      </c>
      <c r="S119" s="112">
        <f t="shared" si="20"/>
        <v>11800000</v>
      </c>
      <c r="T119" s="464">
        <f t="shared" si="21"/>
        <v>0.2223729835670134</v>
      </c>
    </row>
    <row r="120" spans="1:22">
      <c r="A120" s="116" t="str">
        <f t="shared" si="17"/>
        <v>43p</v>
      </c>
      <c r="B120" s="568" t="str">
        <f>+VLOOKUP(LEFT($A120,LEN(A120)-1)*1,Master!$D$29:$G$228,4,FALSE)</f>
        <v xml:space="preserve">Transferi institucijama, pojedincima, nevladinom i javnom sektoru </v>
      </c>
      <c r="C120" s="569"/>
      <c r="D120" s="569"/>
      <c r="E120" s="569"/>
      <c r="F120" s="569"/>
      <c r="G120" s="83">
        <v>22444871.560000002</v>
      </c>
      <c r="H120" s="83">
        <v>23941685.57</v>
      </c>
      <c r="I120" s="83">
        <v>26995988.960000001</v>
      </c>
      <c r="J120" s="83">
        <v>20625695.450000003</v>
      </c>
      <c r="K120" s="83">
        <v>20912992.140000004</v>
      </c>
      <c r="L120" s="83">
        <v>21015003.09</v>
      </c>
      <c r="M120" s="83">
        <v>20912172.160000004</v>
      </c>
      <c r="N120" s="83">
        <v>22653446.830000002</v>
      </c>
      <c r="O120" s="83">
        <v>24411188.830000002</v>
      </c>
      <c r="P120" s="83">
        <v>21012710.830000002</v>
      </c>
      <c r="Q120" s="83">
        <v>20910855.890000001</v>
      </c>
      <c r="R120" s="83">
        <v>20257657.990000002</v>
      </c>
      <c r="S120" s="113">
        <f>+SUM(G120:R120)</f>
        <v>266094269.30000007</v>
      </c>
      <c r="T120" s="465">
        <f t="shared" si="21"/>
        <v>5.0145912351123183</v>
      </c>
    </row>
    <row r="121" spans="1:22">
      <c r="A121" s="116" t="str">
        <f t="shared" si="17"/>
        <v>44p</v>
      </c>
      <c r="B121" s="568" t="str">
        <f>+VLOOKUP(LEFT($A121,LEN(A121)-1)*1,Master!$D$29:$G$228,4,FALSE)</f>
        <v>Kapitalni izdaci</v>
      </c>
      <c r="C121" s="569"/>
      <c r="D121" s="569"/>
      <c r="E121" s="569"/>
      <c r="F121" s="569"/>
      <c r="G121" s="83">
        <v>19668608.670000002</v>
      </c>
      <c r="H121" s="83">
        <v>15424249.750000004</v>
      </c>
      <c r="I121" s="83">
        <v>18221026.579999998</v>
      </c>
      <c r="J121" s="83">
        <v>19416173.270000003</v>
      </c>
      <c r="K121" s="83">
        <v>27382772.230000004</v>
      </c>
      <c r="L121" s="83">
        <v>27488572.200000007</v>
      </c>
      <c r="M121" s="83">
        <v>20098257.600000001</v>
      </c>
      <c r="N121" s="83">
        <v>17598879.450000007</v>
      </c>
      <c r="O121" s="83">
        <v>22458179.949999999</v>
      </c>
      <c r="P121" s="83">
        <v>24388161.529999994</v>
      </c>
      <c r="Q121" s="83">
        <v>22932795.809999995</v>
      </c>
      <c r="R121" s="83">
        <v>25199038.249999996</v>
      </c>
      <c r="S121" s="113">
        <f>+SUM(G121:R121)</f>
        <v>260276715.29000002</v>
      </c>
      <c r="T121" s="465">
        <f t="shared" si="21"/>
        <v>4.9049584518694411</v>
      </c>
    </row>
    <row r="122" spans="1:22">
      <c r="A122" s="116" t="str">
        <f t="shared" si="17"/>
        <v>451p</v>
      </c>
      <c r="B122" s="560" t="str">
        <f>+VLOOKUP(LEFT($A122,LEN(A122)-1)*1,Master!$D$29:$G$228,4,FALSE)</f>
        <v>Pozajmice i krediti</v>
      </c>
      <c r="C122" s="561"/>
      <c r="D122" s="561"/>
      <c r="E122" s="561"/>
      <c r="F122" s="561"/>
      <c r="G122" s="87">
        <v>2000.08</v>
      </c>
      <c r="H122" s="87">
        <v>243666.74</v>
      </c>
      <c r="I122" s="87">
        <v>2000.08</v>
      </c>
      <c r="J122" s="87">
        <v>243666.74</v>
      </c>
      <c r="K122" s="87">
        <v>2000.08</v>
      </c>
      <c r="L122" s="87">
        <v>243666.74</v>
      </c>
      <c r="M122" s="87">
        <v>2000.08</v>
      </c>
      <c r="N122" s="87">
        <v>243666.74</v>
      </c>
      <c r="O122" s="87">
        <v>2000.08</v>
      </c>
      <c r="P122" s="87">
        <v>243666.74</v>
      </c>
      <c r="Q122" s="87">
        <v>2000.08</v>
      </c>
      <c r="R122" s="87">
        <v>243666.82</v>
      </c>
      <c r="S122" s="112">
        <f t="shared" si="20"/>
        <v>1474001</v>
      </c>
      <c r="T122" s="464">
        <f t="shared" si="21"/>
        <v>2.7777796622945876E-2</v>
      </c>
    </row>
    <row r="123" spans="1:22">
      <c r="A123" s="116" t="str">
        <f t="shared" si="17"/>
        <v>47p</v>
      </c>
      <c r="B123" s="560" t="str">
        <f>+VLOOKUP(LEFT($A123,LEN(A123)-1)*1,Master!$D$29:$G$228,4,FALSE)</f>
        <v>Rezerve</v>
      </c>
      <c r="C123" s="561"/>
      <c r="D123" s="561"/>
      <c r="E123" s="561"/>
      <c r="F123" s="561"/>
      <c r="G123" s="87">
        <v>3372117.68</v>
      </c>
      <c r="H123" s="87">
        <v>3372117.68</v>
      </c>
      <c r="I123" s="87">
        <v>3372117.68</v>
      </c>
      <c r="J123" s="87">
        <v>3372117.68</v>
      </c>
      <c r="K123" s="87">
        <v>3372117.68</v>
      </c>
      <c r="L123" s="87">
        <v>3372117.68</v>
      </c>
      <c r="M123" s="87">
        <v>0</v>
      </c>
      <c r="N123" s="87">
        <v>6744235.3600000003</v>
      </c>
      <c r="O123" s="87">
        <v>6744235.3600000003</v>
      </c>
      <c r="P123" s="87">
        <v>6744235.3600000003</v>
      </c>
      <c r="Q123" s="87">
        <v>10116353.029999999</v>
      </c>
      <c r="R123" s="87">
        <v>16860588.399999999</v>
      </c>
      <c r="S123" s="112">
        <f t="shared" si="20"/>
        <v>67442353.590000004</v>
      </c>
      <c r="T123" s="464">
        <f t="shared" si="21"/>
        <v>1.2709624903889642</v>
      </c>
    </row>
    <row r="124" spans="1:22">
      <c r="A124" s="116" t="str">
        <f t="shared" si="17"/>
        <v>462p</v>
      </c>
      <c r="B124" s="560" t="str">
        <f>+VLOOKUP(LEFT($A124,LEN(A124)-1)*1,Master!$D$29:$G$228,4,FALSE)</f>
        <v>Otplata garancija</v>
      </c>
      <c r="C124" s="561"/>
      <c r="D124" s="561"/>
      <c r="E124" s="561"/>
      <c r="F124" s="561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0</v>
      </c>
      <c r="T124" s="464">
        <f t="shared" si="21"/>
        <v>0</v>
      </c>
    </row>
    <row r="125" spans="1:22">
      <c r="A125" s="117" t="str">
        <f t="shared" si="17"/>
        <v>4630p</v>
      </c>
      <c r="B125" s="560" t="str">
        <f>+VLOOKUP(LEFT($A125,LEN(A125)-1)*1,Master!$D$29:$G$228,4,FALSE)</f>
        <v>Otplata obaveza iz prethodnog perioda</v>
      </c>
      <c r="C125" s="561"/>
      <c r="D125" s="561"/>
      <c r="E125" s="561"/>
      <c r="F125" s="561"/>
      <c r="G125" s="87">
        <v>18137694.66</v>
      </c>
      <c r="H125" s="87">
        <v>1656073.6600000036</v>
      </c>
      <c r="I125" s="87">
        <v>1656073.6600000036</v>
      </c>
      <c r="J125" s="87">
        <v>1656073.6600000036</v>
      </c>
      <c r="K125" s="87">
        <v>1656073.6600000036</v>
      </c>
      <c r="L125" s="87">
        <v>1656073.6600000036</v>
      </c>
      <c r="M125" s="87">
        <v>1656073.6600000036</v>
      </c>
      <c r="N125" s="87">
        <v>1656073.6600000036</v>
      </c>
      <c r="O125" s="87">
        <v>1656073.6600000036</v>
      </c>
      <c r="P125" s="87">
        <v>1656073.6600000036</v>
      </c>
      <c r="Q125" s="87">
        <v>1656073.6600000036</v>
      </c>
      <c r="R125" s="87">
        <v>1656077.7000000055</v>
      </c>
      <c r="S125" s="103">
        <f>+SUM(G125:R125)</f>
        <v>36354508.960000038</v>
      </c>
      <c r="T125" s="472">
        <f t="shared" si="21"/>
        <v>0.68510683250414672</v>
      </c>
      <c r="V125" s="257"/>
    </row>
    <row r="126" spans="1:22" ht="13.5" thickBot="1">
      <c r="A126" s="116" t="str">
        <f t="shared" si="17"/>
        <v>1005p</v>
      </c>
      <c r="B126" s="560" t="str">
        <f>+VLOOKUP(LEFT($A126,LEN(A126)-1)*1,Master!$D$29:$G$228,4,FALSE)</f>
        <v>Neto povećanje obaveza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17"/>
        <v>1000p</v>
      </c>
      <c r="B127" s="562" t="str">
        <f>+VLOOKUP(LEFT($A127,LEN(A127)-1)*1,Master!$D$29:$G$225,4,FALSE)</f>
        <v>Suficit / deficit</v>
      </c>
      <c r="C127" s="563"/>
      <c r="D127" s="563"/>
      <c r="E127" s="563"/>
      <c r="F127" s="563"/>
      <c r="G127" s="93">
        <f t="shared" ref="G127:R127" si="26">+G84-G103</f>
        <v>-73947853.862364858</v>
      </c>
      <c r="H127" s="93">
        <f t="shared" si="26"/>
        <v>-47248211.594009668</v>
      </c>
      <c r="I127" s="93">
        <f t="shared" si="26"/>
        <v>-15934607.478495538</v>
      </c>
      <c r="J127" s="93">
        <f t="shared" si="26"/>
        <v>-19767268.586634815</v>
      </c>
      <c r="K127" s="93">
        <f t="shared" si="26"/>
        <v>-35920044.116679221</v>
      </c>
      <c r="L127" s="93">
        <f t="shared" si="26"/>
        <v>-12883598.418680429</v>
      </c>
      <c r="M127" s="93">
        <f t="shared" si="26"/>
        <v>13795172.844091207</v>
      </c>
      <c r="N127" s="93">
        <f t="shared" si="26"/>
        <v>26365456.819027275</v>
      </c>
      <c r="O127" s="93">
        <f t="shared" si="26"/>
        <v>-10560627.115862072</v>
      </c>
      <c r="P127" s="93">
        <f t="shared" si="26"/>
        <v>-35825034.003460407</v>
      </c>
      <c r="Q127" s="93">
        <f t="shared" si="26"/>
        <v>-38275991.421390682</v>
      </c>
      <c r="R127" s="93">
        <f t="shared" si="26"/>
        <v>-17809619.345466137</v>
      </c>
      <c r="S127" s="106">
        <f t="shared" si="20"/>
        <v>-268012226.27992535</v>
      </c>
      <c r="T127" s="470">
        <f t="shared" si="21"/>
        <v>-5.0507354568054676</v>
      </c>
      <c r="U127" s="257"/>
    </row>
    <row r="128" spans="1:22" ht="13.5" thickBot="1">
      <c r="A128" s="117" t="str">
        <f t="shared" si="17"/>
        <v>1001p</v>
      </c>
      <c r="B128" s="564" t="str">
        <f>+VLOOKUP(LEFT($A128,LEN(A128)-1)*1,Master!$D$29:$G$225,4,FALSE)</f>
        <v>Primarni suficit/deficit</v>
      </c>
      <c r="C128" s="565"/>
      <c r="D128" s="565"/>
      <c r="E128" s="565"/>
      <c r="F128" s="565"/>
      <c r="G128" s="94">
        <f>+G127+G110</f>
        <v>-69718812.182364851</v>
      </c>
      <c r="H128" s="94">
        <f t="shared" ref="H128:R128" si="27">+H127+H110</f>
        <v>-46208952.244009666</v>
      </c>
      <c r="I128" s="94">
        <f t="shared" si="27"/>
        <v>-14603448.558495538</v>
      </c>
      <c r="J128" s="94">
        <f t="shared" si="27"/>
        <v>2879726.7933651879</v>
      </c>
      <c r="K128" s="94">
        <f t="shared" si="27"/>
        <v>-29852189.866679221</v>
      </c>
      <c r="L128" s="94">
        <f t="shared" si="27"/>
        <v>-7802261.6286804294</v>
      </c>
      <c r="M128" s="94">
        <f t="shared" si="27"/>
        <v>17855250.654091209</v>
      </c>
      <c r="N128" s="94">
        <f t="shared" si="27"/>
        <v>27516137.999027275</v>
      </c>
      <c r="O128" s="94">
        <f t="shared" si="27"/>
        <v>-9458640.9458620716</v>
      </c>
      <c r="P128" s="94">
        <f t="shared" si="27"/>
        <v>-22196863.393460408</v>
      </c>
      <c r="Q128" s="94">
        <f t="shared" si="27"/>
        <v>-32310872.251390684</v>
      </c>
      <c r="R128" s="94">
        <f t="shared" si="27"/>
        <v>8432949.0545338616</v>
      </c>
      <c r="S128" s="106">
        <f t="shared" si="20"/>
        <v>-175467976.56992534</v>
      </c>
      <c r="T128" s="470">
        <f t="shared" si="21"/>
        <v>-3.3067235144339917</v>
      </c>
    </row>
    <row r="129" spans="1:22">
      <c r="A129" s="117" t="str">
        <f t="shared" si="17"/>
        <v>46p</v>
      </c>
      <c r="B129" s="566" t="str">
        <f>+VLOOKUP(LEFT($A129,LEN(A129)-1)*1,Master!$D$29:$G$225,4,FALSE)</f>
        <v>Otplata dugova</v>
      </c>
      <c r="C129" s="567"/>
      <c r="D129" s="567"/>
      <c r="E129" s="567"/>
      <c r="F129" s="567"/>
      <c r="G129" s="84">
        <f>+SUM(G130:G131)</f>
        <v>25337948.449999999</v>
      </c>
      <c r="H129" s="84">
        <f t="shared" ref="H129:R129" si="28">+SUM(H130:H131)</f>
        <v>6751953.7100000009</v>
      </c>
      <c r="I129" s="84">
        <f t="shared" si="28"/>
        <v>20177043.91</v>
      </c>
      <c r="J129" s="84">
        <f t="shared" si="28"/>
        <v>38170817.960000001</v>
      </c>
      <c r="K129" s="84">
        <f t="shared" si="28"/>
        <v>33612405.640000001</v>
      </c>
      <c r="L129" s="84">
        <f t="shared" si="28"/>
        <v>35886748.219999999</v>
      </c>
      <c r="M129" s="486">
        <f t="shared" ref="M129" si="29">+SUM(M130:M131)</f>
        <v>30442206.460000001</v>
      </c>
      <c r="N129" s="84">
        <f t="shared" si="28"/>
        <v>5677430.3599999994</v>
      </c>
      <c r="O129" s="84">
        <f t="shared" si="28"/>
        <v>18107036.029999997</v>
      </c>
      <c r="P129" s="84">
        <f t="shared" si="28"/>
        <v>5775997.5199999996</v>
      </c>
      <c r="Q129" s="84">
        <f t="shared" si="28"/>
        <v>32374757.629999999</v>
      </c>
      <c r="R129" s="84">
        <f t="shared" si="28"/>
        <v>39839313.869999997</v>
      </c>
      <c r="S129" s="104">
        <f t="shared" si="20"/>
        <v>292153659.75999999</v>
      </c>
      <c r="T129" s="471">
        <f t="shared" si="21"/>
        <v>5.5056848288858733</v>
      </c>
    </row>
    <row r="130" spans="1:22">
      <c r="A130" s="117" t="str">
        <f t="shared" si="17"/>
        <v>4611p</v>
      </c>
      <c r="B130" s="558" t="str">
        <f>+VLOOKUP(LEFT($A130,LEN(A130)-1)*1,Master!$D$29:$G$225,4,FALSE)</f>
        <v>Otplata hartija od vrijednosti i kredita rezidentima</v>
      </c>
      <c r="C130" s="559"/>
      <c r="D130" s="559"/>
      <c r="E130" s="559"/>
      <c r="F130" s="559"/>
      <c r="G130" s="96">
        <v>606624.54</v>
      </c>
      <c r="H130" s="96">
        <v>3087670.22</v>
      </c>
      <c r="I130" s="96">
        <v>2560106.65</v>
      </c>
      <c r="J130" s="96">
        <v>4045881.57</v>
      </c>
      <c r="K130" s="96">
        <v>9184956.459999999</v>
      </c>
      <c r="L130" s="96">
        <v>713784.35</v>
      </c>
      <c r="M130" s="96">
        <v>2434796.27</v>
      </c>
      <c r="N130" s="96">
        <v>2377658.75</v>
      </c>
      <c r="O130" s="96">
        <v>719748.70000000007</v>
      </c>
      <c r="P130" s="96">
        <v>2455451.5699999998</v>
      </c>
      <c r="Q130" s="96">
        <v>9230746.25</v>
      </c>
      <c r="R130" s="96">
        <v>2511430.4300000002</v>
      </c>
      <c r="S130" s="103">
        <f t="shared" si="20"/>
        <v>39928855.759999998</v>
      </c>
      <c r="T130" s="472">
        <f t="shared" si="21"/>
        <v>0.75246599879390919</v>
      </c>
    </row>
    <row r="131" spans="1:22" ht="13.5" thickBot="1">
      <c r="A131" s="117" t="str">
        <f t="shared" si="17"/>
        <v>4612p</v>
      </c>
      <c r="B131" s="560" t="str">
        <f>+VLOOKUP(LEFT($A131,LEN(A131)-1)*1,Master!$D$29:$G$225,4,FALSE)</f>
        <v>Otplata hartija od vrijednosti i kredita nerezidentima</v>
      </c>
      <c r="C131" s="561"/>
      <c r="D131" s="561"/>
      <c r="E131" s="561"/>
      <c r="F131" s="561"/>
      <c r="G131" s="96">
        <v>24731323.91</v>
      </c>
      <c r="H131" s="96">
        <v>3664283.49</v>
      </c>
      <c r="I131" s="96">
        <v>17616937.260000002</v>
      </c>
      <c r="J131" s="96">
        <v>34124936.390000001</v>
      </c>
      <c r="K131" s="96">
        <v>24427449.18</v>
      </c>
      <c r="L131" s="96">
        <v>35172963.869999997</v>
      </c>
      <c r="M131" s="96">
        <v>28007410.190000001</v>
      </c>
      <c r="N131" s="96">
        <v>3299771.61</v>
      </c>
      <c r="O131" s="96">
        <v>17387287.329999998</v>
      </c>
      <c r="P131" s="96">
        <v>3320545.95</v>
      </c>
      <c r="Q131" s="96">
        <v>23144011.379999999</v>
      </c>
      <c r="R131" s="96">
        <v>37327883.439999998</v>
      </c>
      <c r="S131" s="103">
        <f t="shared" si="20"/>
        <v>252224804</v>
      </c>
      <c r="T131" s="472">
        <f t="shared" si="21"/>
        <v>4.7532188300919644</v>
      </c>
      <c r="V131" s="257"/>
    </row>
    <row r="132" spans="1:22" ht="13.5" thickBot="1">
      <c r="A132" s="117" t="str">
        <f t="shared" si="17"/>
        <v>4418p</v>
      </c>
      <c r="B132" s="554" t="str">
        <f>+VLOOKUP(LEFT($A132,LEN(A132)-1)*1,Master!$D$29:$G$225,4,FALSE)</f>
        <v>Izdaci za kupovinu hartija od vrijednosti</v>
      </c>
      <c r="C132" s="555"/>
      <c r="D132" s="555"/>
      <c r="E132" s="555"/>
      <c r="F132" s="555"/>
      <c r="G132" s="93">
        <v>46536.67</v>
      </c>
      <c r="H132" s="93">
        <v>46536.67</v>
      </c>
      <c r="I132" s="93">
        <v>48116.67</v>
      </c>
      <c r="J132" s="93">
        <v>48116.67</v>
      </c>
      <c r="K132" s="93">
        <v>48116.67</v>
      </c>
      <c r="L132" s="93">
        <v>48116.67</v>
      </c>
      <c r="M132" s="93">
        <v>48116.67</v>
      </c>
      <c r="N132" s="93">
        <v>52066.67</v>
      </c>
      <c r="O132" s="93">
        <v>55226.659999999996</v>
      </c>
      <c r="P132" s="93">
        <v>156016.66</v>
      </c>
      <c r="Q132" s="93">
        <v>56016.659999999996</v>
      </c>
      <c r="R132" s="93">
        <v>56016.659999999996</v>
      </c>
      <c r="S132" s="449">
        <f t="shared" si="20"/>
        <v>709000</v>
      </c>
      <c r="T132" s="479">
        <f t="shared" si="21"/>
        <v>1.3361224182119704E-2</v>
      </c>
    </row>
    <row r="133" spans="1:22" ht="13.5" thickBot="1">
      <c r="A133" s="117" t="str">
        <f t="shared" si="17"/>
        <v>1002p</v>
      </c>
      <c r="B133" s="556" t="str">
        <f>+VLOOKUP(LEFT($A133,LEN(A133)-1)*1,Master!$D$29:$G$225,4,FALSE)</f>
        <v>Nedostajuća sredstva</v>
      </c>
      <c r="C133" s="557"/>
      <c r="D133" s="557"/>
      <c r="E133" s="557"/>
      <c r="F133" s="557"/>
      <c r="G133" s="77">
        <f t="shared" ref="G133:R133" si="30">+G127-G129-G132</f>
        <v>-99332338.982364863</v>
      </c>
      <c r="H133" s="77">
        <f t="shared" si="30"/>
        <v>-54046701.97400967</v>
      </c>
      <c r="I133" s="77">
        <f t="shared" si="30"/>
        <v>-36159768.058495536</v>
      </c>
      <c r="J133" s="77">
        <f t="shared" si="30"/>
        <v>-57986203.216634817</v>
      </c>
      <c r="K133" s="77">
        <f t="shared" si="30"/>
        <v>-69580566.426679224</v>
      </c>
      <c r="L133" s="77">
        <f t="shared" si="30"/>
        <v>-48818463.30868043</v>
      </c>
      <c r="M133" s="77">
        <f t="shared" si="30"/>
        <v>-16695150.285908794</v>
      </c>
      <c r="N133" s="77">
        <f t="shared" si="30"/>
        <v>20635959.789027274</v>
      </c>
      <c r="O133" s="77">
        <f t="shared" si="30"/>
        <v>-28722889.805862069</v>
      </c>
      <c r="P133" s="77">
        <f t="shared" si="30"/>
        <v>-41757048.1834604</v>
      </c>
      <c r="Q133" s="77">
        <f t="shared" si="30"/>
        <v>-70706765.711390674</v>
      </c>
      <c r="R133" s="77">
        <f t="shared" si="30"/>
        <v>-57704949.875466131</v>
      </c>
      <c r="S133" s="109">
        <f t="shared" si="20"/>
        <v>-560874886.03992534</v>
      </c>
      <c r="T133" s="474">
        <f t="shared" si="21"/>
        <v>-10.56978150987346</v>
      </c>
    </row>
    <row r="134" spans="1:22" ht="13.5" thickBot="1">
      <c r="A134" s="117" t="str">
        <f t="shared" si="17"/>
        <v>1003p</v>
      </c>
      <c r="B134" s="554" t="str">
        <f>+VLOOKUP(LEFT($A134,LEN(A134)-1)*1,Master!$D$29:$G$225,4,FALSE)</f>
        <v>Finansiranje</v>
      </c>
      <c r="C134" s="555"/>
      <c r="D134" s="555"/>
      <c r="E134" s="555"/>
      <c r="F134" s="555"/>
      <c r="G134" s="93">
        <f t="shared" ref="G134:R134" si="31">+SUM(G135:G138)</f>
        <v>99332338.982364863</v>
      </c>
      <c r="H134" s="93">
        <f t="shared" si="31"/>
        <v>54046701.974009678</v>
      </c>
      <c r="I134" s="93">
        <f t="shared" si="31"/>
        <v>36159768.058495536</v>
      </c>
      <c r="J134" s="93">
        <f t="shared" si="31"/>
        <v>57986203.216634825</v>
      </c>
      <c r="K134" s="93">
        <f t="shared" si="31"/>
        <v>69580566.426679224</v>
      </c>
      <c r="L134" s="93">
        <f t="shared" si="31"/>
        <v>48818463.30868043</v>
      </c>
      <c r="M134" s="93">
        <f t="shared" si="31"/>
        <v>16695150.285908792</v>
      </c>
      <c r="N134" s="93">
        <f t="shared" si="31"/>
        <v>-20635959.789027274</v>
      </c>
      <c r="O134" s="93">
        <f t="shared" si="31"/>
        <v>28722889.805862069</v>
      </c>
      <c r="P134" s="93">
        <f t="shared" si="31"/>
        <v>41757048.1834604</v>
      </c>
      <c r="Q134" s="93">
        <f t="shared" si="31"/>
        <v>70706765.711390674</v>
      </c>
      <c r="R134" s="93">
        <f t="shared" si="31"/>
        <v>57704949.875466131</v>
      </c>
      <c r="S134" s="110">
        <f t="shared" si="20"/>
        <v>560874886.03992534</v>
      </c>
      <c r="T134" s="475">
        <f t="shared" si="21"/>
        <v>10.56978150987346</v>
      </c>
    </row>
    <row r="135" spans="1:22">
      <c r="A135" s="117" t="str">
        <f t="shared" si="17"/>
        <v>7511p</v>
      </c>
      <c r="B135" s="558" t="str">
        <f>+VLOOKUP(LEFT($A135,LEN(A135)-1)*1,Master!$D$29:$G$225,4,FALSE)</f>
        <v>Pozajmice i krediti od domaćih izvora</v>
      </c>
      <c r="C135" s="559"/>
      <c r="D135" s="559"/>
      <c r="E135" s="559"/>
      <c r="F135" s="559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103">
        <f t="shared" si="20"/>
        <v>0</v>
      </c>
      <c r="T135" s="472">
        <f t="shared" si="21"/>
        <v>0</v>
      </c>
    </row>
    <row r="136" spans="1:22">
      <c r="A136" s="117" t="str">
        <f t="shared" si="17"/>
        <v>7512p</v>
      </c>
      <c r="B136" s="560" t="str">
        <f>+VLOOKUP(LEFT($A136,LEN(A136)-1)*1,Master!$D$29:$G$225,4,FALSE)</f>
        <v>Pozajmice i krediti od inostranih izvora</v>
      </c>
      <c r="C136" s="561"/>
      <c r="D136" s="561"/>
      <c r="E136" s="561"/>
      <c r="F136" s="561"/>
      <c r="G136" s="96">
        <v>15942704.472000001</v>
      </c>
      <c r="H136" s="96">
        <v>9994404.4719999991</v>
      </c>
      <c r="I136" s="96">
        <v>9996104.4719999991</v>
      </c>
      <c r="J136" s="96">
        <v>10164404.471999999</v>
      </c>
      <c r="K136" s="96">
        <v>15687704.471999999</v>
      </c>
      <c r="L136" s="96">
        <v>15689404.472000001</v>
      </c>
      <c r="M136" s="96">
        <v>7235729.4720000001</v>
      </c>
      <c r="N136" s="96">
        <v>4684029.4720000001</v>
      </c>
      <c r="O136" s="96">
        <v>66982329.472000003</v>
      </c>
      <c r="P136" s="96">
        <v>4684029.4720000001</v>
      </c>
      <c r="Q136" s="96">
        <v>4539974.0474999994</v>
      </c>
      <c r="R136" s="96">
        <v>4403189.4380000001</v>
      </c>
      <c r="S136" s="103">
        <f t="shared" si="20"/>
        <v>170004008.20550004</v>
      </c>
      <c r="T136" s="472">
        <f t="shared" si="21"/>
        <v>3.203754112119328</v>
      </c>
    </row>
    <row r="137" spans="1:22">
      <c r="A137" s="117" t="str">
        <f t="shared" si="17"/>
        <v>72p</v>
      </c>
      <c r="B137" s="560" t="str">
        <f>+VLOOKUP(LEFT($A137,LEN(A137)-1)*1,Master!$D$29:$G$225,4,FALSE)</f>
        <v>Primici od prodaje imovine</v>
      </c>
      <c r="C137" s="561"/>
      <c r="D137" s="561"/>
      <c r="E137" s="561"/>
      <c r="F137" s="561"/>
      <c r="G137" s="96">
        <v>500000</v>
      </c>
      <c r="H137" s="96">
        <v>500000</v>
      </c>
      <c r="I137" s="96">
        <v>500000</v>
      </c>
      <c r="J137" s="96">
        <v>500000</v>
      </c>
      <c r="K137" s="96">
        <v>500000</v>
      </c>
      <c r="L137" s="96">
        <v>500000</v>
      </c>
      <c r="M137" s="96">
        <v>500000</v>
      </c>
      <c r="N137" s="96">
        <v>500000</v>
      </c>
      <c r="O137" s="96">
        <v>500000</v>
      </c>
      <c r="P137" s="96">
        <v>500000</v>
      </c>
      <c r="Q137" s="96">
        <v>500000</v>
      </c>
      <c r="R137" s="96">
        <v>500000</v>
      </c>
      <c r="S137" s="103">
        <f t="shared" si="20"/>
        <v>6000000</v>
      </c>
      <c r="T137" s="472">
        <f t="shared" si="21"/>
        <v>0.11307100859339667</v>
      </c>
    </row>
    <row r="138" spans="1:22" ht="13.5" thickBot="1">
      <c r="A138" s="117" t="str">
        <f t="shared" si="17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82889634.51036486</v>
      </c>
      <c r="H138" s="97">
        <f t="shared" si="32"/>
        <v>43552297.502009675</v>
      </c>
      <c r="I138" s="97">
        <f t="shared" si="32"/>
        <v>25663663.586495537</v>
      </c>
      <c r="J138" s="97">
        <f t="shared" si="32"/>
        <v>47321798.744634822</v>
      </c>
      <c r="K138" s="97">
        <f t="shared" si="32"/>
        <v>53392861.954679221</v>
      </c>
      <c r="L138" s="97">
        <f t="shared" si="32"/>
        <v>32629058.836680427</v>
      </c>
      <c r="M138" s="97">
        <f t="shared" si="32"/>
        <v>8959420.813908793</v>
      </c>
      <c r="N138" s="97">
        <f t="shared" si="32"/>
        <v>-25819989.261027273</v>
      </c>
      <c r="O138" s="97">
        <f t="shared" si="32"/>
        <v>-38759439.666137934</v>
      </c>
      <c r="P138" s="97">
        <f t="shared" si="32"/>
        <v>36573018.711460397</v>
      </c>
      <c r="Q138" s="97">
        <f t="shared" si="32"/>
        <v>65666791.663890675</v>
      </c>
      <c r="R138" s="97">
        <f t="shared" si="32"/>
        <v>52801760.43746613</v>
      </c>
      <c r="S138" s="105">
        <f t="shared" si="20"/>
        <v>384870877.83442539</v>
      </c>
      <c r="T138" s="476">
        <f t="shared" si="21"/>
        <v>7.2529563891607376</v>
      </c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LzA+XRXCbx5iGG3Wi/TGklz6AKvqHtaHFzpj56qGc3+0TECJVi52AqMej/kNghX29nPSw06fHbGmuYG0n7o0CQ==" saltValue="4wwzdNMruPtDSCQuSu1aiw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2" activePane="bottomLeft" state="frozen"/>
      <selection pane="bottomLeft" activeCell="H20" sqref="H2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812</v>
      </c>
      <c r="H6" s="234" t="s">
        <v>813</v>
      </c>
      <c r="I6" s="234" t="s">
        <v>814</v>
      </c>
      <c r="J6" s="234" t="s">
        <v>815</v>
      </c>
      <c r="K6" s="234" t="s">
        <v>816</v>
      </c>
      <c r="L6" s="234" t="s">
        <v>817</v>
      </c>
      <c r="M6" s="234" t="s">
        <v>818</v>
      </c>
      <c r="N6" s="234" t="s">
        <v>819</v>
      </c>
      <c r="O6" s="234" t="s">
        <v>820</v>
      </c>
      <c r="P6" s="234" t="s">
        <v>821</v>
      </c>
      <c r="Q6" s="234" t="s">
        <v>822</v>
      </c>
      <c r="R6" s="234" t="s">
        <v>823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2021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4881300000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>+G11+G19+SUM(G24:G28)</f>
        <v>88645153.320000008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158964980.91000003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248412432.71000004</v>
      </c>
      <c r="S10" s="239">
        <f>+SUM(G10:R10)</f>
        <v>1911374882.0400002</v>
      </c>
      <c r="T10" s="462">
        <f>+S10/$T$7*100</f>
        <v>39.157086883412212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5">
        <f t="shared" si="3"/>
        <v>0.25898669473296049</v>
      </c>
      <c r="W24" s="305"/>
    </row>
    <row r="25" spans="1:23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v>1525496.04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9339096.8000000007</v>
      </c>
      <c r="S26" s="243">
        <f t="shared" si="4"/>
        <v>59316071.959999993</v>
      </c>
      <c r="T26" s="465">
        <f t="shared" si="3"/>
        <v>1.2151695646651506</v>
      </c>
    </row>
    <row r="27" spans="1:23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5">
        <f t="shared" si="3"/>
        <v>0.20694374715751951</v>
      </c>
    </row>
    <row r="28" spans="1:23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18564970.920000002</v>
      </c>
      <c r="S28" s="243">
        <f t="shared" si="4"/>
        <v>39870023.329999998</v>
      </c>
      <c r="T28" s="466">
        <f t="shared" si="3"/>
        <v>0.81679108700551084</v>
      </c>
    </row>
    <row r="29" spans="1:23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9">+G10-G29</f>
        <v>-38751674.929999992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-19547177.669999987</v>
      </c>
      <c r="L53" s="151">
        <f t="shared" si="9"/>
        <v>3011570.1600000262</v>
      </c>
      <c r="M53" s="151">
        <f t="shared" si="9"/>
        <v>40532365.199999988</v>
      </c>
      <c r="N53" s="151">
        <f t="shared" si="9"/>
        <v>60862718.929999992</v>
      </c>
      <c r="O53" s="151">
        <f t="shared" si="9"/>
        <v>-6769565.7300000191</v>
      </c>
      <c r="P53" s="151">
        <f t="shared" si="9"/>
        <v>2782732.3500000238</v>
      </c>
      <c r="Q53" s="151">
        <f t="shared" si="9"/>
        <v>-13577897.639999986</v>
      </c>
      <c r="R53" s="151">
        <f t="shared" si="9"/>
        <v>-24135819.5</v>
      </c>
      <c r="S53" s="248">
        <f t="shared" si="4"/>
        <v>-100201676.44999997</v>
      </c>
      <c r="T53" s="470">
        <f t="shared" si="3"/>
        <v>-2.0527661985536634</v>
      </c>
    </row>
    <row r="54" spans="1:21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10">+G53+G36</f>
        <v>-31174189.859999992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-12846876.829999987</v>
      </c>
      <c r="L54" s="205">
        <f t="shared" si="10"/>
        <v>8301624.5900000259</v>
      </c>
      <c r="M54" s="205">
        <f t="shared" si="10"/>
        <v>45069136.419999987</v>
      </c>
      <c r="N54" s="205">
        <f t="shared" si="10"/>
        <v>62519192.749999993</v>
      </c>
      <c r="O54" s="205">
        <f t="shared" si="10"/>
        <v>7481482.0899999812</v>
      </c>
      <c r="P54" s="205">
        <f t="shared" si="10"/>
        <v>4040647.5000000237</v>
      </c>
      <c r="Q54" s="205">
        <f t="shared" si="10"/>
        <v>-7005325.1399999857</v>
      </c>
      <c r="R54" s="205">
        <f t="shared" si="10"/>
        <v>2559776.9200000018</v>
      </c>
      <c r="S54" s="248">
        <f t="shared" si="4"/>
        <v>13857225.730000056</v>
      </c>
      <c r="T54" s="470">
        <f t="shared" si="3"/>
        <v>0.28388391883309888</v>
      </c>
    </row>
    <row r="55" spans="1:21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-62082443.749999993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-35830005.589999989</v>
      </c>
      <c r="L59" s="217">
        <f t="shared" si="12"/>
        <v>-12041313.439999975</v>
      </c>
      <c r="M59" s="217">
        <f t="shared" si="12"/>
        <v>15173690.049999986</v>
      </c>
      <c r="N59" s="217">
        <f t="shared" si="12"/>
        <v>47886667.969999991</v>
      </c>
      <c r="O59" s="217">
        <f t="shared" si="12"/>
        <v>-18105752.220000017</v>
      </c>
      <c r="P59" s="217">
        <f t="shared" si="12"/>
        <v>-5282334.4099999759</v>
      </c>
      <c r="Q59" s="217">
        <f t="shared" si="12"/>
        <v>-31325846.379999988</v>
      </c>
      <c r="R59" s="217">
        <f t="shared" si="12"/>
        <v>-36196930.939999998</v>
      </c>
      <c r="S59" s="251">
        <f t="shared" si="4"/>
        <v>-538305452.18000007</v>
      </c>
      <c r="T59" s="474">
        <f t="shared" si="3"/>
        <v>-11.027911666564236</v>
      </c>
    </row>
    <row r="60" spans="1:21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62082443.749999993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35830005.589999989</v>
      </c>
      <c r="L60" s="151">
        <f t="shared" si="13"/>
        <v>12041313.439999975</v>
      </c>
      <c r="M60" s="151">
        <f t="shared" si="13"/>
        <v>-15173690.049999986</v>
      </c>
      <c r="N60" s="151">
        <f t="shared" si="13"/>
        <v>-47886667.969999991</v>
      </c>
      <c r="O60" s="151">
        <f t="shared" si="13"/>
        <v>18105752.220000017</v>
      </c>
      <c r="P60" s="151">
        <f t="shared" si="13"/>
        <v>5282334.4099999759</v>
      </c>
      <c r="Q60" s="151">
        <f t="shared" si="13"/>
        <v>31325846.379999988</v>
      </c>
      <c r="R60" s="151">
        <f t="shared" si="13"/>
        <v>36196930.939999998</v>
      </c>
      <c r="S60" s="252">
        <f t="shared" si="4"/>
        <v>538305452.18000007</v>
      </c>
      <c r="T60" s="475">
        <f t="shared" si="3"/>
        <v>11.027911666564236</v>
      </c>
    </row>
    <row r="61" spans="1:21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53971615.18999999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32479714.52999999</v>
      </c>
      <c r="L64" s="225">
        <f t="shared" si="14"/>
        <v>-22521260.370000027</v>
      </c>
      <c r="M64" s="225">
        <f t="shared" si="14"/>
        <v>-20734432.319999985</v>
      </c>
      <c r="N64" s="225">
        <f t="shared" si="14"/>
        <v>-53863498.889999993</v>
      </c>
      <c r="O64" s="225">
        <f t="shared" si="14"/>
        <v>10457249.770000018</v>
      </c>
      <c r="P64" s="225">
        <f t="shared" si="14"/>
        <v>-2451078.8800000241</v>
      </c>
      <c r="Q64" s="225">
        <f t="shared" si="14"/>
        <v>19596905.559999987</v>
      </c>
      <c r="R64" s="225">
        <f t="shared" si="14"/>
        <v>31732476.169999998</v>
      </c>
      <c r="S64" s="253">
        <f>+SUM(G64:R64)</f>
        <v>427811597.86000007</v>
      </c>
      <c r="T64" s="476">
        <f t="shared" si="3"/>
        <v>8.7642963526109874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4" t="str">
        <f>+Master!G252</f>
        <v>Plan ostvarenja budžeta</v>
      </c>
      <c r="C81" s="585"/>
      <c r="D81" s="585"/>
      <c r="E81" s="585"/>
      <c r="F81" s="585"/>
      <c r="G81" s="592">
        <v>2021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BDP</v>
      </c>
      <c r="T81" s="108">
        <v>4636600000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80" t="str">
        <f>+VLOOKUP(LEFT($A84,LEN(A84)-1)*1,Master!$D$29:$G$225,4,FALSE)</f>
        <v>Prihodi budžeta</v>
      </c>
      <c r="C84" s="581"/>
      <c r="D84" s="581"/>
      <c r="E84" s="581"/>
      <c r="F84" s="58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Porezi</v>
      </c>
      <c r="C85" s="583"/>
      <c r="D85" s="583"/>
      <c r="E85" s="583"/>
      <c r="F85" s="58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Porez na dohodak fizičkih lica</v>
      </c>
      <c r="C86" s="571"/>
      <c r="D86" s="571"/>
      <c r="E86" s="571"/>
      <c r="F86" s="57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0" t="str">
        <f>+VLOOKUP(LEFT($A87,LEN(A87)-1)*1,Master!$D$29:$G$228,4,FALSE)</f>
        <v>Porez na dobit pravnih lica</v>
      </c>
      <c r="C87" s="571"/>
      <c r="D87" s="571"/>
      <c r="E87" s="571"/>
      <c r="F87" s="57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0" t="str">
        <f>+VLOOKUP(LEFT($A88,LEN(A88)-1)*1,Master!$D$29:$G$228,4,FALSE)</f>
        <v>Porez na promet nepokretnosti</v>
      </c>
      <c r="C88" s="571"/>
      <c r="D88" s="571"/>
      <c r="E88" s="571"/>
      <c r="F88" s="57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Porez na dodatu vrijednost</v>
      </c>
      <c r="C89" s="571"/>
      <c r="D89" s="571"/>
      <c r="E89" s="571"/>
      <c r="F89" s="57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0" t="str">
        <f>+VLOOKUP(LEFT($A90,LEN(A90)-1)*1,Master!$D$29:$G$228,4,FALSE)</f>
        <v>Akcize</v>
      </c>
      <c r="C90" s="571"/>
      <c r="D90" s="571"/>
      <c r="E90" s="571"/>
      <c r="F90" s="57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0" t="str">
        <f>+VLOOKUP(LEFT($A91,LEN(A91)-1)*1,Master!$D$29:$G$228,4,FALSE)</f>
        <v>Porez na međunarodnu trgovinu i transakcije</v>
      </c>
      <c r="C91" s="571"/>
      <c r="D91" s="571"/>
      <c r="E91" s="571"/>
      <c r="F91" s="57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0" t="str">
        <f>+VLOOKUP(LEFT($A92,LEN(A92)-1)*1,Master!$D$29:$G$228,4,FALSE)</f>
        <v>Ostali državni porezi</v>
      </c>
      <c r="C92" s="571"/>
      <c r="D92" s="571"/>
      <c r="E92" s="571"/>
      <c r="F92" s="57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78" t="str">
        <f>+VLOOKUP(LEFT($A93,LEN(A93)-1)*1,Master!$D$29:$G$228,4,FALSE)</f>
        <v>Doprinosi</v>
      </c>
      <c r="C93" s="579"/>
      <c r="D93" s="579"/>
      <c r="E93" s="579"/>
      <c r="F93" s="579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0" t="str">
        <f>+VLOOKUP(LEFT($A94,LEN(A94)-1)*1,Master!$D$29:$G$228,4,FALSE)</f>
        <v>Doprinosi za penzijsko i invalidsko osiguranje</v>
      </c>
      <c r="C94" s="571"/>
      <c r="D94" s="571"/>
      <c r="E94" s="571"/>
      <c r="F94" s="57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0" t="str">
        <f>+VLOOKUP(LEFT($A95,LEN(A95)-1)*1,Master!$D$29:$G$228,4,FALSE)</f>
        <v>Doprinosi za zdravstveno osiguranje</v>
      </c>
      <c r="C95" s="571"/>
      <c r="D95" s="571"/>
      <c r="E95" s="571"/>
      <c r="F95" s="57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0" t="str">
        <f>+VLOOKUP(LEFT($A96,LEN(A96)-1)*1,Master!$D$29:$G$228,4,FALSE)</f>
        <v>Doprinosi za osiguranje od nezaposlenosti</v>
      </c>
      <c r="C96" s="571"/>
      <c r="D96" s="571"/>
      <c r="E96" s="571"/>
      <c r="F96" s="57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0" t="str">
        <f>+VLOOKUP(LEFT($A97,LEN(A97)-1)*1,Master!$D$29:$G$228,4,FALSE)</f>
        <v>Ostali doprinosi</v>
      </c>
      <c r="C97" s="571"/>
      <c r="D97" s="571"/>
      <c r="E97" s="571"/>
      <c r="F97" s="57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76" t="str">
        <f>+VLOOKUP(LEFT($A98,LEN(A98)-1)*1,Master!$D$29:$G$228,4,FALSE)</f>
        <v>Takse</v>
      </c>
      <c r="C98" s="577"/>
      <c r="D98" s="577"/>
      <c r="E98" s="577"/>
      <c r="F98" s="577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76" t="str">
        <f>+VLOOKUP(LEFT($A99,LEN(A99)-1)*1,Master!$D$29:$G$228,4,FALSE)</f>
        <v>Naknade</v>
      </c>
      <c r="C99" s="577"/>
      <c r="D99" s="577"/>
      <c r="E99" s="577"/>
      <c r="F99" s="577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Ostali prihodi</v>
      </c>
      <c r="C100" s="577"/>
      <c r="D100" s="577"/>
      <c r="E100" s="577"/>
      <c r="F100" s="577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Primici od otplate kredita i sredstva prenesena iz prethodne godine</v>
      </c>
      <c r="C101" s="577"/>
      <c r="D101" s="577"/>
      <c r="E101" s="577"/>
      <c r="F101" s="577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Donacije i transferi</v>
      </c>
      <c r="C102" s="573"/>
      <c r="D102" s="573"/>
      <c r="E102" s="573"/>
      <c r="F102" s="57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Izdaci budžeta</v>
      </c>
      <c r="C103" s="555"/>
      <c r="D103" s="555"/>
      <c r="E103" s="555"/>
      <c r="F103" s="555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Tekući izdaci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Bruto zarade i doprinosi na teret poslodavca</v>
      </c>
      <c r="C105" s="571"/>
      <c r="D105" s="571"/>
      <c r="E105" s="571"/>
      <c r="F105" s="57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Ostala lična primanja</v>
      </c>
      <c r="C106" s="571"/>
      <c r="D106" s="571"/>
      <c r="E106" s="571"/>
      <c r="F106" s="57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Rashodi za materijal</v>
      </c>
      <c r="C107" s="571"/>
      <c r="D107" s="571"/>
      <c r="E107" s="571"/>
      <c r="F107" s="57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Rashodi za usluge</v>
      </c>
      <c r="C108" s="571"/>
      <c r="D108" s="571"/>
      <c r="E108" s="571"/>
      <c r="F108" s="57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Rashodi za tekuće održavanje</v>
      </c>
      <c r="C109" s="571"/>
      <c r="D109" s="571"/>
      <c r="E109" s="571"/>
      <c r="F109" s="57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Kamate</v>
      </c>
      <c r="C110" s="571"/>
      <c r="D110" s="571"/>
      <c r="E110" s="571"/>
      <c r="F110" s="57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Renta</v>
      </c>
      <c r="C111" s="571"/>
      <c r="D111" s="571"/>
      <c r="E111" s="571"/>
      <c r="F111" s="57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Subvencije</v>
      </c>
      <c r="C112" s="571"/>
      <c r="D112" s="571"/>
      <c r="E112" s="571"/>
      <c r="F112" s="57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Ostali izdaci</v>
      </c>
      <c r="C113" s="571"/>
      <c r="D113" s="571"/>
      <c r="E113" s="571"/>
      <c r="F113" s="57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Transferi za socijalnu zaštitu</v>
      </c>
      <c r="C114" s="567"/>
      <c r="D114" s="567"/>
      <c r="E114" s="567"/>
      <c r="F114" s="567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Prava iz oblasti socijalne zaštite</v>
      </c>
      <c r="C115" s="571"/>
      <c r="D115" s="571"/>
      <c r="E115" s="571"/>
      <c r="F115" s="57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0" t="str">
        <f>+VLOOKUP(LEFT($A116,LEN(A116)-1)*1,Master!$D$29:$G$228,4,FALSE)</f>
        <v>Sredstva za tehnološke viškove</v>
      </c>
      <c r="C116" s="571"/>
      <c r="D116" s="571"/>
      <c r="E116" s="571"/>
      <c r="F116" s="57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0" t="str">
        <f>+VLOOKUP(LEFT($A117,LEN(A117)-1)*1,Master!$D$29:$G$228,4,FALSE)</f>
        <v>Prava iz oblasti penzijskog i invalidskog osiguranja</v>
      </c>
      <c r="C117" s="571"/>
      <c r="D117" s="571"/>
      <c r="E117" s="571"/>
      <c r="F117" s="57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0" t="str">
        <f>+VLOOKUP(LEFT($A118,LEN(A118)-1)*1,Master!$D$29:$G$228,4,FALSE)</f>
        <v>Ostala prava iz oblasti zdravstvene zaštite</v>
      </c>
      <c r="C118" s="571"/>
      <c r="D118" s="571"/>
      <c r="E118" s="571"/>
      <c r="F118" s="57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0" t="str">
        <f>+VLOOKUP(LEFT($A119,LEN(A119)-1)*1,Master!$D$29:$G$228,4,FALSE)</f>
        <v>Ostala prava iz zdravstvenog osiguranja</v>
      </c>
      <c r="C119" s="571"/>
      <c r="D119" s="571"/>
      <c r="E119" s="571"/>
      <c r="F119" s="57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68" t="str">
        <f>+VLOOKUP(LEFT($A120,LEN(A120)-1)*1,Master!$D$29:$G$228,4,FALSE)</f>
        <v xml:space="preserve">Transferi institucijama, pojedincima, nevladinom i javnom sektoru </v>
      </c>
      <c r="C120" s="569"/>
      <c r="D120" s="569"/>
      <c r="E120" s="569"/>
      <c r="F120" s="56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68" t="str">
        <f>+VLOOKUP(LEFT($A121,LEN(A121)-1)*1,Master!$D$29:$G$228,4,FALSE)</f>
        <v>Kapitalni izdaci</v>
      </c>
      <c r="C121" s="569"/>
      <c r="D121" s="569"/>
      <c r="E121" s="569"/>
      <c r="F121" s="56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60" t="str">
        <f>+VLOOKUP(LEFT($A122,LEN(A122)-1)*1,Master!$D$29:$G$228,4,FALSE)</f>
        <v>Pozajmice i krediti</v>
      </c>
      <c r="C122" s="561"/>
      <c r="D122" s="561"/>
      <c r="E122" s="561"/>
      <c r="F122" s="56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60" t="str">
        <f>+VLOOKUP(LEFT($A123,LEN(A123)-1)*1,Master!$D$29:$G$228,4,FALSE)</f>
        <v>Rezerve</v>
      </c>
      <c r="C123" s="561"/>
      <c r="D123" s="561"/>
      <c r="E123" s="561"/>
      <c r="F123" s="56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60" t="str">
        <f>+VLOOKUP(LEFT($A124,LEN(A124)-1)*1,Master!$D$29:$G$228,4,FALSE)</f>
        <v>Otplata garancija</v>
      </c>
      <c r="C124" s="561"/>
      <c r="D124" s="561"/>
      <c r="E124" s="561"/>
      <c r="F124" s="56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60" t="str">
        <f>+VLOOKUP(LEFT($A125,LEN(A125)-1)*1,Master!$D$29:$G$228,4,FALSE)</f>
        <v>Otplata obaveza iz prethodnog perioda</v>
      </c>
      <c r="C125" s="561"/>
      <c r="D125" s="561"/>
      <c r="E125" s="561"/>
      <c r="F125" s="56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0" t="str">
        <f>+VLOOKUP(LEFT($A126,LEN(A126)-1)*1,Master!$D$29:$G$228,4,FALSE)</f>
        <v>Neto povećanje obaveza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562" t="str">
        <f>+VLOOKUP(LEFT($A127,LEN(A127)-1)*1,Master!$D$29:$G$225,4,FALSE)</f>
        <v>Suficit / deficit</v>
      </c>
      <c r="C127" s="563"/>
      <c r="D127" s="563"/>
      <c r="E127" s="563"/>
      <c r="F127" s="563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64" t="str">
        <f>+VLOOKUP(LEFT($A128,LEN(A128)-1)*1,Master!$D$29:$G$225,4,FALSE)</f>
        <v>Primarni suficit/deficit</v>
      </c>
      <c r="C128" s="565"/>
      <c r="D128" s="565"/>
      <c r="E128" s="565"/>
      <c r="F128" s="565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66" t="str">
        <f>+VLOOKUP(LEFT($A129,LEN(A129)-1)*1,Master!$D$29:$G$225,4,FALSE)</f>
        <v>Otplata dugova</v>
      </c>
      <c r="C129" s="567"/>
      <c r="D129" s="567"/>
      <c r="E129" s="567"/>
      <c r="F129" s="567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558" t="str">
        <f>+VLOOKUP(LEFT($A130,LEN(A130)-1)*1,Master!$D$29:$G$225,4,FALSE)</f>
        <v>Otplata hartija od vrijednosti i kredita rezidentima</v>
      </c>
      <c r="C130" s="559"/>
      <c r="D130" s="559"/>
      <c r="E130" s="559"/>
      <c r="F130" s="559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60" t="str">
        <f>+VLOOKUP(LEFT($A131,LEN(A131)-1)*1,Master!$D$29:$G$225,4,FALSE)</f>
        <v>Otplata hartija od vrijednosti i kredita nerezidentima</v>
      </c>
      <c r="C131" s="561"/>
      <c r="D131" s="561"/>
      <c r="E131" s="561"/>
      <c r="F131" s="56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4" t="str">
        <f>+VLOOKUP(LEFT($A132,LEN(A132)-1)*1,Master!$D$29:$G$225,4,FALSE)</f>
        <v>Izdaci za kupovinu hartija od vrijednosti</v>
      </c>
      <c r="C132" s="555"/>
      <c r="D132" s="555"/>
      <c r="E132" s="555"/>
      <c r="F132" s="555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56" t="str">
        <f>+VLOOKUP(LEFT($A133,LEN(A133)-1)*1,Master!$D$29:$G$225,4,FALSE)</f>
        <v>Nedostajuća sredstva</v>
      </c>
      <c r="C133" s="557"/>
      <c r="D133" s="557"/>
      <c r="E133" s="557"/>
      <c r="F133" s="557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54" t="str">
        <f>+VLOOKUP(LEFT($A134,LEN(A134)-1)*1,Master!$D$29:$G$225,4,FALSE)</f>
        <v>Finansiranje</v>
      </c>
      <c r="C134" s="555"/>
      <c r="D134" s="555"/>
      <c r="E134" s="555"/>
      <c r="F134" s="555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558" t="str">
        <f>+VLOOKUP(LEFT($A135,LEN(A135)-1)*1,Master!$D$29:$G$225,4,FALSE)</f>
        <v>Pozajmice i krediti od domaćih izvora</v>
      </c>
      <c r="C135" s="559"/>
      <c r="D135" s="559"/>
      <c r="E135" s="559"/>
      <c r="F135" s="559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60" t="str">
        <f>+VLOOKUP(LEFT($A136,LEN(A136)-1)*1,Master!$D$29:$G$225,4,FALSE)</f>
        <v>Pozajmice i krediti od inostranih izvora</v>
      </c>
      <c r="C136" s="561"/>
      <c r="D136" s="561"/>
      <c r="E136" s="561"/>
      <c r="F136" s="56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60" t="str">
        <f>+VLOOKUP(LEFT($A137,LEN(A137)-1)*1,Master!$D$29:$G$225,4,FALSE)</f>
        <v>Primici od prodaje imovine</v>
      </c>
      <c r="C137" s="561"/>
      <c r="D137" s="561"/>
      <c r="E137" s="561"/>
      <c r="F137" s="56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2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2020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4185600000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4" t="str">
        <f>+Master!G252</f>
        <v>Plan ostvarenja budžeta</v>
      </c>
      <c r="C100" s="585"/>
      <c r="D100" s="585"/>
      <c r="E100" s="585"/>
      <c r="F100" s="585"/>
      <c r="G100" s="592">
        <v>2020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v>4607300000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tr">
        <f>+Master!G246</f>
        <v>Jan - Dec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80" t="str">
        <f>+VLOOKUP(LEFT($A103,LEN(A103)-1)*1,Master!$D$29:$G$225,4,FALSE)</f>
        <v>Prihodi budžeta</v>
      </c>
      <c r="C103" s="581"/>
      <c r="D103" s="581"/>
      <c r="E103" s="581"/>
      <c r="F103" s="58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82" t="str">
        <f>+VLOOKUP(LEFT($A104,LEN(A104)-1)*1,Master!$D$29:$G$225,4,FALSE)</f>
        <v>Porezi</v>
      </c>
      <c r="C104" s="583"/>
      <c r="D104" s="583"/>
      <c r="E104" s="583"/>
      <c r="F104" s="58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0" t="str">
        <f>+VLOOKUP(LEFT($A105,LEN(A105)-1)*1,Master!$D$29:$G$228,4,FALSE)</f>
        <v>Porez na dohodak fizičkih lica</v>
      </c>
      <c r="C105" s="571"/>
      <c r="D105" s="571"/>
      <c r="E105" s="571"/>
      <c r="F105" s="57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0" t="str">
        <f>+VLOOKUP(LEFT($A106,LEN(A106)-1)*1,Master!$D$29:$G$228,4,FALSE)</f>
        <v>Porez na dobit pravnih lica</v>
      </c>
      <c r="C106" s="571"/>
      <c r="D106" s="571"/>
      <c r="E106" s="571"/>
      <c r="F106" s="57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0" t="str">
        <f>+VLOOKUP(LEFT($A107,LEN(A107)-1)*1,Master!$D$29:$G$228,4,FALSE)</f>
        <v>Porez na promet nepokretnosti</v>
      </c>
      <c r="C107" s="571"/>
      <c r="D107" s="571"/>
      <c r="E107" s="571"/>
      <c r="F107" s="57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0" t="str">
        <f>+VLOOKUP(LEFT($A108,LEN(A108)-1)*1,Master!$D$29:$G$228,4,FALSE)</f>
        <v>Porez na dodatu vrijednost</v>
      </c>
      <c r="C108" s="571"/>
      <c r="D108" s="571"/>
      <c r="E108" s="571"/>
      <c r="F108" s="57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0" t="str">
        <f>+VLOOKUP(LEFT($A109,LEN(A109)-1)*1,Master!$D$29:$G$228,4,FALSE)</f>
        <v>Akcize</v>
      </c>
      <c r="C109" s="571"/>
      <c r="D109" s="571"/>
      <c r="E109" s="571"/>
      <c r="F109" s="57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0" t="str">
        <f>+VLOOKUP(LEFT($A110,LEN(A110)-1)*1,Master!$D$29:$G$228,4,FALSE)</f>
        <v>Porez na međunarodnu trgovinu i transakcije</v>
      </c>
      <c r="C110" s="571"/>
      <c r="D110" s="571"/>
      <c r="E110" s="571"/>
      <c r="F110" s="57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0" t="str">
        <f>+VLOOKUP(LEFT($A111,LEN(A111)-1)*1,Master!$D$29:$G$228,4,FALSE)</f>
        <v>Ostali državni porezi</v>
      </c>
      <c r="C111" s="571"/>
      <c r="D111" s="571"/>
      <c r="E111" s="571"/>
      <c r="F111" s="57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78" t="str">
        <f>+VLOOKUP(LEFT($A112,LEN(A112)-1)*1,Master!$D$29:$G$228,4,FALSE)</f>
        <v>Doprinosi</v>
      </c>
      <c r="C112" s="579"/>
      <c r="D112" s="579"/>
      <c r="E112" s="579"/>
      <c r="F112" s="57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0" t="str">
        <f>+VLOOKUP(LEFT($A113,LEN(A113)-1)*1,Master!$D$29:$G$228,4,FALSE)</f>
        <v>Doprinosi za penzijsko i invalidsko osiguranje</v>
      </c>
      <c r="C113" s="571"/>
      <c r="D113" s="571"/>
      <c r="E113" s="571"/>
      <c r="F113" s="57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0" t="str">
        <f>+VLOOKUP(LEFT($A114,LEN(A114)-1)*1,Master!$D$29:$G$228,4,FALSE)</f>
        <v>Doprinosi za zdravstveno osiguranje</v>
      </c>
      <c r="C114" s="571"/>
      <c r="D114" s="571"/>
      <c r="E114" s="571"/>
      <c r="F114" s="57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0" t="str">
        <f>+VLOOKUP(LEFT($A115,LEN(A115)-1)*1,Master!$D$29:$G$228,4,FALSE)</f>
        <v>Doprinosi za osiguranje od nezaposlenosti</v>
      </c>
      <c r="C115" s="571"/>
      <c r="D115" s="571"/>
      <c r="E115" s="571"/>
      <c r="F115" s="57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0" t="str">
        <f>+VLOOKUP(LEFT($A116,LEN(A116)-1)*1,Master!$D$29:$G$228,4,FALSE)</f>
        <v>Ostali doprinosi</v>
      </c>
      <c r="C116" s="571"/>
      <c r="D116" s="571"/>
      <c r="E116" s="571"/>
      <c r="F116" s="57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76" t="str">
        <f>+VLOOKUP(LEFT($A117,LEN(A117)-1)*1,Master!$D$29:$G$228,4,FALSE)</f>
        <v>Takse</v>
      </c>
      <c r="C117" s="577"/>
      <c r="D117" s="577"/>
      <c r="E117" s="577"/>
      <c r="F117" s="57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76" t="str">
        <f>+VLOOKUP(LEFT($A118,LEN(A118)-1)*1,Master!$D$29:$G$228,4,FALSE)</f>
        <v>Naknade</v>
      </c>
      <c r="C118" s="577"/>
      <c r="D118" s="577"/>
      <c r="E118" s="577"/>
      <c r="F118" s="57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76" t="str">
        <f>+VLOOKUP(LEFT($A119,LEN(A119)-1)*1,Master!$D$29:$G$228,4,FALSE)</f>
        <v>Ostali prihodi</v>
      </c>
      <c r="C119" s="577"/>
      <c r="D119" s="577"/>
      <c r="E119" s="577"/>
      <c r="F119" s="57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76" t="str">
        <f>+VLOOKUP(LEFT($A120,LEN(A120)-1)*1,Master!$D$29:$G$228,4,FALSE)</f>
        <v>Primici od otplate kredita i sredstva prenesena iz prethodne godine</v>
      </c>
      <c r="C120" s="577"/>
      <c r="D120" s="577"/>
      <c r="E120" s="577"/>
      <c r="F120" s="57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72" t="str">
        <f>+VLOOKUP(LEFT($A121,LEN(A121)-1)*1,Master!$D$29:$G$228,4,FALSE)</f>
        <v>Donacije i transferi</v>
      </c>
      <c r="C121" s="573"/>
      <c r="D121" s="573"/>
      <c r="E121" s="573"/>
      <c r="F121" s="57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54" t="str">
        <f>+VLOOKUP(LEFT($A122,LEN(A122)-1)*1,Master!$D$29:$G$228,4,FALSE)</f>
        <v>Izdaci budžeta</v>
      </c>
      <c r="C122" s="555"/>
      <c r="D122" s="555"/>
      <c r="E122" s="555"/>
      <c r="F122" s="555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Tekući izdaci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0" t="str">
        <f>+VLOOKUP(LEFT($A124,LEN(A124)-1)*1,Master!$D$29:$G$228,4,FALSE)</f>
        <v>Bruto zarade i doprinosi na teret poslodavca</v>
      </c>
      <c r="C124" s="571"/>
      <c r="D124" s="571"/>
      <c r="E124" s="571"/>
      <c r="F124" s="57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0" t="str">
        <f>+VLOOKUP(LEFT($A125,LEN(A125)-1)*1,Master!$D$29:$G$228,4,FALSE)</f>
        <v>Ostala lična primanja</v>
      </c>
      <c r="C125" s="571"/>
      <c r="D125" s="571"/>
      <c r="E125" s="571"/>
      <c r="F125" s="57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0" t="str">
        <f>+VLOOKUP(LEFT($A126,LEN(A126)-1)*1,Master!$D$29:$G$228,4,FALSE)</f>
        <v>Rashodi za materijal</v>
      </c>
      <c r="C126" s="571"/>
      <c r="D126" s="571"/>
      <c r="E126" s="571"/>
      <c r="F126" s="57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0" t="str">
        <f>+VLOOKUP(LEFT($A127,LEN(A127)-1)*1,Master!$D$29:$G$228,4,FALSE)</f>
        <v>Rashodi za usluge</v>
      </c>
      <c r="C127" s="571"/>
      <c r="D127" s="571"/>
      <c r="E127" s="571"/>
      <c r="F127" s="57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0" t="str">
        <f>+VLOOKUP(LEFT($A128,LEN(A128)-1)*1,Master!$D$29:$G$228,4,FALSE)</f>
        <v>Rashodi za tekuće održavanje</v>
      </c>
      <c r="C128" s="571"/>
      <c r="D128" s="571"/>
      <c r="E128" s="571"/>
      <c r="F128" s="57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0" t="str">
        <f>+VLOOKUP(LEFT($A129,LEN(A129)-1)*1,Master!$D$29:$G$228,4,FALSE)</f>
        <v>Kamate</v>
      </c>
      <c r="C129" s="571"/>
      <c r="D129" s="571"/>
      <c r="E129" s="571"/>
      <c r="F129" s="57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0" t="str">
        <f>+VLOOKUP(LEFT($A130,LEN(A130)-1)*1,Master!$D$29:$G$228,4,FALSE)</f>
        <v>Renta</v>
      </c>
      <c r="C130" s="571"/>
      <c r="D130" s="571"/>
      <c r="E130" s="571"/>
      <c r="F130" s="57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0" t="str">
        <f>+VLOOKUP(LEFT($A131,LEN(A131)-1)*1,Master!$D$29:$G$228,4,FALSE)</f>
        <v>Subvencije</v>
      </c>
      <c r="C131" s="571"/>
      <c r="D131" s="571"/>
      <c r="E131" s="571"/>
      <c r="F131" s="57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0" t="str">
        <f>+VLOOKUP(LEFT($A132,LEN(A132)-1)*1,Master!$D$29:$G$228,4,FALSE)</f>
        <v>Ostali izdaci</v>
      </c>
      <c r="C132" s="571"/>
      <c r="D132" s="571"/>
      <c r="E132" s="571"/>
      <c r="F132" s="57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66" t="str">
        <f>+VLOOKUP(LEFT($A133,LEN(A133)-1)*1,Master!$D$29:$G$228,4,FALSE)</f>
        <v>Transferi za socijalnu zaštitu</v>
      </c>
      <c r="C133" s="567"/>
      <c r="D133" s="567"/>
      <c r="E133" s="567"/>
      <c r="F133" s="567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0" t="str">
        <f>+VLOOKUP(LEFT($A134,LEN(A134)-1)*1,Master!$D$29:$G$228,4,FALSE)</f>
        <v>Prava iz oblasti socijalne zaštite</v>
      </c>
      <c r="C134" s="571"/>
      <c r="D134" s="571"/>
      <c r="E134" s="571"/>
      <c r="F134" s="57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0" t="str">
        <f>+VLOOKUP(LEFT($A135,LEN(A135)-1)*1,Master!$D$29:$G$228,4,FALSE)</f>
        <v>Sredstva za tehnološke viškove</v>
      </c>
      <c r="C135" s="571"/>
      <c r="D135" s="571"/>
      <c r="E135" s="571"/>
      <c r="F135" s="57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0" t="str">
        <f>+VLOOKUP(LEFT($A136,LEN(A136)-1)*1,Master!$D$29:$G$228,4,FALSE)</f>
        <v>Prava iz oblasti penzijskog i invalidskog osiguranja</v>
      </c>
      <c r="C136" s="571"/>
      <c r="D136" s="571"/>
      <c r="E136" s="571"/>
      <c r="F136" s="57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0" t="str">
        <f>+VLOOKUP(LEFT($A137,LEN(A137)-1)*1,Master!$D$29:$G$228,4,FALSE)</f>
        <v>Ostala prava iz oblasti zdravstvene zaštite</v>
      </c>
      <c r="C137" s="571"/>
      <c r="D137" s="571"/>
      <c r="E137" s="571"/>
      <c r="F137" s="57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0" t="str">
        <f>+VLOOKUP(LEFT($A138,LEN(A138)-1)*1,Master!$D$29:$G$228,4,FALSE)</f>
        <v>Ostala prava iz zdravstvenog osiguranja</v>
      </c>
      <c r="C138" s="571"/>
      <c r="D138" s="571"/>
      <c r="E138" s="571"/>
      <c r="F138" s="57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68" t="str">
        <f>+VLOOKUP(LEFT($A139,LEN(A139)-1)*1,Master!$D$29:$G$228,4,FALSE)</f>
        <v xml:space="preserve">Transferi institucijama, pojedincima, nevladinom i javnom sektoru </v>
      </c>
      <c r="C139" s="569"/>
      <c r="D139" s="569"/>
      <c r="E139" s="569"/>
      <c r="F139" s="56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68" t="str">
        <f>+VLOOKUP(LEFT($A140,LEN(A140)-1)*1,Master!$D$29:$G$228,4,FALSE)</f>
        <v>Kapitalni izdaci</v>
      </c>
      <c r="C140" s="569"/>
      <c r="D140" s="569"/>
      <c r="E140" s="569"/>
      <c r="F140" s="56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60" t="str">
        <f>+VLOOKUP(LEFT($A141,LEN(A141)-1)*1,Master!$D$29:$G$228,4,FALSE)</f>
        <v>Pozajmice i krediti</v>
      </c>
      <c r="C141" s="561"/>
      <c r="D141" s="561"/>
      <c r="E141" s="561"/>
      <c r="F141" s="56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60" t="str">
        <f>+VLOOKUP(LEFT($A142,LEN(A142)-1)*1,Master!$D$29:$G$228,4,FALSE)</f>
        <v>Rezerve</v>
      </c>
      <c r="C142" s="561"/>
      <c r="D142" s="561"/>
      <c r="E142" s="561"/>
      <c r="F142" s="56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60" t="str">
        <f>+VLOOKUP(LEFT($A143,LEN(A143)-1)*1,Master!$D$29:$G$228,4,FALSE)</f>
        <v>Otplata garancija</v>
      </c>
      <c r="C143" s="561"/>
      <c r="D143" s="561"/>
      <c r="E143" s="561"/>
      <c r="F143" s="56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60" t="str">
        <f>+VLOOKUP(LEFT($A144,LEN(A144)-1)*1,Master!$D$29:$G$228,4,FALSE)</f>
        <v>Otplata obaveza iz prethodnog perioda</v>
      </c>
      <c r="C144" s="561"/>
      <c r="D144" s="561"/>
      <c r="E144" s="561"/>
      <c r="F144" s="56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0" t="str">
        <f>+VLOOKUP(LEFT($A145,LEN(A145)-1)*1,Master!$D$29:$G$228,4,FALSE)</f>
        <v>Neto povećanje obaveza</v>
      </c>
      <c r="C145" s="561"/>
      <c r="D145" s="561"/>
      <c r="E145" s="561"/>
      <c r="F145" s="56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562" t="str">
        <f>+VLOOKUP(LEFT($A146,LEN(A146)-1)*1,Master!$D$29:$G$225,4,FALSE)</f>
        <v>Suficit / deficit</v>
      </c>
      <c r="C146" s="563"/>
      <c r="D146" s="563"/>
      <c r="E146" s="563"/>
      <c r="F146" s="563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4" t="str">
        <f>+VLOOKUP(LEFT($A147,LEN(A147)-1)*1,Master!$D$29:$G$225,4,FALSE)</f>
        <v>Primarni suficit/deficit</v>
      </c>
      <c r="C147" s="565"/>
      <c r="D147" s="565"/>
      <c r="E147" s="565"/>
      <c r="F147" s="565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66" t="str">
        <f>+VLOOKUP(LEFT($A148,LEN(A148)-1)*1,Master!$D$29:$G$225,4,FALSE)</f>
        <v>Otplata dugova</v>
      </c>
      <c r="C148" s="567"/>
      <c r="D148" s="567"/>
      <c r="E148" s="567"/>
      <c r="F148" s="567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558" t="str">
        <f>+VLOOKUP(LEFT($A149,LEN(A149)-1)*1,Master!$D$29:$G$225,4,FALSE)</f>
        <v>Otplata hartija od vrijednosti i kredita rezidentima</v>
      </c>
      <c r="C149" s="559"/>
      <c r="D149" s="559"/>
      <c r="E149" s="559"/>
      <c r="F149" s="55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60" t="str">
        <f>+VLOOKUP(LEFT($A150,LEN(A150)-1)*1,Master!$D$29:$G$225,4,FALSE)</f>
        <v>Otplata hartija od vrijednosti i kredita nerezidentima</v>
      </c>
      <c r="C150" s="561"/>
      <c r="D150" s="561"/>
      <c r="E150" s="561"/>
      <c r="F150" s="56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54" t="str">
        <f>+VLOOKUP(LEFT($A151,LEN(A151)-1)*1,Master!$D$29:$G$225,4,FALSE)</f>
        <v>Izdaci za kupovinu hartija od vrijednosti</v>
      </c>
      <c r="C151" s="555"/>
      <c r="D151" s="555"/>
      <c r="E151" s="555"/>
      <c r="F151" s="555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6" t="str">
        <f>+VLOOKUP(LEFT($A152,LEN(A152)-1)*1,Master!$D$29:$G$225,4,FALSE)</f>
        <v>Nedostajuća sredstva</v>
      </c>
      <c r="C152" s="557"/>
      <c r="D152" s="557"/>
      <c r="E152" s="557"/>
      <c r="F152" s="557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54" t="str">
        <f>+VLOOKUP(LEFT($A153,LEN(A153)-1)*1,Master!$D$29:$G$225,4,FALSE)</f>
        <v>Finansiranje</v>
      </c>
      <c r="C153" s="555"/>
      <c r="D153" s="555"/>
      <c r="E153" s="555"/>
      <c r="F153" s="555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558" t="str">
        <f>+VLOOKUP(LEFT($A154,LEN(A154)-1)*1,Master!$D$29:$G$225,4,FALSE)</f>
        <v>Pozajmice i krediti od domaćih izvora</v>
      </c>
      <c r="C154" s="559"/>
      <c r="D154" s="559"/>
      <c r="E154" s="559"/>
      <c r="F154" s="55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60" t="str">
        <f>+VLOOKUP(LEFT($A155,LEN(A155)-1)*1,Master!$D$29:$G$225,4,FALSE)</f>
        <v>Pozajmice i krediti od inostranih izvora</v>
      </c>
      <c r="C155" s="561"/>
      <c r="D155" s="561"/>
      <c r="E155" s="561"/>
      <c r="F155" s="56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60" t="str">
        <f>+VLOOKUP(LEFT($A156,LEN(A156)-1)*1,Master!$D$29:$G$225,4,FALSE)</f>
        <v>Primici od prodaje imovine</v>
      </c>
      <c r="C156" s="561"/>
      <c r="D156" s="561"/>
      <c r="E156" s="561"/>
      <c r="F156" s="56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2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806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500">
        <f>+SUM(G10:I10)</f>
        <v>371325583.83000004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2019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4951000000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807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808</v>
      </c>
    </row>
    <row r="10" spans="1:20" ht="13.5" thickBot="1">
      <c r="A10" s="150">
        <v>7</v>
      </c>
      <c r="B10" s="526" t="s">
        <v>681</v>
      </c>
      <c r="C10" s="527"/>
      <c r="D10" s="527"/>
      <c r="E10" s="527"/>
      <c r="F10" s="52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42" t="s">
        <v>120</v>
      </c>
      <c r="C30" s="543"/>
      <c r="D30" s="543"/>
      <c r="E30" s="543"/>
      <c r="F30" s="543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36" t="s">
        <v>122</v>
      </c>
      <c r="C31" s="537"/>
      <c r="D31" s="537"/>
      <c r="E31" s="537"/>
      <c r="F31" s="53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36" t="s">
        <v>133</v>
      </c>
      <c r="C32" s="537"/>
      <c r="D32" s="537"/>
      <c r="E32" s="537"/>
      <c r="F32" s="53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36" t="s">
        <v>148</v>
      </c>
      <c r="C33" s="537"/>
      <c r="D33" s="537"/>
      <c r="E33" s="537"/>
      <c r="F33" s="53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36" t="s">
        <v>162</v>
      </c>
      <c r="C34" s="537"/>
      <c r="D34" s="537"/>
      <c r="E34" s="537"/>
      <c r="F34" s="53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605" t="s">
        <v>182</v>
      </c>
      <c r="C35" s="606"/>
      <c r="D35" s="606"/>
      <c r="E35" s="606"/>
      <c r="F35" s="60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36" t="s">
        <v>190</v>
      </c>
      <c r="C36" s="537"/>
      <c r="D36" s="537"/>
      <c r="E36" s="537"/>
      <c r="F36" s="53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36" t="s">
        <v>196</v>
      </c>
      <c r="C37" s="537"/>
      <c r="D37" s="537"/>
      <c r="E37" s="537"/>
      <c r="F37" s="53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36" t="s">
        <v>204</v>
      </c>
      <c r="C38" s="537"/>
      <c r="D38" s="537"/>
      <c r="E38" s="537"/>
      <c r="F38" s="53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36" t="s">
        <v>212</v>
      </c>
      <c r="C39" s="537"/>
      <c r="D39" s="537"/>
      <c r="E39" s="537"/>
      <c r="F39" s="53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32" t="s">
        <v>230</v>
      </c>
      <c r="C40" s="533"/>
      <c r="D40" s="533"/>
      <c r="E40" s="533"/>
      <c r="F40" s="53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36" t="s">
        <v>232</v>
      </c>
      <c r="C41" s="537"/>
      <c r="D41" s="537"/>
      <c r="E41" s="537"/>
      <c r="F41" s="53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36" t="s">
        <v>248</v>
      </c>
      <c r="C42" s="537"/>
      <c r="D42" s="537"/>
      <c r="E42" s="537"/>
      <c r="F42" s="53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36" t="s">
        <v>259</v>
      </c>
      <c r="C43" s="537"/>
      <c r="D43" s="537"/>
      <c r="E43" s="537"/>
      <c r="F43" s="53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36" t="s">
        <v>274</v>
      </c>
      <c r="C44" s="537"/>
      <c r="D44" s="537"/>
      <c r="E44" s="537"/>
      <c r="F44" s="53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36" t="s">
        <v>278</v>
      </c>
      <c r="C45" s="537"/>
      <c r="D45" s="537"/>
      <c r="E45" s="537"/>
      <c r="F45" s="53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34" t="s">
        <v>286</v>
      </c>
      <c r="C46" s="535"/>
      <c r="D46" s="535"/>
      <c r="E46" s="535"/>
      <c r="F46" s="535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34" t="s">
        <v>320</v>
      </c>
      <c r="C47" s="535"/>
      <c r="D47" s="535"/>
      <c r="E47" s="535"/>
      <c r="F47" s="535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603" t="s">
        <v>113</v>
      </c>
      <c r="C48" s="604"/>
      <c r="D48" s="604"/>
      <c r="E48" s="604"/>
      <c r="F48" s="604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95" t="s">
        <v>366</v>
      </c>
      <c r="C49" s="596"/>
      <c r="D49" s="596"/>
      <c r="E49" s="596"/>
      <c r="F49" s="59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22" t="s">
        <v>359</v>
      </c>
      <c r="C50" s="523"/>
      <c r="D50" s="523"/>
      <c r="E50" s="523"/>
      <c r="F50" s="52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97" t="s">
        <v>795</v>
      </c>
      <c r="C51" s="598"/>
      <c r="D51" s="598"/>
      <c r="E51" s="598"/>
      <c r="F51" s="59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599" t="s">
        <v>685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20" t="s">
        <v>355</v>
      </c>
      <c r="C56" s="521"/>
      <c r="D56" s="521"/>
      <c r="E56" s="521"/>
      <c r="F56" s="52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04" t="s">
        <v>357</v>
      </c>
      <c r="C57" s="505"/>
      <c r="D57" s="505"/>
      <c r="E57" s="505"/>
      <c r="F57" s="50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08" t="s">
        <v>336</v>
      </c>
      <c r="C58" s="609"/>
      <c r="D58" s="609"/>
      <c r="E58" s="609"/>
      <c r="F58" s="609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24" t="s">
        <v>543</v>
      </c>
      <c r="C59" s="525"/>
      <c r="D59" s="525"/>
      <c r="E59" s="525"/>
      <c r="F59" s="525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26" t="s">
        <v>544</v>
      </c>
      <c r="C60" s="527"/>
      <c r="D60" s="527"/>
      <c r="E60" s="527"/>
      <c r="F60" s="52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20" t="s">
        <v>114</v>
      </c>
      <c r="C61" s="521"/>
      <c r="D61" s="521"/>
      <c r="E61" s="521"/>
      <c r="F61" s="52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04" t="s">
        <v>116</v>
      </c>
      <c r="C62" s="505"/>
      <c r="D62" s="505"/>
      <c r="E62" s="505"/>
      <c r="F62" s="50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04" t="s">
        <v>93</v>
      </c>
      <c r="C63" s="505"/>
      <c r="D63" s="505"/>
      <c r="E63" s="505"/>
      <c r="F63" s="50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4" t="s">
        <v>552</v>
      </c>
      <c r="C100" s="585"/>
      <c r="D100" s="585"/>
      <c r="E100" s="585"/>
      <c r="F100" s="585"/>
      <c r="G100" s="592">
        <v>2019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f>+T7</f>
        <v>4951000000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">
        <v>807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0" t="s">
        <v>681</v>
      </c>
      <c r="C103" s="581"/>
      <c r="D103" s="581"/>
      <c r="E103" s="581"/>
      <c r="F103" s="58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82" t="s">
        <v>21</v>
      </c>
      <c r="C104" s="583"/>
      <c r="D104" s="583"/>
      <c r="E104" s="583"/>
      <c r="F104" s="58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0" t="s">
        <v>23</v>
      </c>
      <c r="C105" s="571"/>
      <c r="D105" s="571"/>
      <c r="E105" s="571"/>
      <c r="F105" s="57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0" t="s">
        <v>25</v>
      </c>
      <c r="C106" s="571"/>
      <c r="D106" s="571"/>
      <c r="E106" s="571"/>
      <c r="F106" s="57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0" t="s">
        <v>27</v>
      </c>
      <c r="C107" s="571"/>
      <c r="D107" s="571"/>
      <c r="E107" s="571"/>
      <c r="F107" s="57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0" t="s">
        <v>29</v>
      </c>
      <c r="C108" s="571"/>
      <c r="D108" s="571"/>
      <c r="E108" s="571"/>
      <c r="F108" s="57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0" t="s">
        <v>31</v>
      </c>
      <c r="C109" s="571"/>
      <c r="D109" s="571"/>
      <c r="E109" s="571"/>
      <c r="F109" s="57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0" t="s">
        <v>33</v>
      </c>
      <c r="C110" s="571"/>
      <c r="D110" s="571"/>
      <c r="E110" s="571"/>
      <c r="F110" s="57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0" t="s">
        <v>722</v>
      </c>
      <c r="C111" s="571"/>
      <c r="D111" s="571"/>
      <c r="E111" s="571"/>
      <c r="F111" s="57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78" t="s">
        <v>37</v>
      </c>
      <c r="C112" s="579"/>
      <c r="D112" s="579"/>
      <c r="E112" s="579"/>
      <c r="F112" s="57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0" t="s">
        <v>39</v>
      </c>
      <c r="C113" s="571"/>
      <c r="D113" s="571"/>
      <c r="E113" s="571"/>
      <c r="F113" s="57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0" t="s">
        <v>41</v>
      </c>
      <c r="C114" s="571"/>
      <c r="D114" s="571"/>
      <c r="E114" s="571"/>
      <c r="F114" s="57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0" t="s">
        <v>43</v>
      </c>
      <c r="C115" s="571"/>
      <c r="D115" s="571"/>
      <c r="E115" s="571"/>
      <c r="F115" s="57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0" t="s">
        <v>45</v>
      </c>
      <c r="C116" s="571"/>
      <c r="D116" s="571"/>
      <c r="E116" s="571"/>
      <c r="F116" s="57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76" t="s">
        <v>47</v>
      </c>
      <c r="C117" s="577"/>
      <c r="D117" s="577"/>
      <c r="E117" s="577"/>
      <c r="F117" s="57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76" t="s">
        <v>61</v>
      </c>
      <c r="C118" s="577"/>
      <c r="D118" s="577"/>
      <c r="E118" s="577"/>
      <c r="F118" s="57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76" t="s">
        <v>81</v>
      </c>
      <c r="C119" s="577"/>
      <c r="D119" s="577"/>
      <c r="E119" s="577"/>
      <c r="F119" s="57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76" t="s">
        <v>99</v>
      </c>
      <c r="C120" s="577"/>
      <c r="D120" s="577"/>
      <c r="E120" s="577"/>
      <c r="F120" s="57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72" t="s">
        <v>105</v>
      </c>
      <c r="C121" s="573"/>
      <c r="D121" s="573"/>
      <c r="E121" s="573"/>
      <c r="F121" s="57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54" t="s">
        <v>809</v>
      </c>
      <c r="C122" s="555"/>
      <c r="D122" s="555"/>
      <c r="E122" s="555"/>
      <c r="F122" s="555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12" t="s">
        <v>774</v>
      </c>
      <c r="C123" s="613"/>
      <c r="D123" s="613"/>
      <c r="E123" s="613"/>
      <c r="F123" s="61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0" t="s">
        <v>122</v>
      </c>
      <c r="C125" s="571"/>
      <c r="D125" s="571"/>
      <c r="E125" s="571"/>
      <c r="F125" s="57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0" t="s">
        <v>133</v>
      </c>
      <c r="C126" s="571"/>
      <c r="D126" s="571"/>
      <c r="E126" s="571"/>
      <c r="F126" s="57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0" t="s">
        <v>148</v>
      </c>
      <c r="C127" s="571"/>
      <c r="D127" s="571"/>
      <c r="E127" s="571"/>
      <c r="F127" s="57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0" t="s">
        <v>162</v>
      </c>
      <c r="C128" s="571"/>
      <c r="D128" s="571"/>
      <c r="E128" s="571"/>
      <c r="F128" s="57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0" t="s">
        <v>182</v>
      </c>
      <c r="C129" s="571"/>
      <c r="D129" s="571"/>
      <c r="E129" s="571"/>
      <c r="F129" s="57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0" t="s">
        <v>190</v>
      </c>
      <c r="C130" s="571"/>
      <c r="D130" s="571"/>
      <c r="E130" s="571"/>
      <c r="F130" s="57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0" t="s">
        <v>196</v>
      </c>
      <c r="C131" s="571"/>
      <c r="D131" s="571"/>
      <c r="E131" s="571"/>
      <c r="F131" s="57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0" t="s">
        <v>204</v>
      </c>
      <c r="C132" s="571"/>
      <c r="D132" s="571"/>
      <c r="E132" s="571"/>
      <c r="F132" s="57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0" t="s">
        <v>212</v>
      </c>
      <c r="C133" s="571"/>
      <c r="D133" s="571"/>
      <c r="E133" s="571"/>
      <c r="F133" s="57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0" t="e">
        <v>#REF!</v>
      </c>
      <c r="C134" s="571"/>
      <c r="D134" s="571"/>
      <c r="E134" s="571"/>
      <c r="F134" s="57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6" t="s">
        <v>230</v>
      </c>
      <c r="C135" s="567"/>
      <c r="D135" s="567"/>
      <c r="E135" s="567"/>
      <c r="F135" s="567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0" t="s">
        <v>232</v>
      </c>
      <c r="C136" s="571"/>
      <c r="D136" s="571"/>
      <c r="E136" s="571"/>
      <c r="F136" s="57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0" t="s">
        <v>248</v>
      </c>
      <c r="C137" s="571"/>
      <c r="D137" s="571"/>
      <c r="E137" s="571"/>
      <c r="F137" s="57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0" t="s">
        <v>259</v>
      </c>
      <c r="C138" s="571"/>
      <c r="D138" s="571"/>
      <c r="E138" s="571"/>
      <c r="F138" s="57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0" t="s">
        <v>274</v>
      </c>
      <c r="C139" s="571"/>
      <c r="D139" s="571"/>
      <c r="E139" s="571"/>
      <c r="F139" s="57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0" t="s">
        <v>278</v>
      </c>
      <c r="C140" s="571"/>
      <c r="D140" s="571"/>
      <c r="E140" s="571"/>
      <c r="F140" s="57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68" t="s">
        <v>286</v>
      </c>
      <c r="C141" s="569"/>
      <c r="D141" s="569"/>
      <c r="E141" s="569"/>
      <c r="F141" s="56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68" t="s">
        <v>810</v>
      </c>
      <c r="C142" s="569"/>
      <c r="D142" s="569"/>
      <c r="E142" s="569"/>
      <c r="F142" s="56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0" t="s">
        <v>113</v>
      </c>
      <c r="C143" s="561"/>
      <c r="D143" s="561"/>
      <c r="E143" s="561"/>
      <c r="F143" s="56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60" t="s">
        <v>366</v>
      </c>
      <c r="C144" s="561"/>
      <c r="D144" s="561"/>
      <c r="E144" s="561"/>
      <c r="F144" s="56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60" t="s">
        <v>359</v>
      </c>
      <c r="C145" s="561"/>
      <c r="D145" s="561"/>
      <c r="E145" s="561"/>
      <c r="F145" s="56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60" t="s">
        <v>365</v>
      </c>
      <c r="C146" s="561"/>
      <c r="D146" s="561"/>
      <c r="E146" s="561"/>
      <c r="F146" s="56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0" t="s">
        <v>686</v>
      </c>
      <c r="C147" s="611"/>
      <c r="D147" s="611"/>
      <c r="E147" s="611"/>
      <c r="F147" s="61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562" t="s">
        <v>545</v>
      </c>
      <c r="C148" s="563"/>
      <c r="D148" s="563"/>
      <c r="E148" s="563"/>
      <c r="F148" s="56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564" t="s">
        <v>811</v>
      </c>
      <c r="C149" s="565"/>
      <c r="D149" s="565"/>
      <c r="E149" s="565"/>
      <c r="F149" s="565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66" t="s">
        <v>352</v>
      </c>
      <c r="C150" s="567"/>
      <c r="D150" s="567"/>
      <c r="E150" s="567"/>
      <c r="F150" s="567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558" t="s">
        <v>355</v>
      </c>
      <c r="C151" s="559"/>
      <c r="D151" s="559"/>
      <c r="E151" s="559"/>
      <c r="F151" s="559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60" t="s">
        <v>357</v>
      </c>
      <c r="C152" s="561"/>
      <c r="D152" s="561"/>
      <c r="E152" s="561"/>
      <c r="F152" s="56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08" t="s">
        <v>336</v>
      </c>
      <c r="C153" s="609"/>
      <c r="D153" s="609"/>
      <c r="E153" s="609"/>
      <c r="F153" s="609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56" t="s">
        <v>543</v>
      </c>
      <c r="C154" s="557"/>
      <c r="D154" s="557"/>
      <c r="E154" s="557"/>
      <c r="F154" s="557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54" t="s">
        <v>544</v>
      </c>
      <c r="C155" s="555"/>
      <c r="D155" s="555"/>
      <c r="E155" s="555"/>
      <c r="F155" s="555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558" t="s">
        <v>114</v>
      </c>
      <c r="C156" s="559"/>
      <c r="D156" s="559"/>
      <c r="E156" s="559"/>
      <c r="F156" s="559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60" t="s">
        <v>116</v>
      </c>
      <c r="C157" s="561"/>
      <c r="D157" s="561"/>
      <c r="E157" s="561"/>
      <c r="F157" s="56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60" t="s">
        <v>93</v>
      </c>
      <c r="C158" s="561"/>
      <c r="D158" s="561"/>
      <c r="E158" s="561"/>
      <c r="F158" s="56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806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2018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4663130000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807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808</v>
      </c>
    </row>
    <row r="10" spans="1:20" ht="13.5" thickBot="1">
      <c r="A10" s="150">
        <v>7</v>
      </c>
      <c r="B10" s="548" t="s">
        <v>681</v>
      </c>
      <c r="C10" s="549"/>
      <c r="D10" s="549"/>
      <c r="E10" s="549"/>
      <c r="F10" s="54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42" t="s">
        <v>774</v>
      </c>
      <c r="C30" s="543"/>
      <c r="D30" s="543"/>
      <c r="E30" s="543"/>
      <c r="F30" s="54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44" t="s">
        <v>120</v>
      </c>
      <c r="C31" s="545"/>
      <c r="D31" s="545"/>
      <c r="E31" s="545"/>
      <c r="F31" s="54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36" t="s">
        <v>122</v>
      </c>
      <c r="C32" s="537"/>
      <c r="D32" s="537"/>
      <c r="E32" s="537"/>
      <c r="F32" s="53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36" t="s">
        <v>133</v>
      </c>
      <c r="C33" s="537"/>
      <c r="D33" s="537"/>
      <c r="E33" s="537"/>
      <c r="F33" s="53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36" t="s">
        <v>148</v>
      </c>
      <c r="C34" s="537"/>
      <c r="D34" s="537"/>
      <c r="E34" s="537"/>
      <c r="F34" s="53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36" t="s">
        <v>162</v>
      </c>
      <c r="C35" s="537"/>
      <c r="D35" s="537"/>
      <c r="E35" s="537"/>
      <c r="F35" s="53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36" t="s">
        <v>182</v>
      </c>
      <c r="C36" s="537"/>
      <c r="D36" s="537"/>
      <c r="E36" s="537"/>
      <c r="F36" s="53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36" t="s">
        <v>190</v>
      </c>
      <c r="C37" s="537"/>
      <c r="D37" s="537"/>
      <c r="E37" s="537"/>
      <c r="F37" s="53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36" t="s">
        <v>196</v>
      </c>
      <c r="C38" s="537"/>
      <c r="D38" s="537"/>
      <c r="E38" s="537"/>
      <c r="F38" s="53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36" t="s">
        <v>204</v>
      </c>
      <c r="C39" s="537"/>
      <c r="D39" s="537"/>
      <c r="E39" s="537"/>
      <c r="F39" s="53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36" t="s">
        <v>212</v>
      </c>
      <c r="C40" s="537"/>
      <c r="D40" s="537"/>
      <c r="E40" s="537"/>
      <c r="F40" s="53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36" t="s">
        <v>803</v>
      </c>
      <c r="C41" s="537"/>
      <c r="D41" s="537"/>
      <c r="E41" s="537"/>
      <c r="F41" s="53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32" t="s">
        <v>230</v>
      </c>
      <c r="C42" s="533"/>
      <c r="D42" s="533"/>
      <c r="E42" s="533"/>
      <c r="F42" s="53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36" t="s">
        <v>232</v>
      </c>
      <c r="C43" s="537"/>
      <c r="D43" s="537"/>
      <c r="E43" s="537"/>
      <c r="F43" s="53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36" t="s">
        <v>248</v>
      </c>
      <c r="C44" s="537"/>
      <c r="D44" s="537"/>
      <c r="E44" s="537"/>
      <c r="F44" s="53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36" t="s">
        <v>259</v>
      </c>
      <c r="C45" s="537"/>
      <c r="D45" s="537"/>
      <c r="E45" s="537"/>
      <c r="F45" s="53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36" t="s">
        <v>274</v>
      </c>
      <c r="C46" s="537"/>
      <c r="D46" s="537"/>
      <c r="E46" s="537"/>
      <c r="F46" s="53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16" t="s">
        <v>278</v>
      </c>
      <c r="C47" s="617"/>
      <c r="D47" s="617"/>
      <c r="E47" s="617"/>
      <c r="F47" s="61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34" t="s">
        <v>286</v>
      </c>
      <c r="C48" s="535"/>
      <c r="D48" s="535"/>
      <c r="E48" s="535"/>
      <c r="F48" s="535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34" t="s">
        <v>320</v>
      </c>
      <c r="C49" s="535"/>
      <c r="D49" s="535"/>
      <c r="E49" s="535"/>
      <c r="F49" s="535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603" t="s">
        <v>113</v>
      </c>
      <c r="C50" s="604"/>
      <c r="D50" s="604"/>
      <c r="E50" s="604"/>
      <c r="F50" s="604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04" t="s">
        <v>366</v>
      </c>
      <c r="C51" s="505"/>
      <c r="D51" s="505"/>
      <c r="E51" s="505"/>
      <c r="F51" s="50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22" t="s">
        <v>359</v>
      </c>
      <c r="C52" s="523"/>
      <c r="D52" s="523"/>
      <c r="E52" s="523"/>
      <c r="F52" s="52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97" t="s">
        <v>795</v>
      </c>
      <c r="C53" s="598"/>
      <c r="D53" s="598"/>
      <c r="E53" s="598"/>
      <c r="F53" s="59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599" t="s">
        <v>685</v>
      </c>
      <c r="C54" s="600"/>
      <c r="D54" s="600"/>
      <c r="E54" s="600"/>
      <c r="F54" s="60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20" t="s">
        <v>355</v>
      </c>
      <c r="C59" s="521"/>
      <c r="D59" s="521"/>
      <c r="E59" s="521"/>
      <c r="F59" s="52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04" t="s">
        <v>357</v>
      </c>
      <c r="C60" s="505"/>
      <c r="D60" s="505"/>
      <c r="E60" s="505"/>
      <c r="F60" s="50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14" t="s">
        <v>336</v>
      </c>
      <c r="C61" s="615"/>
      <c r="D61" s="615"/>
      <c r="E61" s="615"/>
      <c r="F61" s="61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24" t="s">
        <v>543</v>
      </c>
      <c r="C62" s="525"/>
      <c r="D62" s="525"/>
      <c r="E62" s="525"/>
      <c r="F62" s="525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26" t="s">
        <v>544</v>
      </c>
      <c r="C63" s="527"/>
      <c r="D63" s="527"/>
      <c r="E63" s="527"/>
      <c r="F63" s="52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20" t="s">
        <v>114</v>
      </c>
      <c r="C64" s="521"/>
      <c r="D64" s="521"/>
      <c r="E64" s="521"/>
      <c r="F64" s="52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04" t="s">
        <v>116</v>
      </c>
      <c r="C65" s="505"/>
      <c r="D65" s="505"/>
      <c r="E65" s="505"/>
      <c r="F65" s="50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04" t="s">
        <v>93</v>
      </c>
      <c r="C66" s="505"/>
      <c r="D66" s="505"/>
      <c r="E66" s="505"/>
      <c r="F66" s="50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4" t="s">
        <v>552</v>
      </c>
      <c r="C103" s="585"/>
      <c r="D103" s="585"/>
      <c r="E103" s="585"/>
      <c r="F103" s="585"/>
      <c r="G103" s="592">
        <v>2018</v>
      </c>
      <c r="H103" s="593"/>
      <c r="I103" s="593"/>
      <c r="J103" s="593"/>
      <c r="K103" s="593"/>
      <c r="L103" s="593"/>
      <c r="M103" s="593"/>
      <c r="N103" s="593"/>
      <c r="O103" s="593"/>
      <c r="P103" s="593"/>
      <c r="Q103" s="593"/>
      <c r="R103" s="594"/>
      <c r="S103" s="107" t="str">
        <f>+S7</f>
        <v>BDP</v>
      </c>
      <c r="T103" s="108">
        <f>+T7</f>
        <v>4663130000</v>
      </c>
    </row>
    <row r="104" spans="1:21" ht="15.75" customHeight="1">
      <c r="B104" s="586"/>
      <c r="C104" s="587"/>
      <c r="D104" s="587"/>
      <c r="E104" s="587"/>
      <c r="F104" s="58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2" t="s">
        <v>807</v>
      </c>
      <c r="T104" s="594">
        <f>+T8</f>
        <v>0</v>
      </c>
    </row>
    <row r="105" spans="1:21" ht="13.5" thickBot="1">
      <c r="B105" s="589"/>
      <c r="C105" s="590"/>
      <c r="D105" s="590"/>
      <c r="E105" s="590"/>
      <c r="F105" s="59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0" t="s">
        <v>681</v>
      </c>
      <c r="C106" s="581"/>
      <c r="D106" s="581"/>
      <c r="E106" s="581"/>
      <c r="F106" s="58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82" t="s">
        <v>21</v>
      </c>
      <c r="C107" s="583"/>
      <c r="D107" s="583"/>
      <c r="E107" s="583"/>
      <c r="F107" s="58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0" t="s">
        <v>23</v>
      </c>
      <c r="C108" s="571"/>
      <c r="D108" s="571"/>
      <c r="E108" s="571"/>
      <c r="F108" s="57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0" t="s">
        <v>25</v>
      </c>
      <c r="C109" s="571"/>
      <c r="D109" s="571"/>
      <c r="E109" s="571"/>
      <c r="F109" s="57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0" t="s">
        <v>27</v>
      </c>
      <c r="C110" s="571"/>
      <c r="D110" s="571"/>
      <c r="E110" s="571"/>
      <c r="F110" s="57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0" t="s">
        <v>29</v>
      </c>
      <c r="C111" s="571"/>
      <c r="D111" s="571"/>
      <c r="E111" s="571"/>
      <c r="F111" s="57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0" t="s">
        <v>31</v>
      </c>
      <c r="C112" s="571"/>
      <c r="D112" s="571"/>
      <c r="E112" s="571"/>
      <c r="F112" s="57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0" t="s">
        <v>33</v>
      </c>
      <c r="C113" s="571"/>
      <c r="D113" s="571"/>
      <c r="E113" s="571"/>
      <c r="F113" s="57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0" t="s">
        <v>722</v>
      </c>
      <c r="C114" s="571"/>
      <c r="D114" s="571"/>
      <c r="E114" s="571"/>
      <c r="F114" s="57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78" t="s">
        <v>37</v>
      </c>
      <c r="C115" s="579"/>
      <c r="D115" s="579"/>
      <c r="E115" s="579"/>
      <c r="F115" s="57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0" t="s">
        <v>39</v>
      </c>
      <c r="C116" s="571"/>
      <c r="D116" s="571"/>
      <c r="E116" s="571"/>
      <c r="F116" s="57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0" t="s">
        <v>41</v>
      </c>
      <c r="C117" s="571"/>
      <c r="D117" s="571"/>
      <c r="E117" s="571"/>
      <c r="F117" s="57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0" t="s">
        <v>43</v>
      </c>
      <c r="C118" s="571"/>
      <c r="D118" s="571"/>
      <c r="E118" s="571"/>
      <c r="F118" s="57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0" t="s">
        <v>45</v>
      </c>
      <c r="C119" s="571"/>
      <c r="D119" s="571"/>
      <c r="E119" s="571"/>
      <c r="F119" s="57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76" t="s">
        <v>47</v>
      </c>
      <c r="C120" s="577"/>
      <c r="D120" s="577"/>
      <c r="E120" s="577"/>
      <c r="F120" s="57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76" t="s">
        <v>61</v>
      </c>
      <c r="C121" s="577"/>
      <c r="D121" s="577"/>
      <c r="E121" s="577"/>
      <c r="F121" s="57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76" t="s">
        <v>81</v>
      </c>
      <c r="C122" s="577"/>
      <c r="D122" s="577"/>
      <c r="E122" s="577"/>
      <c r="F122" s="57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76" t="s">
        <v>99</v>
      </c>
      <c r="C123" s="577"/>
      <c r="D123" s="577"/>
      <c r="E123" s="577"/>
      <c r="F123" s="57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72" t="s">
        <v>105</v>
      </c>
      <c r="C124" s="573"/>
      <c r="D124" s="573"/>
      <c r="E124" s="573"/>
      <c r="F124" s="57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54" t="s">
        <v>809</v>
      </c>
      <c r="C125" s="555"/>
      <c r="D125" s="555"/>
      <c r="E125" s="555"/>
      <c r="F125" s="555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12" t="s">
        <v>774</v>
      </c>
      <c r="C126" s="613"/>
      <c r="D126" s="613"/>
      <c r="E126" s="613"/>
      <c r="F126" s="61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0" t="s">
        <v>122</v>
      </c>
      <c r="C128" s="571"/>
      <c r="D128" s="571"/>
      <c r="E128" s="571"/>
      <c r="F128" s="57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0" t="s">
        <v>133</v>
      </c>
      <c r="C129" s="571"/>
      <c r="D129" s="571"/>
      <c r="E129" s="571"/>
      <c r="F129" s="57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0" t="s">
        <v>148</v>
      </c>
      <c r="C130" s="571"/>
      <c r="D130" s="571"/>
      <c r="E130" s="571"/>
      <c r="F130" s="57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0" t="s">
        <v>162</v>
      </c>
      <c r="C131" s="571"/>
      <c r="D131" s="571"/>
      <c r="E131" s="571"/>
      <c r="F131" s="57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0" t="s">
        <v>182</v>
      </c>
      <c r="C132" s="571"/>
      <c r="D132" s="571"/>
      <c r="E132" s="571"/>
      <c r="F132" s="57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0" t="s">
        <v>190</v>
      </c>
      <c r="C133" s="571"/>
      <c r="D133" s="571"/>
      <c r="E133" s="571"/>
      <c r="F133" s="57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0" t="s">
        <v>196</v>
      </c>
      <c r="C134" s="571"/>
      <c r="D134" s="571"/>
      <c r="E134" s="571"/>
      <c r="F134" s="57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0" t="s">
        <v>204</v>
      </c>
      <c r="C135" s="571"/>
      <c r="D135" s="571"/>
      <c r="E135" s="571"/>
      <c r="F135" s="57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0" t="s">
        <v>212</v>
      </c>
      <c r="C136" s="571"/>
      <c r="D136" s="571"/>
      <c r="E136" s="571"/>
      <c r="F136" s="57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0" t="s">
        <v>803</v>
      </c>
      <c r="C137" s="571"/>
      <c r="D137" s="571"/>
      <c r="E137" s="571"/>
      <c r="F137" s="57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66" t="s">
        <v>230</v>
      </c>
      <c r="C138" s="567"/>
      <c r="D138" s="567"/>
      <c r="E138" s="567"/>
      <c r="F138" s="567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0" t="s">
        <v>232</v>
      </c>
      <c r="C139" s="571"/>
      <c r="D139" s="571"/>
      <c r="E139" s="571"/>
      <c r="F139" s="57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0" t="s">
        <v>248</v>
      </c>
      <c r="C140" s="571"/>
      <c r="D140" s="571"/>
      <c r="E140" s="571"/>
      <c r="F140" s="57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0" t="s">
        <v>259</v>
      </c>
      <c r="C141" s="571"/>
      <c r="D141" s="571"/>
      <c r="E141" s="571"/>
      <c r="F141" s="57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0" t="s">
        <v>274</v>
      </c>
      <c r="C142" s="571"/>
      <c r="D142" s="571"/>
      <c r="E142" s="571"/>
      <c r="F142" s="57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0" t="s">
        <v>278</v>
      </c>
      <c r="C143" s="571"/>
      <c r="D143" s="571"/>
      <c r="E143" s="571"/>
      <c r="F143" s="57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68" t="s">
        <v>286</v>
      </c>
      <c r="C144" s="569"/>
      <c r="D144" s="569"/>
      <c r="E144" s="569"/>
      <c r="F144" s="56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68" t="s">
        <v>810</v>
      </c>
      <c r="C145" s="569"/>
      <c r="D145" s="569"/>
      <c r="E145" s="569"/>
      <c r="F145" s="56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60" t="s">
        <v>113</v>
      </c>
      <c r="C146" s="561"/>
      <c r="D146" s="561"/>
      <c r="E146" s="561"/>
      <c r="F146" s="56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60" t="s">
        <v>366</v>
      </c>
      <c r="C147" s="561"/>
      <c r="D147" s="561"/>
      <c r="E147" s="561"/>
      <c r="F147" s="56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60" t="s">
        <v>359</v>
      </c>
      <c r="C148" s="561"/>
      <c r="D148" s="561"/>
      <c r="E148" s="561"/>
      <c r="F148" s="56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562" t="s">
        <v>545</v>
      </c>
      <c r="C150" s="563"/>
      <c r="D150" s="563"/>
      <c r="E150" s="563"/>
      <c r="F150" s="56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564" t="s">
        <v>811</v>
      </c>
      <c r="C151" s="565"/>
      <c r="D151" s="565"/>
      <c r="E151" s="565"/>
      <c r="F151" s="565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66" t="s">
        <v>352</v>
      </c>
      <c r="C152" s="567"/>
      <c r="D152" s="567"/>
      <c r="E152" s="567"/>
      <c r="F152" s="567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558" t="s">
        <v>355</v>
      </c>
      <c r="C153" s="559"/>
      <c r="D153" s="559"/>
      <c r="E153" s="559"/>
      <c r="F153" s="559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60" t="s">
        <v>357</v>
      </c>
      <c r="C154" s="561"/>
      <c r="D154" s="561"/>
      <c r="E154" s="561"/>
      <c r="F154" s="56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60" t="s">
        <v>365</v>
      </c>
      <c r="C155" s="561"/>
      <c r="D155" s="561"/>
      <c r="E155" s="561"/>
      <c r="F155" s="56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6" t="s">
        <v>543</v>
      </c>
      <c r="C157" s="557"/>
      <c r="D157" s="557"/>
      <c r="E157" s="557"/>
      <c r="F157" s="557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54" t="s">
        <v>544</v>
      </c>
      <c r="C158" s="555"/>
      <c r="D158" s="555"/>
      <c r="E158" s="555"/>
      <c r="F158" s="555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558" t="s">
        <v>114</v>
      </c>
      <c r="C159" s="559"/>
      <c r="D159" s="559"/>
      <c r="E159" s="559"/>
      <c r="F159" s="559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60" t="s">
        <v>116</v>
      </c>
      <c r="C160" s="561"/>
      <c r="D160" s="561"/>
      <c r="E160" s="561"/>
      <c r="F160" s="56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60" t="s">
        <v>93</v>
      </c>
      <c r="C161" s="561"/>
      <c r="D161" s="561"/>
      <c r="E161" s="561"/>
      <c r="F161" s="56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8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0"/>
      <c r="R6" s="618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0"/>
      <c r="AD6" s="618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0"/>
      <c r="AP6" s="618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0"/>
      <c r="BB6" s="618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0"/>
      <c r="BN6" s="618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0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8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0"/>
      <c r="CX6" s="618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0"/>
      <c r="DJ6" s="618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8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0"/>
      <c r="R214" s="618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0"/>
      <c r="AD214" s="618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0"/>
      <c r="AP214" s="618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0"/>
      <c r="BB214" s="618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0"/>
      <c r="BN214" s="618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0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18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0"/>
      <c r="CX214" s="618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0"/>
      <c r="DJ214" s="618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Pregled</vt:lpstr>
      <vt:lpstr>Analitika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2022-03-03T07:18:34Z</cp:lastPrinted>
  <dcterms:created xsi:type="dcterms:W3CDTF">2014-09-15T13:41:17Z</dcterms:created>
  <dcterms:modified xsi:type="dcterms:W3CDTF">2022-05-20T05:59:25Z</dcterms:modified>
</cp:coreProperties>
</file>