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.stanisic\Desktop\GDDS FINAL 12\"/>
    </mc:Choice>
  </mc:AlternateContent>
  <xr:revisionPtr revIDLastSave="0" documentId="13_ncr:1_{54445423-B758-4D3C-B212-9BCB9A36E0B7}" xr6:coauthVersionLast="36" xr6:coauthVersionMax="36" xr10:uidLastSave="{00000000-0000-0000-0000-000000000000}"/>
  <workbookProtection workbookAlgorithmName="SHA-512" workbookHashValue="Z1lL6jdNAf54FZbrl2s8U6lDrpwYvkEfDMWmu+FbjIuCfdODzhtST/yInCI77rpzc7e7qKp3pth2/Q7Gd+Hgww==" workbookSaltValue="8lC0ujWoGfEM+8ToRLIRSg==" workbookSpinCount="100000" lockStructure="1"/>
  <bookViews>
    <workbookView xWindow="0" yWindow="0" windowWidth="28800" windowHeight="12225" firstSheet="1" activeTab="3" xr2:uid="{F33AA2D6-DA4F-4EA2-9704-FB53D5665553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externalReferences>
    <externalReference r:id="rId12"/>
  </externalReference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'2023'!$A$83:$A$142</definedName>
  </definedNames>
  <calcPr calcId="191029"/>
</workbook>
</file>

<file path=xl/calcChain.xml><?xml version="1.0" encoding="utf-8"?>
<calcChain xmlns="http://schemas.openxmlformats.org/spreadsheetml/2006/main">
  <c r="H65" i="11" l="1"/>
  <c r="H64" i="11"/>
  <c r="H63" i="11"/>
  <c r="H62" i="11"/>
  <c r="H59" i="11"/>
  <c r="H58" i="11"/>
  <c r="H57" i="11"/>
  <c r="H56" i="11"/>
  <c r="H51" i="11"/>
  <c r="H50" i="11"/>
  <c r="H49" i="11"/>
  <c r="H48" i="11"/>
  <c r="H46" i="11"/>
  <c r="H45" i="11"/>
  <c r="H44" i="11"/>
  <c r="H43" i="11"/>
  <c r="H42" i="11"/>
  <c r="H41" i="11"/>
  <c r="H39" i="11"/>
  <c r="H38" i="11"/>
  <c r="H37" i="11"/>
  <c r="H36" i="11"/>
  <c r="H35" i="11"/>
  <c r="H34" i="11"/>
  <c r="H33" i="11"/>
  <c r="H32" i="11"/>
  <c r="H31" i="11"/>
  <c r="H28" i="11"/>
  <c r="H26" i="11"/>
  <c r="H25" i="11"/>
  <c r="H24" i="11"/>
  <c r="H23" i="11"/>
  <c r="H22" i="11"/>
  <c r="H21" i="11"/>
  <c r="H20" i="11"/>
  <c r="H18" i="11"/>
  <c r="H17" i="11"/>
  <c r="H16" i="11"/>
  <c r="H15" i="11"/>
  <c r="H14" i="11"/>
  <c r="H13" i="11"/>
  <c r="H12" i="11"/>
  <c r="S131" i="26" l="1"/>
  <c r="H55" i="11" s="1"/>
  <c r="S87" i="26"/>
  <c r="S123" i="26"/>
  <c r="H47" i="11" s="1"/>
  <c r="S106" i="26"/>
  <c r="S116" i="26"/>
  <c r="H40" i="11" s="1"/>
  <c r="S95" i="26"/>
  <c r="H19" i="11" s="1"/>
  <c r="H11" i="11" l="1"/>
  <c r="S105" i="26"/>
  <c r="H29" i="11" s="1"/>
  <c r="H30" i="11"/>
  <c r="K12" i="11" l="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K59" i="11"/>
  <c r="K62" i="11"/>
  <c r="K63" i="11"/>
  <c r="K64" i="11"/>
  <c r="K65" i="11"/>
  <c r="R12" i="1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R59" i="11"/>
  <c r="R62" i="11"/>
  <c r="R63" i="11"/>
  <c r="R64" i="11"/>
  <c r="R65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29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15" i="11"/>
  <c r="O14" i="11"/>
  <c r="O13" i="11"/>
  <c r="O12" i="11"/>
  <c r="O11" i="11"/>
  <c r="O10" i="11"/>
  <c r="N18" i="11" l="1"/>
  <c r="N17" i="11"/>
  <c r="N16" i="11"/>
  <c r="N15" i="11"/>
  <c r="N14" i="11"/>
  <c r="N31" i="11" l="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Q47" i="11" s="1"/>
  <c r="N48" i="11"/>
  <c r="N49" i="11"/>
  <c r="N50" i="11"/>
  <c r="N51" i="11"/>
  <c r="N52" i="11"/>
  <c r="N56" i="11"/>
  <c r="N57" i="11"/>
  <c r="N58" i="11"/>
  <c r="N59" i="11"/>
  <c r="N62" i="11"/>
  <c r="N63" i="11"/>
  <c r="N64" i="11"/>
  <c r="N65" i="11"/>
  <c r="N27" i="11"/>
  <c r="N28" i="11"/>
  <c r="N12" i="11"/>
  <c r="N13" i="11"/>
  <c r="N20" i="11"/>
  <c r="N21" i="11"/>
  <c r="N22" i="11"/>
  <c r="N23" i="11"/>
  <c r="N24" i="11"/>
  <c r="N25" i="11"/>
  <c r="N26" i="11"/>
  <c r="Q59" i="11" l="1"/>
  <c r="T59" i="11"/>
  <c r="T135" i="26"/>
  <c r="S59" i="11" l="1"/>
  <c r="P59" i="11"/>
  <c r="T141" i="26" l="1"/>
  <c r="L8" i="26" l="1"/>
  <c r="L5" i="26"/>
  <c r="K8" i="26"/>
  <c r="K5" i="26"/>
  <c r="J8" i="26"/>
  <c r="J5" i="26"/>
  <c r="I8" i="26"/>
  <c r="I5" i="26"/>
  <c r="H8" i="26"/>
  <c r="H5" i="26"/>
  <c r="G8" i="26"/>
  <c r="G5" i="26"/>
  <c r="T65" i="11" l="1"/>
  <c r="S65" i="11"/>
  <c r="S59" i="25" l="1"/>
  <c r="S65" i="25"/>
  <c r="T59" i="26" l="1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R40" i="11" s="1"/>
  <c r="G245" i="2" l="1"/>
  <c r="N40" i="11" l="1"/>
  <c r="A142" i="26"/>
  <c r="T140" i="26"/>
  <c r="A140" i="26"/>
  <c r="T139" i="26"/>
  <c r="A139" i="26"/>
  <c r="T138" i="26"/>
  <c r="A138" i="26"/>
  <c r="A137" i="26"/>
  <c r="A136" i="26"/>
  <c r="T134" i="26"/>
  <c r="A134" i="26"/>
  <c r="T133" i="26"/>
  <c r="A133" i="26"/>
  <c r="T132" i="26"/>
  <c r="A132" i="26"/>
  <c r="A131" i="26"/>
  <c r="A130" i="26"/>
  <c r="A129" i="26"/>
  <c r="S128" i="26"/>
  <c r="A128" i="26"/>
  <c r="T127" i="26"/>
  <c r="A127" i="26"/>
  <c r="T126" i="26"/>
  <c r="A126" i="26"/>
  <c r="A125" i="26"/>
  <c r="T124" i="26"/>
  <c r="A124" i="26"/>
  <c r="A123" i="26"/>
  <c r="A122" i="26"/>
  <c r="T121" i="26"/>
  <c r="A121" i="26"/>
  <c r="T120" i="26"/>
  <c r="A120" i="26"/>
  <c r="T119" i="26"/>
  <c r="A119" i="26"/>
  <c r="T118" i="26"/>
  <c r="A118" i="26"/>
  <c r="T117" i="26"/>
  <c r="A117" i="26"/>
  <c r="A116" i="26"/>
  <c r="A115" i="26"/>
  <c r="T114" i="26"/>
  <c r="A114" i="26"/>
  <c r="A113" i="26"/>
  <c r="T112" i="26"/>
  <c r="A112" i="26"/>
  <c r="T111" i="26"/>
  <c r="A111" i="26"/>
  <c r="A110" i="26"/>
  <c r="A109" i="26"/>
  <c r="T108" i="26"/>
  <c r="A108" i="26"/>
  <c r="A107" i="26"/>
  <c r="A106" i="26"/>
  <c r="A105" i="26"/>
  <c r="T104" i="26"/>
  <c r="A104" i="26"/>
  <c r="S103" i="26"/>
  <c r="A103" i="26"/>
  <c r="T102" i="26"/>
  <c r="A102" i="26"/>
  <c r="T101" i="26"/>
  <c r="A101" i="26"/>
  <c r="T100" i="26"/>
  <c r="A100" i="26"/>
  <c r="T99" i="26"/>
  <c r="A99" i="26"/>
  <c r="T98" i="26"/>
  <c r="A98" i="26"/>
  <c r="T97" i="26"/>
  <c r="A97" i="26"/>
  <c r="T96" i="26"/>
  <c r="A96" i="26"/>
  <c r="A95" i="26"/>
  <c r="T94" i="26"/>
  <c r="A94" i="26"/>
  <c r="T93" i="26"/>
  <c r="A93" i="26"/>
  <c r="T92" i="26"/>
  <c r="A92" i="26"/>
  <c r="T91" i="26"/>
  <c r="A91" i="26"/>
  <c r="T90" i="26"/>
  <c r="A90" i="26"/>
  <c r="T89" i="26"/>
  <c r="A89" i="26"/>
  <c r="T88" i="26"/>
  <c r="A88" i="26"/>
  <c r="A87" i="26"/>
  <c r="A86" i="26"/>
  <c r="T84" i="26"/>
  <c r="N55" i="11"/>
  <c r="G49" i="11"/>
  <c r="I49" i="11" s="1"/>
  <c r="N30" i="11"/>
  <c r="N19" i="11"/>
  <c r="N11" i="11"/>
  <c r="R5" i="26"/>
  <c r="Q5" i="26"/>
  <c r="P5" i="26"/>
  <c r="O5" i="26"/>
  <c r="N5" i="26"/>
  <c r="M5" i="26"/>
  <c r="T103" i="26" l="1"/>
  <c r="H27" i="11"/>
  <c r="S86" i="26"/>
  <c r="T128" i="26"/>
  <c r="H52" i="11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N10" i="11"/>
  <c r="T125" i="26"/>
  <c r="T123" i="26"/>
  <c r="T122" i="26"/>
  <c r="T115" i="26"/>
  <c r="T113" i="26"/>
  <c r="T110" i="26"/>
  <c r="T109" i="26"/>
  <c r="T107" i="26"/>
  <c r="T95" i="26"/>
  <c r="T131" i="26"/>
  <c r="T116" i="26"/>
  <c r="N29" i="11"/>
  <c r="T87" i="26"/>
  <c r="H10" i="11" l="1"/>
  <c r="S129" i="26"/>
  <c r="D12" i="1"/>
  <c r="E12" i="1" s="1"/>
  <c r="N53" i="11"/>
  <c r="T55" i="26"/>
  <c r="G55" i="11"/>
  <c r="T40" i="26"/>
  <c r="G40" i="11"/>
  <c r="D16" i="1"/>
  <c r="E16" i="1" s="1"/>
  <c r="T19" i="26"/>
  <c r="G19" i="11"/>
  <c r="T11" i="26"/>
  <c r="G11" i="11"/>
  <c r="T30" i="26"/>
  <c r="G30" i="11"/>
  <c r="G29" i="11"/>
  <c r="T106" i="26"/>
  <c r="T86" i="26"/>
  <c r="S136" i="26" l="1"/>
  <c r="S130" i="26"/>
  <c r="H54" i="11" s="1"/>
  <c r="H53" i="11"/>
  <c r="D20" i="1"/>
  <c r="E20" i="1" s="1"/>
  <c r="N54" i="11"/>
  <c r="T29" i="26"/>
  <c r="G16" i="1"/>
  <c r="H16" i="1" s="1"/>
  <c r="T10" i="26"/>
  <c r="G10" i="11"/>
  <c r="T105" i="26"/>
  <c r="T129" i="26"/>
  <c r="G11" i="2"/>
  <c r="H60" i="11" l="1"/>
  <c r="S142" i="26"/>
  <c r="N60" i="11"/>
  <c r="P60" i="11"/>
  <c r="G12" i="1"/>
  <c r="H12" i="1" s="1"/>
  <c r="I10" i="11"/>
  <c r="T53" i="26"/>
  <c r="G53" i="11"/>
  <c r="G20" i="1" s="1"/>
  <c r="H20" i="1" s="1"/>
  <c r="T130" i="26"/>
  <c r="T136" i="26"/>
  <c r="S137" i="26" l="1"/>
  <c r="H61" i="11" s="1"/>
  <c r="H66" i="11"/>
  <c r="N61" i="11"/>
  <c r="N66" i="11"/>
  <c r="Q65" i="11"/>
  <c r="J65" i="11"/>
  <c r="I65" i="11"/>
  <c r="P65" i="11"/>
  <c r="T54" i="26"/>
  <c r="G54" i="11"/>
  <c r="T60" i="26"/>
  <c r="G60" i="11"/>
  <c r="T142" i="26"/>
  <c r="J19" i="25"/>
  <c r="J11" i="25"/>
  <c r="P61" i="11" l="1"/>
  <c r="J10" i="25"/>
  <c r="T137" i="26"/>
  <c r="T66" i="26"/>
  <c r="G66" i="11"/>
  <c r="T61" i="26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R55" i="11" s="1"/>
  <c r="Q55" i="25"/>
  <c r="P55" i="25"/>
  <c r="O55" i="25"/>
  <c r="N55" i="25"/>
  <c r="M55" i="25"/>
  <c r="L55" i="25"/>
  <c r="K55" i="25"/>
  <c r="J55" i="25"/>
  <c r="I55" i="25"/>
  <c r="H55" i="25"/>
  <c r="G55" i="25"/>
  <c r="K55" i="11" s="1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R30" i="11" s="1"/>
  <c r="Q30" i="25"/>
  <c r="P30" i="25"/>
  <c r="O30" i="25"/>
  <c r="N30" i="25"/>
  <c r="M30" i="25"/>
  <c r="L30" i="25"/>
  <c r="K30" i="25"/>
  <c r="J30" i="25"/>
  <c r="I30" i="25"/>
  <c r="H30" i="25"/>
  <c r="G30" i="25"/>
  <c r="K30" i="11" s="1"/>
  <c r="S28" i="25"/>
  <c r="S27" i="25"/>
  <c r="S26" i="25"/>
  <c r="S25" i="25"/>
  <c r="S24" i="25"/>
  <c r="S23" i="25"/>
  <c r="S22" i="25"/>
  <c r="S21" i="25"/>
  <c r="S20" i="25"/>
  <c r="R19" i="25"/>
  <c r="R19" i="11" s="1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R11" i="11" s="1"/>
  <c r="Q11" i="25"/>
  <c r="P11" i="25"/>
  <c r="O11" i="25"/>
  <c r="N11" i="25"/>
  <c r="M11" i="25"/>
  <c r="K11" i="25"/>
  <c r="I11" i="25"/>
  <c r="H11" i="25"/>
  <c r="G11" i="25"/>
  <c r="K11" i="11" s="1"/>
  <c r="R5" i="25"/>
  <c r="Q5" i="25"/>
  <c r="P5" i="25"/>
  <c r="O5" i="25"/>
  <c r="N5" i="25"/>
  <c r="M5" i="25"/>
  <c r="L5" i="25"/>
  <c r="K5" i="25"/>
  <c r="J5" i="25"/>
  <c r="I5" i="25"/>
  <c r="H5" i="25"/>
  <c r="G5" i="25"/>
  <c r="K19" i="11" l="1"/>
  <c r="K40" i="11"/>
  <c r="L86" i="25"/>
  <c r="R86" i="25"/>
  <c r="R10" i="25"/>
  <c r="R10" i="11" s="1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R29" i="11" s="1"/>
  <c r="S40" i="25"/>
  <c r="G29" i="25"/>
  <c r="S19" i="25"/>
  <c r="S11" i="25"/>
  <c r="S55" i="25"/>
  <c r="S95" i="25"/>
  <c r="S106" i="25"/>
  <c r="T106" i="25" s="1"/>
  <c r="S131" i="25"/>
  <c r="T131" i="25" s="1"/>
  <c r="K29" i="11" l="1"/>
  <c r="K10" i="11"/>
  <c r="J53" i="25"/>
  <c r="N53" i="25"/>
  <c r="I53" i="25"/>
  <c r="R53" i="25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R60" i="25" l="1"/>
  <c r="R60" i="11" s="1"/>
  <c r="R53" i="11"/>
  <c r="K53" i="11"/>
  <c r="O60" i="25"/>
  <c r="O66" i="25" s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K66" i="25"/>
  <c r="K61" i="25" s="1"/>
  <c r="J54" i="25"/>
  <c r="H140" i="25"/>
  <c r="H136" i="25" s="1"/>
  <c r="L140" i="25"/>
  <c r="L136" i="25" s="1"/>
  <c r="K140" i="25"/>
  <c r="K136" i="25" s="1"/>
  <c r="R66" i="25"/>
  <c r="R66" i="11" s="1"/>
  <c r="O54" i="25"/>
  <c r="G66" i="25"/>
  <c r="S53" i="25"/>
  <c r="S60" i="25" s="1"/>
  <c r="R54" i="25"/>
  <c r="R54" i="11" s="1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K54" i="11" l="1"/>
  <c r="K60" i="11"/>
  <c r="L60" i="11"/>
  <c r="O61" i="25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K66" i="11" l="1"/>
  <c r="N61" i="25"/>
  <c r="R61" i="25"/>
  <c r="R61" i="11" s="1"/>
  <c r="Q61" i="25"/>
  <c r="T54" i="25"/>
  <c r="T60" i="25"/>
  <c r="H61" i="25"/>
  <c r="K61" i="11" s="1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G242" i="2"/>
  <c r="Q8" i="26" s="1"/>
  <c r="G241" i="2"/>
  <c r="G240" i="2"/>
  <c r="O8" i="26" s="1"/>
  <c r="G239" i="2"/>
  <c r="N8" i="26" s="1"/>
  <c r="G238" i="2"/>
  <c r="M8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B14" i="3" s="1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E350" i="6" s="1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S350" i="6" s="1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D49" i="6" s="1"/>
  <c r="DC50" i="6"/>
  <c r="DB50" i="6"/>
  <c r="DB49" i="6" s="1"/>
  <c r="DA50" i="6"/>
  <c r="DA49" i="6" s="1"/>
  <c r="CZ50" i="6"/>
  <c r="CZ49" i="6" s="1"/>
  <c r="CY50" i="6"/>
  <c r="CX50" i="6"/>
  <c r="DI49" i="6"/>
  <c r="DH49" i="6"/>
  <c r="DG49" i="6"/>
  <c r="DF49" i="6"/>
  <c r="DE49" i="6"/>
  <c r="DC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B27" i="11"/>
  <c r="DP385" i="6"/>
  <c r="DA350" i="6" l="1"/>
  <c r="CZ385" i="6"/>
  <c r="E4" i="3"/>
  <c r="ED217" i="6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O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CM190" i="6"/>
  <c r="CN190" i="6"/>
  <c r="CP190" i="6"/>
  <c r="CQ190" i="6"/>
  <c r="G276" i="2"/>
  <c r="G275" i="2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G254" i="2" l="1"/>
  <c r="B7" i="11" s="1"/>
  <c r="S61" i="1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R136" i="25" s="1"/>
  <c r="Q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<sst xmlns="http://schemas.openxmlformats.org/spreadsheetml/2006/main" count="1815" uniqueCount="861">
  <si>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</si>
  <si>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</si>
  <si>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</si>
  <si>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</si>
  <si>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</si>
  <si>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</si>
  <si>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</si>
  <si>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</si>
  <si>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</si>
  <si>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</si>
  <si>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</si>
  <si>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</si>
  <si>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</si>
  <si>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</si>
  <si>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</si>
  <si>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</si>
  <si>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</si>
  <si>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</si>
  <si>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</si>
  <si>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</si>
  <si>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</si>
  <si>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</si>
  <si>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</si>
  <si>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</si>
  <si>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</si>
  <si>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</si>
  <si>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</si>
  <si>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</si>
  <si>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</si>
  <si>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</si>
  <si>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</si>
  <si>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</si>
  <si>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</si>
  <si>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</si>
  <si>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</si>
  <si>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</si>
  <si>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</si>
  <si>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</si>
  <si>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</si>
  <si>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</si>
  <si>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</si>
  <si>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</si>
  <si>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</si>
  <si>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</si>
  <si>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</si>
  <si>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</si>
  <si>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</si>
  <si>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</si>
  <si>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</si>
  <si>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</si>
  <si>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</si>
  <si>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</si>
  <si>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</si>
  <si>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</si>
  <si>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</si>
  <si>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</si>
  <si>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</si>
  <si>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</si>
  <si>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</si>
  <si>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</si>
  <si>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</si>
  <si>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</si>
  <si>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</si>
  <si>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</si>
  <si>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</si>
  <si>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</si>
  <si>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</si>
  <si>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</si>
  <si>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</si>
  <si>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</si>
  <si>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</si>
  <si>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</si>
  <si>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</si>
  <si>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</si>
  <si>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</si>
  <si>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</si>
  <si>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</si>
  <si>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</si>
  <si>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</si>
  <si>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</si>
  <si>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</si>
  <si>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</si>
  <si>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</si>
  <si>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</si>
  <si>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</si>
  <si>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</si>
  <si>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</si>
  <si>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</si>
  <si>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</si>
  <si>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</si>
  <si>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</si>
  <si>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</si>
  <si>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</si>
  <si>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</si>
  <si>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</si>
  <si>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</si>
  <si>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</si>
  <si>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</si>
  <si>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</si>
  <si>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</si>
  <si>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</si>
  <si>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</si>
  <si>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</si>
  <si>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</si>
  <si>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</si>
  <si>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</si>
  <si>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</si>
  <si>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</si>
  <si>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</si>
  <si>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</si>
  <si>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</si>
  <si>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</si>
  <si>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</si>
  <si>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</si>
  <si>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</si>
  <si>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</si>
  <si>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</si>
  <si>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</si>
  <si>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</si>
  <si>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</si>
  <si>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</si>
  <si>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</si>
  <si>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</si>
  <si>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</si>
  <si>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</si>
  <si>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</si>
  <si>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</si>
  <si>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</si>
  <si>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</si>
  <si>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</si>
  <si>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</si>
  <si>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</si>
  <si>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</si>
  <si>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</si>
  <si>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</si>
  <si>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</si>
  <si>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</si>
  <si>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</si>
  <si>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</si>
  <si>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</si>
  <si>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</si>
  <si>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</si>
  <si>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</si>
  <si>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</si>
  <si>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</si>
  <si>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</si>
  <si>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</si>
  <si>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</si>
  <si>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</si>
  <si>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</si>
  <si>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</si>
  <si>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</si>
  <si>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</si>
  <si>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</si>
  <si>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</si>
  <si>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</si>
  <si>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</si>
  <si>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</si>
  <si>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</si>
  <si>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</si>
  <si>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</si>
  <si>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</si>
  <si>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</si>
  <si>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</si>
  <si>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</si>
  <si>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</si>
  <si>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</si>
  <si>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</si>
  <si>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</si>
  <si>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</si>
  <si>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</si>
  <si>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</si>
  <si>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</si>
  <si>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</si>
  <si>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</si>
  <si>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</si>
  <si>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</si>
  <si>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</si>
  <si>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</si>
  <si>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</si>
  <si>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</si>
  <si>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</si>
  <si>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</si>
  <si>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</si>
  <si>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</si>
  <si>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</si>
  <si>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</si>
  <si>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</si>
  <si>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</si>
  <si>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</si>
  <si>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</si>
  <si>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</si>
  <si>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</si>
  <si>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</si>
  <si>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</si>
  <si>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</si>
  <si>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</si>
  <si>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</si>
  <si>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</si>
  <si>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</si>
  <si>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</si>
  <si>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</si>
  <si>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</si>
  <si>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</si>
  <si>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</si>
  <si>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</si>
  <si>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</si>
  <si>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</si>
  <si>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</si>
  <si>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</si>
  <si>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</si>
  <si>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</si>
  <si>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</si>
  <si>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</si>
  <si>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</si>
  <si>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</si>
  <si>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</si>
  <si>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</si>
  <si>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</si>
  <si>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</si>
  <si>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</si>
  <si>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</si>
  <si>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</si>
  <si>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</si>
  <si>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</si>
  <si>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</si>
  <si>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</si>
  <si>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</si>
  <si>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</si>
  <si>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</si>
  <si>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</si>
  <si>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</si>
  <si>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</si>
  <si>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</si>
  <si>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</si>
  <si>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</si>
  <si>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</si>
  <si>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</si>
  <si>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</si>
  <si>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</si>
  <si>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</si>
  <si>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</si>
  <si>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</si>
  <si>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</si>
  <si>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</si>
  <si>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</si>
  <si>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</si>
  <si>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</si>
  <si>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</si>
  <si>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</si>
  <si>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</si>
  <si>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</si>
  <si>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</si>
  <si>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</si>
  <si>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</si>
  <si>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</si>
  <si>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</si>
  <si>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</si>
  <si>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</si>
  <si>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</si>
  <si>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</si>
  <si>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</si>
  <si>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</si>
  <si>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</si>
  <si>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</si>
  <si>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</si>
  <si>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</si>
  <si>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</si>
  <si>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</si>
  <si>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</si>
  <si>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</si>
  <si>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</si>
  <si>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</si>
  <si>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</si>
  <si>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</si>
  <si>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</si>
  <si>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</si>
  <si>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</si>
  <si>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</si>
  <si>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</si>
  <si>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</si>
  <si>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</si>
  <si>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</si>
  <si>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</si>
  <si>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</si>
  <si>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</si>
  <si>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</si>
  <si>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</si>
  <si>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</si>
  <si>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</si>
  <si>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</si>
  <si>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</si>
  <si>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</si>
  <si>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</si>
  <si>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</si>
  <si>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</si>
  <si>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</si>
  <si>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</si>
  <si>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</si>
  <si>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</si>
  <si>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</si>
  <si>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</si>
  <si>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</si>
  <si>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</si>
  <si>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</si>
  <si>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</si>
  <si>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</si>
  <si>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</si>
  <si>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</si>
  <si>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</si>
  <si>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</si>
  <si>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</si>
  <si>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</si>
  <si>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</si>
  <si>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</si>
  <si>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</si>
  <si>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</si>
  <si>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</si>
  <si>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</si>
  <si>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</si>
  <si>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</si>
  <si>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</si>
  <si>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</si>
  <si>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</si>
  <si>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</si>
  <si>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</si>
  <si>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</si>
  <si>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</si>
  <si>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</si>
  <si>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</si>
  <si>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</si>
  <si>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</si>
  <si>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</si>
  <si>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</si>
  <si>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</si>
  <si>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</si>
  <si>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</si>
  <si>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</si>
  <si>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</si>
  <si>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</si>
  <si>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</si>
  <si>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</si>
  <si>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</si>
  <si>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</si>
  <si>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</si>
  <si>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</si>
  <si>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</si>
  <si>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</si>
  <si>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</si>
  <si>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</si>
  <si>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</si>
  <si>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</si>
  <si>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</si>
  <si>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</si>
  <si>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</si>
  <si>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</si>
  <si>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</si>
  <si>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</si>
  <si>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</si>
  <si>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</si>
  <si>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</si>
  <si>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</si>
  <si>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</si>
  <si>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</si>
  <si>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</si>
  <si>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</si>
  <si>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</si>
  <si>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</si>
  <si>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</si>
  <si>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</si>
  <si>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</si>
  <si>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</si>
  <si>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</si>
  <si>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</si>
  <si>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</si>
  <si>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</si>
  <si>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</si>
  <si>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</si>
  <si>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</si>
  <si>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</si>
  <si>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</si>
  <si>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</si>
  <si>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</si>
  <si>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</si>
  <si>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</si>
  <si>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</si>
  <si>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</si>
  <si>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</si>
  <si>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</si>
  <si>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</si>
  <si>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</si>
  <si>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</si>
  <si>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</si>
  <si>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</si>
  <si>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</si>
  <si>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</si>
  <si>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</si>
  <si>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</si>
  <si>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</si>
  <si>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</si>
  <si>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</si>
  <si>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</si>
  <si>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</si>
  <si>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</si>
  <si>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</si>
  <si>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</si>
  <si>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</si>
  <si>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</si>
  <si>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</si>
  <si>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</si>
  <si>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</si>
  <si>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</si>
  <si>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</si>
  <si>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</si>
  <si>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</si>
  <si>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</si>
  <si>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</si>
  <si>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</si>
  <si>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</si>
  <si>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</si>
  <si>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</si>
  <si>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</si>
  <si>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</si>
  <si>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</si>
  <si>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</si>
  <si>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</si>
  <si>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</si>
  <si>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</si>
  <si>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</si>
  <si>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</si>
  <si>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</si>
  <si>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</si>
  <si>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</si>
  <si>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</si>
  <si>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</si>
  <si>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</si>
  <si>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</si>
  <si>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</si>
  <si>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</si>
  <si>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</si>
  <si>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</si>
  <si>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</si>
  <si>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</si>
  <si>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</si>
  <si>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</si>
  <si>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</si>
  <si>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</si>
  <si>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</si>
  <si>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</si>
  <si>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</si>
  <si>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</si>
  <si>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</si>
  <si>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</si>
  <si>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</si>
  <si>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</si>
  <si>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</si>
  <si>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</si>
  <si>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</si>
  <si>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</si>
  <si>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</si>
  <si>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</si>
  <si>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</si>
  <si>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</si>
  <si>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</si>
  <si>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</si>
  <si>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</si>
  <si>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</si>
  <si>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</si>
  <si>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</si>
  <si>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</si>
  <si>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</si>
  <si>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</si>
  <si>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</si>
  <si>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</si>
  <si>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</si>
  <si>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</si>
  <si>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</si>
  <si>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</si>
  <si>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</si>
  <si>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</si>
  <si>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</si>
  <si>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</si>
  <si>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</si>
  <si>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</si>
  <si>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</si>
  <si>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</si>
  <si>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</si>
  <si>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</si>
  <si>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</si>
  <si>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</si>
  <si>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</si>
  <si>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</si>
  <si>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</si>
  <si>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</si>
  <si>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</si>
  <si>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</si>
  <si>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</si>
  <si>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</si>
  <si>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</si>
  <si>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</si>
  <si>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</si>
  <si>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</si>
  <si>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</si>
  <si>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</si>
  <si>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</si>
  <si>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</si>
  <si>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</si>
  <si>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</si>
  <si>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</si>
  <si>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</si>
  <si>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</si>
  <si>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</si>
  <si>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</si>
  <si>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</si>
  <si>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</si>
  <si>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</si>
  <si>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</si>
  <si>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</si>
  <si>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</si>
  <si>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</si>
  <si>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</si>
  <si>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</si>
  <si>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</si>
  <si>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</si>
  <si>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</si>
  <si>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</si>
  <si>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</si>
  <si>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</si>
  <si>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</si>
  <si>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</si>
  <si>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</si>
  <si>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</si>
  <si>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</si>
  <si>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</si>
  <si>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</si>
  <si>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</si>
  <si>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</si>
  <si>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</si>
  <si>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</si>
  <si>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</si>
  <si>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</si>
  <si>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</si>
  <si>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</si>
  <si>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</si>
  <si>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</si>
  <si>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</si>
  <si>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</si>
  <si>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</si>
  <si>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</si>
  <si>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</si>
  <si>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</si>
  <si>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</si>
  <si>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</si>
  <si>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</si>
  <si>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</si>
  <si>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</si>
  <si>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</si>
  <si>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</si>
  <si>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</si>
  <si>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</si>
  <si>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</si>
  <si>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</si>
  <si>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</si>
  <si>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</si>
  <si>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</si>
  <si>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</si>
  <si>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</si>
  <si>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</si>
  <si>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</si>
  <si>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</si>
  <si>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</si>
  <si>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</si>
  <si>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</si>
  <si>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</si>
  <si>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</si>
  <si>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</si>
  <si>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</si>
  <si>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</si>
  <si>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</si>
  <si>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</si>
  <si>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</si>
  <si>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</si>
  <si>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</si>
  <si>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</si>
  <si>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</si>
  <si>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</si>
  <si>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</si>
  <si>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</si>
  <si>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</si>
  <si>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</si>
  <si>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</si>
  <si>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</si>
  <si>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</si>
  <si>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</si>
  <si>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</si>
  <si>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</si>
  <si>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</si>
  <si>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</si>
  <si>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</si>
  <si>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</si>
  <si>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</si>
  <si>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</si>
  <si>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</si>
  <si>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</si>
  <si>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</si>
  <si>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</si>
  <si>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</si>
  <si>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</si>
  <si>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</si>
  <si>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</si>
  <si>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</si>
  <si>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</si>
  <si>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</si>
  <si>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</si>
  <si>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</si>
  <si>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</si>
  <si>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</si>
  <si>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</si>
  <si>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</si>
  <si>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</si>
  <si>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</si>
  <si>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</si>
  <si>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</si>
  <si>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</si>
  <si>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</si>
  <si>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</si>
  <si>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</si>
  <si>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</si>
  <si>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</si>
  <si>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</si>
  <si>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</si>
  <si>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</si>
  <si>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</si>
  <si>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</si>
  <si>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</si>
  <si>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</si>
  <si>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</si>
  <si>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</si>
  <si>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</si>
  <si>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</si>
  <si>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</si>
  <si>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</si>
  <si>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</si>
  <si>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</si>
  <si>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</si>
  <si>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</si>
  <si>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</si>
  <si>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</si>
  <si>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</si>
  <si>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</si>
  <si>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</si>
  <si>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</si>
  <si>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</si>
  <si>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</si>
  <si>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</si>
  <si>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</si>
  <si>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</si>
  <si>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</si>
  <si>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</si>
  <si>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</si>
  <si>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</si>
  <si>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</si>
  <si>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</si>
  <si>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</si>
  <si>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</si>
  <si>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</si>
  <si>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</si>
  <si>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</si>
  <si>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</si>
  <si>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</si>
  <si>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</si>
  <si>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</si>
  <si>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</si>
  <si>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</si>
  <si>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</si>
  <si>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</si>
  <si>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</si>
  <si>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</si>
  <si>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</si>
  <si>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</si>
  <si>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</si>
  <si>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</si>
  <si>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</si>
  <si>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</si>
  <si>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</si>
  <si>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</si>
  <si>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</si>
  <si>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</si>
  <si>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</si>
  <si>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</si>
  <si>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</si>
  <si>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</si>
  <si>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</si>
  <si>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</si>
  <si>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</si>
  <si>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</si>
  <si>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</si>
  <si>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</si>
  <si>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</si>
  <si>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</si>
  <si>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</si>
  <si>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</si>
  <si>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</si>
  <si>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</si>
  <si>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</si>
  <si>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</si>
  <si>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</si>
  <si>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</si>
  <si>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</si>
  <si>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</si>
  <si>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</si>
  <si>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</si>
  <si>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</si>
  <si>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</si>
  <si>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</si>
  <si>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</si>
  <si>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</si>
  <si>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</si>
  <si>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</si>
  <si>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</si>
  <si>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</si>
  <si>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</si>
  <si>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</si>
  <si>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</si>
  <si>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</si>
  <si>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</si>
  <si>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</si>
  <si>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</si>
  <si>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</si>
  <si>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</si>
  <si>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</si>
  <si>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</si>
  <si>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</si>
  <si>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</si>
  <si>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</si>
  <si>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</si>
  <si>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</si>
  <si>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</si>
  <si>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</si>
  <si>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</si>
  <si>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</si>
  <si>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</si>
  <si>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</si>
  <si>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</si>
  <si>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</si>
  <si>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</si>
  <si>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</si>
  <si>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</si>
  <si>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</si>
  <si>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</si>
  <si>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</si>
  <si>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</si>
  <si>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</si>
  <si>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</si>
  <si>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</si>
  <si>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</si>
  <si>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</si>
  <si>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</si>
  <si>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</si>
  <si>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</si>
  <si>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</si>
  <si>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</si>
  <si>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</si>
  <si>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</si>
  <si>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</si>
  <si>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</si>
  <si>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</si>
  <si>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</si>
  <si>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</si>
  <si>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</si>
  <si>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</si>
  <si>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</si>
  <si>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</si>
  <si>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</si>
  <si>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</si>
  <si>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</si>
  <si>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</si>
  <si>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</si>
  <si>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</si>
  <si>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</si>
  <si>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</si>
  <si>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</si>
  <si>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</si>
  <si>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</si>
  <si>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</si>
  <si>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</si>
  <si>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</si>
  <si>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</si>
  <si>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</si>
  <si>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</si>
  <si>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</si>
  <si>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</si>
  <si>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</si>
  <si>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</si>
  <si>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</si>
  <si>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</si>
  <si>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</si>
  <si>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</si>
  <si>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</si>
  <si>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</si>
  <si>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</si>
  <si>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</si>
  <si>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</si>
  <si>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</si>
  <si>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</si>
  <si>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</si>
  <si>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</si>
  <si>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</si>
  <si>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</si>
  <si>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</si>
  <si>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</si>
  <si>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</si>
  <si>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</si>
  <si>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</si>
  <si>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</si>
  <si>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</si>
  <si>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</si>
  <si>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</si>
  <si>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</si>
  <si>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</si>
  <si>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</si>
  <si>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</si>
  <si>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</si>
  <si>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</si>
  <si>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</si>
  <si>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</si>
  <si>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</si>
  <si>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</si>
  <si>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</si>
  <si>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</si>
  <si>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</si>
  <si>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</si>
  <si>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</si>
  <si>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</si>
  <si>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</si>
  <si>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</si>
  <si>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</si>
  <si>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</si>
  <si>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</si>
  <si>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</si>
  <si>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</si>
  <si>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</si>
  <si>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</si>
  <si>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</si>
  <si>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</si>
  <si>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</si>
  <si>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</si>
  <si>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</si>
  <si>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</si>
  <si>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</si>
  <si>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</si>
  <si>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</si>
  <si>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</si>
  <si>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</si>
  <si>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</si>
  <si>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</si>
  <si>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</si>
  <si>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Revised plan 2023</t>
  </si>
  <si>
    <t>Rashodi za 2023. godinu</t>
  </si>
  <si>
    <t>Prihodi za 2023. godinu</t>
  </si>
  <si>
    <t>Suficit/Deficit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</si>
</sst>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1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54851" y="1323976"/>
          <a:ext cx="3173941" cy="293581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2.565,3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38.7%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i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mjenama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ona o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žetu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142.6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5.9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569,9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28,6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en-US">
            <a:effectLst/>
          </a:endParaRPr>
        </a:p>
        <a:p>
          <a:pPr algn="just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periodu iznosili su 2.555,4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38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6%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mjenama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ona o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žetu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rashodi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su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niži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83,7 mil. € ili 3,2% dok su u odnosu na isti period 2022. godine veći za  309,6  mil. € ili 13,8%.</a:t>
          </a:r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periodu 2023. godine zabilježen je suficit budžeta u iznosu od 10,0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0,2% procijenjenog BDP-a.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23</xdr:col>
      <xdr:colOff>180975</xdr:colOff>
      <xdr:row>22</xdr:row>
      <xdr:rowOff>59267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372476" y="1323976"/>
          <a:ext cx="4124324" cy="294534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353483</xdr:colOff>
      <xdr:row>0</xdr:row>
      <xdr:rowOff>85725</xdr:rowOff>
    </xdr:from>
    <xdr:to>
      <xdr:col>3</xdr:col>
      <xdr:colOff>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016" y="85725"/>
          <a:ext cx="907314" cy="8022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20</xdr:col>
      <xdr:colOff>264159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20</xdr:col>
      <xdr:colOff>595842</xdr:colOff>
      <xdr:row>2</xdr:row>
      <xdr:rowOff>123824</xdr:rowOff>
    </xdr:from>
    <xdr:to>
      <xdr:col>22</xdr:col>
      <xdr:colOff>8043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22</xdr:col>
      <xdr:colOff>338667</xdr:colOff>
      <xdr:row>3</xdr:row>
      <xdr:rowOff>28575</xdr:rowOff>
    </xdr:from>
    <xdr:to>
      <xdr:col>23</xdr:col>
      <xdr:colOff>289242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23</xdr:col>
      <xdr:colOff>588434</xdr:colOff>
      <xdr:row>3</xdr:row>
      <xdr:rowOff>9525</xdr:rowOff>
    </xdr:from>
    <xdr:to>
      <xdr:col>25</xdr:col>
      <xdr:colOff>262785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workbookViewId="0"/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2023-12</v>
      </c>
      <c r="O6" s="128" t="str">
        <f>+CONCATENATE(N6,"p")</f>
        <v>2023-12p</v>
      </c>
      <c r="P6" s="116"/>
      <c r="Q6" s="116"/>
      <c r="R6" s="128" t="str">
        <f>+IF(Master!B3-10&gt;=0,CONCATENATE(Master!B4-1,"-",Master!B3),CONCATENATE(Master!B4-1,"-0",Master!B3))</f>
        <v>2022-12</v>
      </c>
      <c r="S6" s="116"/>
      <c r="T6" s="116"/>
    </row>
    <row r="7" spans="1:20">
      <c r="A7" s="129"/>
      <c r="B7" s="527" t="s">
        <v>691</v>
      </c>
      <c r="C7" s="528"/>
      <c r="D7" s="528"/>
      <c r="E7" s="528"/>
      <c r="F7" s="528"/>
      <c r="G7" s="536" t="s">
        <v>690</v>
      </c>
      <c r="H7" s="537"/>
      <c r="I7" s="537"/>
      <c r="J7" s="537"/>
      <c r="K7" s="537"/>
      <c r="L7" s="537"/>
      <c r="M7" s="538"/>
      <c r="N7" s="539" t="str">
        <f>+Master!G243</f>
        <v>Decembar</v>
      </c>
      <c r="O7" s="537"/>
      <c r="P7" s="537"/>
      <c r="Q7" s="537"/>
      <c r="R7" s="537"/>
      <c r="S7" s="537"/>
      <c r="T7" s="540"/>
    </row>
    <row r="8" spans="1:20">
      <c r="A8" s="129"/>
      <c r="B8" s="529"/>
      <c r="C8" s="530"/>
      <c r="D8" s="530"/>
      <c r="E8" s="530"/>
      <c r="F8" s="531"/>
      <c r="G8" s="130" t="str">
        <f>+Master!G26</f>
        <v>Ostvarenje</v>
      </c>
      <c r="H8" s="130" t="str">
        <f>+Master!G25</f>
        <v>Plan</v>
      </c>
      <c r="I8" s="525" t="str">
        <f>+Master!G261</f>
        <v>Odstupanje</v>
      </c>
      <c r="J8" s="525"/>
      <c r="K8" s="130" t="str">
        <f>+CONCATENATE(Master!G246," ",Master!B4-1)</f>
        <v>Jan - Dec 2022</v>
      </c>
      <c r="L8" s="525" t="str">
        <f>+I8</f>
        <v>Odstupanje</v>
      </c>
      <c r="M8" s="535"/>
      <c r="N8" s="131" t="str">
        <f>+G8</f>
        <v>Ostvarenje</v>
      </c>
      <c r="O8" s="130" t="str">
        <f>+H8</f>
        <v>Plan</v>
      </c>
      <c r="P8" s="525" t="str">
        <f>+I8</f>
        <v>Odstupanje</v>
      </c>
      <c r="Q8" s="525"/>
      <c r="R8" s="130" t="str">
        <f>+CONCATENATE(Master!G245," ",Master!B4-1)</f>
        <v>Decembar 2022</v>
      </c>
      <c r="S8" s="525" t="str">
        <f>+P8</f>
        <v>Odstupanje</v>
      </c>
      <c r="T8" s="526"/>
    </row>
    <row r="9" spans="1:20" ht="15.7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495" t="str">
        <f>+VLOOKUP($A10,Master!$D$30:$G$226,4,FALSE)</f>
        <v>Prihodi budžeta</v>
      </c>
      <c r="C10" s="496"/>
      <c r="D10" s="496"/>
      <c r="E10" s="496"/>
      <c r="F10" s="496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497" t="str">
        <f>+VLOOKUP($A11,Master!$D$30:$G$226,4,FALSE)</f>
        <v>Porezi</v>
      </c>
      <c r="C11" s="498"/>
      <c r="D11" s="498"/>
      <c r="E11" s="498"/>
      <c r="F11" s="498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499" t="str">
        <f>+VLOOKUP($A12,Master!$D$30:$G$226,4,FALSE)</f>
        <v>Porez na dohodak fizičkih lica</v>
      </c>
      <c r="C12" s="500"/>
      <c r="D12" s="500"/>
      <c r="E12" s="500"/>
      <c r="F12" s="500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499" t="str">
        <f>+VLOOKUP($A13,Master!$D$30:$G$226,4,FALSE)</f>
        <v>Porez na dobit pravnih lica</v>
      </c>
      <c r="C13" s="500"/>
      <c r="D13" s="500"/>
      <c r="E13" s="500"/>
      <c r="F13" s="500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499" t="str">
        <f>+VLOOKUP($A14,Master!$D$30:$G$226,4,FALSE)</f>
        <v>Porez na promet nepokretnosti</v>
      </c>
      <c r="C14" s="500"/>
      <c r="D14" s="500"/>
      <c r="E14" s="500"/>
      <c r="F14" s="500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499" t="str">
        <f>+VLOOKUP($A15,Master!$D$30:$G$226,4,FALSE)</f>
        <v>Porez na dodatu vrijednost</v>
      </c>
      <c r="C15" s="500"/>
      <c r="D15" s="500"/>
      <c r="E15" s="500"/>
      <c r="F15" s="500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499" t="str">
        <f>+VLOOKUP($A16,Master!$D$30:$G$226,4,FALSE)</f>
        <v>Akcize</v>
      </c>
      <c r="C16" s="500"/>
      <c r="D16" s="500"/>
      <c r="E16" s="500"/>
      <c r="F16" s="500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499" t="str">
        <f>+VLOOKUP($A17,Master!$D$30:$G$226,4,FALSE)</f>
        <v>Porez na međunarodnu trgovinu i transakcije</v>
      </c>
      <c r="C17" s="500"/>
      <c r="D17" s="500"/>
      <c r="E17" s="500"/>
      <c r="F17" s="500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499" t="e">
        <f>+VLOOKUP($A18,Master!$D$30:$G$226,4,FALSE)</f>
        <v>#N/A</v>
      </c>
      <c r="C18" s="500"/>
      <c r="D18" s="500"/>
      <c r="E18" s="500"/>
      <c r="F18" s="500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499" t="str">
        <f>+VLOOKUP($A19,Master!$D$30:$G$226,4,FALSE)</f>
        <v>Ostali državni porezi</v>
      </c>
      <c r="C19" s="500"/>
      <c r="D19" s="500"/>
      <c r="E19" s="500"/>
      <c r="F19" s="500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03" t="str">
        <f>+VLOOKUP($A20,Master!$D$30:$G$226,4,FALSE)</f>
        <v>Doprinosi</v>
      </c>
      <c r="C20" s="504"/>
      <c r="D20" s="504"/>
      <c r="E20" s="504"/>
      <c r="F20" s="504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499" t="str">
        <f>+VLOOKUP($A21,Master!$D$30:$G$226,4,FALSE)</f>
        <v>Doprinosi za penzijsko i invalidsko osiguranje</v>
      </c>
      <c r="C21" s="500"/>
      <c r="D21" s="500"/>
      <c r="E21" s="500"/>
      <c r="F21" s="500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499" t="str">
        <f>+VLOOKUP($A22,Master!$D$30:$G$226,4,FALSE)</f>
        <v>Doprinosi za zdravstveno osiguranje</v>
      </c>
      <c r="C22" s="500"/>
      <c r="D22" s="500"/>
      <c r="E22" s="500"/>
      <c r="F22" s="500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499" t="str">
        <f>+VLOOKUP($A23,Master!$D$30:$G$226,4,FALSE)</f>
        <v>Doprinosi za osiguranje od nezaposlenosti</v>
      </c>
      <c r="C23" s="500"/>
      <c r="D23" s="500"/>
      <c r="E23" s="500"/>
      <c r="F23" s="500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499" t="str">
        <f>+VLOOKUP($A24,Master!$D$30:$G$226,4,FALSE)</f>
        <v>Ostali doprinosi</v>
      </c>
      <c r="C24" s="500"/>
      <c r="D24" s="500"/>
      <c r="E24" s="500"/>
      <c r="F24" s="500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01" t="str">
        <f>+VLOOKUP($A25,Master!$D$30:$G$226,4,FALSE)</f>
        <v>Takse</v>
      </c>
      <c r="C25" s="502"/>
      <c r="D25" s="502"/>
      <c r="E25" s="502"/>
      <c r="F25" s="502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01" t="str">
        <f>+VLOOKUP($A26,Master!$D$30:$G$226,4,FALSE)</f>
        <v>Naknade</v>
      </c>
      <c r="C26" s="502"/>
      <c r="D26" s="502"/>
      <c r="E26" s="502"/>
      <c r="F26" s="502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01" t="str">
        <f>+VLOOKUP($A27,Master!$D$30:$G$226,4,FALSE)</f>
        <v>Ostali prihodi</v>
      </c>
      <c r="C27" s="502"/>
      <c r="D27" s="502"/>
      <c r="E27" s="502"/>
      <c r="F27" s="502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01" t="str">
        <f>+VLOOKUP($A28,Master!$D$30:$G$226,4,FALSE)</f>
        <v>Primici od otplate kredita i sredstva prenesena iz prethodne godine</v>
      </c>
      <c r="C28" s="502"/>
      <c r="D28" s="502"/>
      <c r="E28" s="502"/>
      <c r="F28" s="502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05" t="str">
        <f>+VLOOKUP($A29,Master!$D$30:$G$226,4,FALSE)</f>
        <v>Donacije i transferi</v>
      </c>
      <c r="C29" s="506"/>
      <c r="D29" s="506"/>
      <c r="E29" s="506"/>
      <c r="F29" s="506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07" t="str">
        <f>+VLOOKUP($A30,Master!$D$30:$G$226,4,FALSE)</f>
        <v>Izdaci budžeta</v>
      </c>
      <c r="C30" s="508"/>
      <c r="D30" s="508"/>
      <c r="E30" s="508"/>
      <c r="F30" s="508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09" t="str">
        <f>+VLOOKUP($A31,Master!$D$30:$G$226,4,FALSE)</f>
        <v>Tekući izdaci</v>
      </c>
      <c r="C31" s="510"/>
      <c r="D31" s="510"/>
      <c r="E31" s="510"/>
      <c r="F31" s="510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11" t="str">
        <f>+VLOOKUP($A32,Master!$D$30:$G$226,4,FALSE)</f>
        <v>Tekuća budžetska potrošnja</v>
      </c>
      <c r="C32" s="512"/>
      <c r="D32" s="512"/>
      <c r="E32" s="512"/>
      <c r="F32" s="512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499" t="str">
        <f>+VLOOKUP($A33,Master!$D$30:$G$226,4,FALSE)</f>
        <v>Bruto zarade i doprinosi na teret poslodavca</v>
      </c>
      <c r="C33" s="500"/>
      <c r="D33" s="500"/>
      <c r="E33" s="500"/>
      <c r="F33" s="500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499" t="str">
        <f>+VLOOKUP($A34,Master!$D$30:$G$226,4,FALSE)</f>
        <v>Ostala lična primanja</v>
      </c>
      <c r="C34" s="500"/>
      <c r="D34" s="500"/>
      <c r="E34" s="500"/>
      <c r="F34" s="500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499" t="str">
        <f>+VLOOKUP($A35,Master!$D$30:$G$226,4,FALSE)</f>
        <v>Rashodi za materijal</v>
      </c>
      <c r="C35" s="500"/>
      <c r="D35" s="500"/>
      <c r="E35" s="500"/>
      <c r="F35" s="500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499" t="str">
        <f>+VLOOKUP($A36,Master!$D$30:$G$226,4,FALSE)</f>
        <v>Rashodi za usluge</v>
      </c>
      <c r="C36" s="500"/>
      <c r="D36" s="500"/>
      <c r="E36" s="500"/>
      <c r="F36" s="500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499" t="str">
        <f>+VLOOKUP($A37,Master!$D$30:$G$226,4,FALSE)</f>
        <v>Rashodi za tekuće održavanje</v>
      </c>
      <c r="C37" s="500"/>
      <c r="D37" s="500"/>
      <c r="E37" s="500"/>
      <c r="F37" s="500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499" t="str">
        <f>+VLOOKUP($A38,Master!$D$30:$G$226,4,FALSE)</f>
        <v>Kamate</v>
      </c>
      <c r="C38" s="500"/>
      <c r="D38" s="500"/>
      <c r="E38" s="500"/>
      <c r="F38" s="500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499" t="str">
        <f>+VLOOKUP($A39,Master!$D$30:$G$226,4,FALSE)</f>
        <v>Renta</v>
      </c>
      <c r="C39" s="500"/>
      <c r="D39" s="500"/>
      <c r="E39" s="500"/>
      <c r="F39" s="500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499" t="str">
        <f>+VLOOKUP($A40,Master!$D$30:$G$226,4,FALSE)</f>
        <v>Subvencije</v>
      </c>
      <c r="C40" s="500"/>
      <c r="D40" s="500"/>
      <c r="E40" s="500"/>
      <c r="F40" s="500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499" t="str">
        <f>+VLOOKUP($A41,Master!$D$30:$G$226,4,FALSE)</f>
        <v>Ostali izdaci</v>
      </c>
      <c r="C41" s="500"/>
      <c r="D41" s="500"/>
      <c r="E41" s="500"/>
      <c r="F41" s="500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499" t="e">
        <f>+VLOOKUP($A42,Master!$D$30:$G$226,4,FALSE)</f>
        <v>#N/A</v>
      </c>
      <c r="C42" s="500"/>
      <c r="D42" s="500"/>
      <c r="E42" s="500"/>
      <c r="F42" s="500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15" t="str">
        <f>+VLOOKUP($A43,Master!$D$30:$G$226,4,FALSE)</f>
        <v>Transferi za socijalnu zaštitu</v>
      </c>
      <c r="C43" s="516"/>
      <c r="D43" s="516"/>
      <c r="E43" s="516"/>
      <c r="F43" s="516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499" t="str">
        <f>+VLOOKUP($A44,Master!$D$30:$G$226,4,FALSE)</f>
        <v>Prava iz oblasti socijalne zaštite</v>
      </c>
      <c r="C44" s="500"/>
      <c r="D44" s="500"/>
      <c r="E44" s="500"/>
      <c r="F44" s="500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499" t="str">
        <f>+VLOOKUP($A45,Master!$D$30:$G$226,4,FALSE)</f>
        <v>Sredstva za tehnološke viškove</v>
      </c>
      <c r="C45" s="500"/>
      <c r="D45" s="500"/>
      <c r="E45" s="500"/>
      <c r="F45" s="500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499" t="str">
        <f>+VLOOKUP($A46,Master!$D$30:$G$226,4,FALSE)</f>
        <v>Prava iz oblasti penzijskog i invalidskog osiguranja</v>
      </c>
      <c r="C46" s="500"/>
      <c r="D46" s="500"/>
      <c r="E46" s="500"/>
      <c r="F46" s="500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499" t="str">
        <f>+VLOOKUP($A47,Master!$D$30:$G$226,4,FALSE)</f>
        <v>Ostala prava iz oblasti zdravstvene zaštite</v>
      </c>
      <c r="C47" s="500"/>
      <c r="D47" s="500"/>
      <c r="E47" s="500"/>
      <c r="F47" s="500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499" t="str">
        <f>+VLOOKUP($A48,Master!$D$30:$G$226,4,FALSE)</f>
        <v>Ostala prava iz zdravstvenog osiguranja</v>
      </c>
      <c r="C48" s="500"/>
      <c r="D48" s="500"/>
      <c r="E48" s="500"/>
      <c r="F48" s="500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13" t="str">
        <f>+VLOOKUP($A49,Master!$D$30:$G$226,4,FALSE)</f>
        <v xml:space="preserve">Transferi institucijama, pojedincima, nevladinom i javnom sektoru </v>
      </c>
      <c r="C49" s="514"/>
      <c r="D49" s="514"/>
      <c r="E49" s="514"/>
      <c r="F49" s="514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13" t="str">
        <f>+VLOOKUP($A50,Master!$D$30:$G$226,4,FALSE)</f>
        <v>Kapitalni izdaci</v>
      </c>
      <c r="C50" s="514"/>
      <c r="D50" s="514"/>
      <c r="E50" s="514"/>
      <c r="F50" s="514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17" t="str">
        <f>+VLOOKUP($A51,Master!$D$30:$G$226,4,FALSE)</f>
        <v>Pozajmice i krediti</v>
      </c>
      <c r="C51" s="518"/>
      <c r="D51" s="518"/>
      <c r="E51" s="518"/>
      <c r="F51" s="518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17" t="str">
        <f>+VLOOKUP($A52,Master!$D$30:$G$226,4,FALSE)</f>
        <v>Rezerve</v>
      </c>
      <c r="C52" s="518"/>
      <c r="D52" s="518"/>
      <c r="E52" s="518"/>
      <c r="F52" s="518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19" t="str">
        <f>+VLOOKUP($A53,Master!$D$30:$G$226,4,FALSE)</f>
        <v>Otplata garancija</v>
      </c>
      <c r="C53" s="520"/>
      <c r="D53" s="520"/>
      <c r="E53" s="520"/>
      <c r="F53" s="520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19" t="str">
        <f>+VLOOKUP($A54,Master!$D$30:$G$226,4,FALSE)</f>
        <v>Otplata obaveza iz prethodnog perioda</v>
      </c>
      <c r="C54" s="520"/>
      <c r="D54" s="520"/>
      <c r="E54" s="520"/>
      <c r="F54" s="520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19" t="str">
        <f>+VLOOKUP($A55,Master!$D$30:$G$228,4,FALSE)</f>
        <v>Neto povećanje obaveza</v>
      </c>
      <c r="C55" s="520"/>
      <c r="D55" s="520"/>
      <c r="E55" s="520"/>
      <c r="F55" s="520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21" t="str">
        <f>+VLOOKUP($A56,Master!$D$30:$G$226,4,FALSE)</f>
        <v>Suficit / deficit</v>
      </c>
      <c r="C56" s="522"/>
      <c r="D56" s="522"/>
      <c r="E56" s="522"/>
      <c r="F56" s="522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23" t="str">
        <f>+VLOOKUP($A57,Master!$D$30:$G$226,4,FALSE)</f>
        <v>Primarni suficit/deficit</v>
      </c>
      <c r="C57" s="524"/>
      <c r="D57" s="524"/>
      <c r="E57" s="524"/>
      <c r="F57" s="524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15" t="str">
        <f>+VLOOKUP($A58,Master!$D$30:$G$226,4,FALSE)</f>
        <v>Otplata dugova</v>
      </c>
      <c r="C58" s="516"/>
      <c r="D58" s="516"/>
      <c r="E58" s="516"/>
      <c r="F58" s="516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541" t="str">
        <f>+VLOOKUP($A59,Master!$D$30:$G$226,4,FALSE)</f>
        <v>Otplata hartija od vrijednosti i kredita rezidentima</v>
      </c>
      <c r="C59" s="542"/>
      <c r="D59" s="542"/>
      <c r="E59" s="542"/>
      <c r="F59" s="542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17" t="str">
        <f>+VLOOKUP($A60,Master!$D$30:$G$226,4,FALSE)</f>
        <v>Otplata hartija od vrijednosti i kredita nerezidentima</v>
      </c>
      <c r="C60" s="518"/>
      <c r="D60" s="518"/>
      <c r="E60" s="518"/>
      <c r="F60" s="518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543" t="str">
        <f>+VLOOKUP($A62,Master!$D$30:$G$226,4,FALSE)</f>
        <v>Nedostajuća sredstva</v>
      </c>
      <c r="C62" s="544"/>
      <c r="D62" s="544"/>
      <c r="E62" s="544"/>
      <c r="F62" s="544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07" t="str">
        <f>+VLOOKUP($A63,Master!$D$30:$G$226,4,FALSE)</f>
        <v>Finansiranje</v>
      </c>
      <c r="C63" s="508"/>
      <c r="D63" s="508"/>
      <c r="E63" s="508"/>
      <c r="F63" s="508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541" t="str">
        <f>+VLOOKUP($A64,Master!$D$30:$G$226,4,FALSE)</f>
        <v>Pozajmice i krediti od domaćih izvora</v>
      </c>
      <c r="C64" s="542"/>
      <c r="D64" s="542"/>
      <c r="E64" s="542"/>
      <c r="F64" s="542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17" t="str">
        <f>+VLOOKUP($A65,Master!$D$30:$G$226,4,FALSE)</f>
        <v>Pozajmice i krediti od inostranih izvora</v>
      </c>
      <c r="C65" s="518"/>
      <c r="D65" s="518"/>
      <c r="E65" s="518"/>
      <c r="F65" s="518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17" t="str">
        <f>+VLOOKUP($A66,Master!$D$30:$G$226,4,FALSE)</f>
        <v>Primici od prodaje imovine</v>
      </c>
      <c r="C66" s="518"/>
      <c r="D66" s="518"/>
      <c r="E66" s="518"/>
      <c r="F66" s="518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workbookViewId="0"/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13" t="s">
        <v>554</v>
      </c>
      <c r="F6" s="611">
        <v>2006</v>
      </c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2"/>
      <c r="R6" s="611">
        <v>2007</v>
      </c>
      <c r="S6" s="610"/>
      <c r="T6" s="610"/>
      <c r="U6" s="610"/>
      <c r="V6" s="610"/>
      <c r="W6" s="610"/>
      <c r="X6" s="610"/>
      <c r="Y6" s="610"/>
      <c r="Z6" s="610"/>
      <c r="AA6" s="610"/>
      <c r="AB6" s="610"/>
      <c r="AC6" s="612"/>
      <c r="AD6" s="611">
        <v>2008</v>
      </c>
      <c r="AE6" s="610"/>
      <c r="AF6" s="610"/>
      <c r="AG6" s="610"/>
      <c r="AH6" s="610"/>
      <c r="AI6" s="610"/>
      <c r="AJ6" s="610"/>
      <c r="AK6" s="610"/>
      <c r="AL6" s="610"/>
      <c r="AM6" s="610"/>
      <c r="AN6" s="610"/>
      <c r="AO6" s="612"/>
      <c r="AP6" s="611">
        <v>2009</v>
      </c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2"/>
      <c r="BB6" s="611">
        <v>2010</v>
      </c>
      <c r="BC6" s="610"/>
      <c r="BD6" s="610"/>
      <c r="BE6" s="610"/>
      <c r="BF6" s="610"/>
      <c r="BG6" s="610"/>
      <c r="BH6" s="610"/>
      <c r="BI6" s="610"/>
      <c r="BJ6" s="610"/>
      <c r="BK6" s="610"/>
      <c r="BL6" s="610"/>
      <c r="BM6" s="612"/>
      <c r="BN6" s="611">
        <v>2011</v>
      </c>
      <c r="BO6" s="610"/>
      <c r="BP6" s="610"/>
      <c r="BQ6" s="610"/>
      <c r="BR6" s="610"/>
      <c r="BS6" s="610"/>
      <c r="BT6" s="610"/>
      <c r="BU6" s="610"/>
      <c r="BV6" s="610"/>
      <c r="BW6" s="610"/>
      <c r="BX6" s="610"/>
      <c r="BY6" s="612"/>
      <c r="BZ6" s="610">
        <v>2012</v>
      </c>
      <c r="CA6" s="610"/>
      <c r="CB6" s="610"/>
      <c r="CC6" s="610"/>
      <c r="CD6" s="610"/>
      <c r="CE6" s="610"/>
      <c r="CF6" s="610"/>
      <c r="CG6" s="610"/>
      <c r="CH6" s="610"/>
      <c r="CI6" s="610"/>
      <c r="CJ6" s="610"/>
      <c r="CK6" s="610"/>
      <c r="CL6" s="611">
        <v>2013</v>
      </c>
      <c r="CM6" s="610"/>
      <c r="CN6" s="610"/>
      <c r="CO6" s="610"/>
      <c r="CP6" s="610"/>
      <c r="CQ6" s="610"/>
      <c r="CR6" s="610"/>
      <c r="CS6" s="610"/>
      <c r="CT6" s="610"/>
      <c r="CU6" s="610"/>
      <c r="CV6" s="610"/>
      <c r="CW6" s="612"/>
      <c r="CX6" s="611">
        <v>2014</v>
      </c>
      <c r="CY6" s="610"/>
      <c r="CZ6" s="610"/>
      <c r="DA6" s="610"/>
      <c r="DB6" s="610"/>
      <c r="DC6" s="610"/>
      <c r="DD6" s="610"/>
      <c r="DE6" s="610"/>
      <c r="DF6" s="610"/>
      <c r="DG6" s="610"/>
      <c r="DH6" s="610"/>
      <c r="DI6" s="612"/>
      <c r="DJ6" s="611">
        <v>2015</v>
      </c>
      <c r="DK6" s="610"/>
      <c r="DL6" s="610"/>
      <c r="DM6" s="610"/>
      <c r="DN6" s="610"/>
      <c r="DO6" s="610"/>
      <c r="DP6" s="610"/>
      <c r="DQ6" s="610"/>
      <c r="DR6" s="610"/>
      <c r="DS6" s="610"/>
      <c r="DT6" s="610"/>
      <c r="DU6" s="612"/>
    </row>
    <row r="7" spans="1:321">
      <c r="E7" s="613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13" t="s">
        <v>675</v>
      </c>
      <c r="F214" s="611">
        <v>2006</v>
      </c>
      <c r="G214" s="610"/>
      <c r="H214" s="610"/>
      <c r="I214" s="610"/>
      <c r="J214" s="610"/>
      <c r="K214" s="610"/>
      <c r="L214" s="610"/>
      <c r="M214" s="610"/>
      <c r="N214" s="610"/>
      <c r="O214" s="610"/>
      <c r="P214" s="610"/>
      <c r="Q214" s="612"/>
      <c r="R214" s="611">
        <v>2007</v>
      </c>
      <c r="S214" s="610"/>
      <c r="T214" s="610"/>
      <c r="U214" s="610"/>
      <c r="V214" s="610"/>
      <c r="W214" s="610"/>
      <c r="X214" s="610"/>
      <c r="Y214" s="610"/>
      <c r="Z214" s="610"/>
      <c r="AA214" s="610"/>
      <c r="AB214" s="610"/>
      <c r="AC214" s="612"/>
      <c r="AD214" s="611">
        <v>2008</v>
      </c>
      <c r="AE214" s="610"/>
      <c r="AF214" s="610"/>
      <c r="AG214" s="610"/>
      <c r="AH214" s="610"/>
      <c r="AI214" s="610"/>
      <c r="AJ214" s="610"/>
      <c r="AK214" s="610"/>
      <c r="AL214" s="610"/>
      <c r="AM214" s="610"/>
      <c r="AN214" s="610"/>
      <c r="AO214" s="612"/>
      <c r="AP214" s="611">
        <v>2009</v>
      </c>
      <c r="AQ214" s="610"/>
      <c r="AR214" s="610"/>
      <c r="AS214" s="610"/>
      <c r="AT214" s="610"/>
      <c r="AU214" s="610"/>
      <c r="AV214" s="610"/>
      <c r="AW214" s="610"/>
      <c r="AX214" s="610"/>
      <c r="AY214" s="610"/>
      <c r="AZ214" s="610"/>
      <c r="BA214" s="612"/>
      <c r="BB214" s="611">
        <v>2010</v>
      </c>
      <c r="BC214" s="610"/>
      <c r="BD214" s="610"/>
      <c r="BE214" s="610"/>
      <c r="BF214" s="610"/>
      <c r="BG214" s="610"/>
      <c r="BH214" s="610"/>
      <c r="BI214" s="610"/>
      <c r="BJ214" s="610"/>
      <c r="BK214" s="610"/>
      <c r="BL214" s="610"/>
      <c r="BM214" s="612"/>
      <c r="BN214" s="611">
        <v>2011</v>
      </c>
      <c r="BO214" s="610"/>
      <c r="BP214" s="610"/>
      <c r="BQ214" s="610"/>
      <c r="BR214" s="610"/>
      <c r="BS214" s="610"/>
      <c r="BT214" s="610"/>
      <c r="BU214" s="610"/>
      <c r="BV214" s="610"/>
      <c r="BW214" s="610"/>
      <c r="BX214" s="610"/>
      <c r="BY214" s="612"/>
      <c r="BZ214" s="610">
        <v>2012</v>
      </c>
      <c r="CA214" s="610"/>
      <c r="CB214" s="610"/>
      <c r="CC214" s="610"/>
      <c r="CD214" s="610"/>
      <c r="CE214" s="610"/>
      <c r="CF214" s="610"/>
      <c r="CG214" s="610"/>
      <c r="CH214" s="610"/>
      <c r="CI214" s="610"/>
      <c r="CJ214" s="610"/>
      <c r="CK214" s="610"/>
      <c r="CL214" s="611">
        <v>2013</v>
      </c>
      <c r="CM214" s="610"/>
      <c r="CN214" s="610"/>
      <c r="CO214" s="610"/>
      <c r="CP214" s="610"/>
      <c r="CQ214" s="610"/>
      <c r="CR214" s="610"/>
      <c r="CS214" s="610"/>
      <c r="CT214" s="610"/>
      <c r="CU214" s="610"/>
      <c r="CV214" s="610"/>
      <c r="CW214" s="612"/>
      <c r="CX214" s="611">
        <v>2014</v>
      </c>
      <c r="CY214" s="610"/>
      <c r="CZ214" s="610"/>
      <c r="DA214" s="610"/>
      <c r="DB214" s="610"/>
      <c r="DC214" s="610"/>
      <c r="DD214" s="610"/>
      <c r="DE214" s="610"/>
      <c r="DF214" s="610"/>
      <c r="DG214" s="610"/>
      <c r="DH214" s="610"/>
      <c r="DI214" s="612"/>
      <c r="DJ214" s="611">
        <v>2015</v>
      </c>
      <c r="DK214" s="610"/>
      <c r="DL214" s="610"/>
      <c r="DM214" s="610"/>
      <c r="DN214" s="610"/>
      <c r="DO214" s="610"/>
      <c r="DP214" s="610"/>
      <c r="DQ214" s="610"/>
      <c r="DR214" s="610"/>
      <c r="DS214" s="610"/>
      <c r="DT214" s="610"/>
      <c r="DU214" s="612"/>
    </row>
    <row r="215" spans="1:187">
      <c r="E215" s="613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4">
        <f>SUM(FR219:FR226)</f>
        <v>73320205.209999993</v>
      </c>
      <c r="FS218" s="404">
        <f t="shared" ref="FS218:FW218" si="24">SUM(FS219:FS226)</f>
        <v>69683087.399999991</v>
      </c>
      <c r="FT218" s="404">
        <f t="shared" si="24"/>
        <v>105613736.66000001</v>
      </c>
      <c r="FU218" s="404">
        <f t="shared" si="24"/>
        <v>83521974.920000002</v>
      </c>
      <c r="FV218" s="404">
        <f t="shared" si="24"/>
        <v>69752758.120000005</v>
      </c>
      <c r="FW218" s="404">
        <f t="shared" si="24"/>
        <v>82125472.672907159</v>
      </c>
      <c r="FX218" s="404">
        <f>SUM(FX219:FX226)</f>
        <v>97440527.99295114</v>
      </c>
      <c r="FY218" s="404">
        <f t="shared" ref="FY218" si="25">SUM(FY219:FY226)</f>
        <v>102835982.17822319</v>
      </c>
      <c r="FZ218" s="404">
        <f t="shared" ref="FZ218" si="26">SUM(FZ219:FZ226)</f>
        <v>99861898.573637322</v>
      </c>
      <c r="GA218" s="404">
        <f t="shared" ref="GA218" si="27">SUM(GA219:GA226)</f>
        <v>96098494.299763739</v>
      </c>
      <c r="GB218" s="404">
        <f t="shared" ref="GB218" si="28">SUM(GB219:GB226)</f>
        <v>81549422.466298312</v>
      </c>
      <c r="GC218" s="404">
        <f t="shared" ref="GC218" si="29">SUM(GC219:GC226)</f>
        <v>93633799.201363876</v>
      </c>
      <c r="GE218" s="398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399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399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399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399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399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399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399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399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4">
        <f>SUM(FR228:FR231)</f>
        <v>15749286.220000001</v>
      </c>
      <c r="FS227" s="404">
        <f t="shared" ref="FS227:GC227" si="36">SUM(FS228:FS231)</f>
        <v>42574769.890000001</v>
      </c>
      <c r="FT227" s="404">
        <f t="shared" si="36"/>
        <v>44888756.57</v>
      </c>
      <c r="FU227" s="404">
        <f t="shared" si="36"/>
        <v>33882602.5</v>
      </c>
      <c r="FV227" s="404">
        <f t="shared" si="36"/>
        <v>40418289.450000003</v>
      </c>
      <c r="FW227" s="404">
        <f t="shared" si="36"/>
        <v>39209561.537363522</v>
      </c>
      <c r="FX227" s="404">
        <f t="shared" si="36"/>
        <v>39824401.286702745</v>
      </c>
      <c r="FY227" s="404">
        <f t="shared" si="36"/>
        <v>37466342.331191912</v>
      </c>
      <c r="FZ227" s="404">
        <f t="shared" si="36"/>
        <v>35714950.117071614</v>
      </c>
      <c r="GA227" s="404">
        <f t="shared" si="36"/>
        <v>56930028.965902433</v>
      </c>
      <c r="GB227" s="404">
        <f t="shared" si="36"/>
        <v>36060885.689019322</v>
      </c>
      <c r="GC227" s="404">
        <f t="shared" si="36"/>
        <v>69780505.759044364</v>
      </c>
      <c r="GE227" s="398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399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399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399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399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4">
        <f>SUM(FR233:FR236)</f>
        <v>669819.01</v>
      </c>
      <c r="FS232" s="404">
        <f t="shared" ref="FS232:GC232" si="39">SUM(FS233:FS236)</f>
        <v>845756.92</v>
      </c>
      <c r="FT232" s="404">
        <f t="shared" si="39"/>
        <v>720374.53</v>
      </c>
      <c r="FU232" s="404">
        <f t="shared" si="39"/>
        <v>316937.24</v>
      </c>
      <c r="FV232" s="404">
        <f t="shared" si="39"/>
        <v>469045.42</v>
      </c>
      <c r="FW232" s="404">
        <f t="shared" si="39"/>
        <v>1161870.8532355535</v>
      </c>
      <c r="FX232" s="404">
        <f t="shared" si="39"/>
        <v>1673430.2546007757</v>
      </c>
      <c r="FY232" s="404">
        <f t="shared" si="39"/>
        <v>1388372.9389781314</v>
      </c>
      <c r="FZ232" s="404">
        <f t="shared" si="39"/>
        <v>1416214.8034873675</v>
      </c>
      <c r="GA232" s="404">
        <f t="shared" si="39"/>
        <v>1276386.1061063381</v>
      </c>
      <c r="GB232" s="404">
        <f t="shared" si="39"/>
        <v>963348.80250703567</v>
      </c>
      <c r="GC232" s="404">
        <f t="shared" si="39"/>
        <v>1285597.5253147981</v>
      </c>
      <c r="GE232" s="398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399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399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399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399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4">
        <f>SUM(FR238:FR243)</f>
        <v>2226726.9299999997</v>
      </c>
      <c r="FS237" s="404">
        <f t="shared" ref="FS237:GC237" si="42">SUM(FS238:FS243)</f>
        <v>2200614.79</v>
      </c>
      <c r="FT237" s="404">
        <f t="shared" si="42"/>
        <v>1317967.9100000001</v>
      </c>
      <c r="FU237" s="404">
        <f t="shared" si="42"/>
        <v>1597851.3599999999</v>
      </c>
      <c r="FV237" s="404">
        <f t="shared" si="42"/>
        <v>1673853.74</v>
      </c>
      <c r="FW237" s="404">
        <f t="shared" si="42"/>
        <v>2179490.8743573632</v>
      </c>
      <c r="FX237" s="404">
        <f t="shared" si="42"/>
        <v>2571108.8359225746</v>
      </c>
      <c r="FY237" s="404">
        <f t="shared" si="42"/>
        <v>1825380.5890086682</v>
      </c>
      <c r="FZ237" s="404">
        <f t="shared" si="42"/>
        <v>2163813.0387331629</v>
      </c>
      <c r="GA237" s="404">
        <f t="shared" si="42"/>
        <v>1995229.2228867295</v>
      </c>
      <c r="GB237" s="404">
        <f t="shared" si="42"/>
        <v>1517691.0449207788</v>
      </c>
      <c r="GC237" s="404">
        <f t="shared" si="42"/>
        <v>3555523.5622207262</v>
      </c>
      <c r="GE237" s="398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399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399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399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399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399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399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4">
        <f>SUM(FR245:FR248)</f>
        <v>1484714.27</v>
      </c>
      <c r="FS244" s="404">
        <f t="shared" ref="FS244:GC244" si="46">SUM(FS245:FS248)</f>
        <v>2100277.88</v>
      </c>
      <c r="FT244" s="404">
        <f t="shared" si="46"/>
        <v>4248499.3600000003</v>
      </c>
      <c r="FU244" s="404">
        <f t="shared" si="46"/>
        <v>1617752.3800000001</v>
      </c>
      <c r="FV244" s="404">
        <f t="shared" si="46"/>
        <v>1237245.3599999999</v>
      </c>
      <c r="FW244" s="404">
        <f t="shared" si="46"/>
        <v>2257816.068284105</v>
      </c>
      <c r="FX244" s="404">
        <f t="shared" si="46"/>
        <v>5692253.8149066633</v>
      </c>
      <c r="FY244" s="404">
        <f t="shared" si="46"/>
        <v>4621203.3620386366</v>
      </c>
      <c r="FZ244" s="404">
        <f t="shared" si="46"/>
        <v>17537126.915220708</v>
      </c>
      <c r="GA244" s="404">
        <f t="shared" si="46"/>
        <v>3831817.5735939299</v>
      </c>
      <c r="GB244" s="404">
        <f t="shared" si="46"/>
        <v>3619302.6260553906</v>
      </c>
      <c r="GC244" s="404">
        <f t="shared" si="46"/>
        <v>4678583.5639540665</v>
      </c>
      <c r="GE244" s="398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399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399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399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399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4">
        <v>62782.51</v>
      </c>
      <c r="FS249" s="404">
        <v>437988.22</v>
      </c>
      <c r="FT249" s="404">
        <v>603218.21</v>
      </c>
      <c r="FU249" s="404">
        <v>198578.39</v>
      </c>
      <c r="FV249" s="404">
        <v>270349.07</v>
      </c>
      <c r="FW249" s="404">
        <v>632440.5</v>
      </c>
      <c r="FX249" s="404">
        <v>632440.5</v>
      </c>
      <c r="FY249" s="404">
        <v>632440.5</v>
      </c>
      <c r="FZ249" s="404">
        <v>632440.5</v>
      </c>
      <c r="GA249" s="404">
        <v>632440.5</v>
      </c>
      <c r="GB249" s="404">
        <v>632440.5</v>
      </c>
      <c r="GC249" s="404">
        <v>632440.6</v>
      </c>
      <c r="GD249" s="326"/>
      <c r="GE249" s="398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4">
        <v>80819.179999999993</v>
      </c>
      <c r="FS252" s="404">
        <v>813727.89</v>
      </c>
      <c r="FT252" s="404">
        <v>794561.22</v>
      </c>
      <c r="FU252" s="404">
        <v>561040.23</v>
      </c>
      <c r="FV252" s="404">
        <v>218800.94</v>
      </c>
      <c r="FW252" s="404">
        <v>172752.84814830567</v>
      </c>
      <c r="FX252" s="404">
        <v>621585.63801238476</v>
      </c>
      <c r="FY252" s="404">
        <v>1170088.8491047423</v>
      </c>
      <c r="FZ252" s="404">
        <v>665799.08079606481</v>
      </c>
      <c r="GA252" s="404">
        <v>9201611.3215604126</v>
      </c>
      <c r="GB252" s="404">
        <v>1305018.6190754015</v>
      </c>
      <c r="GC252" s="404">
        <v>1507066.6233026888</v>
      </c>
      <c r="GE252" s="398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399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4">
        <v>754264.83</v>
      </c>
      <c r="FS255" s="404">
        <v>1636489.54</v>
      </c>
      <c r="FT255" s="404">
        <v>3512551.56</v>
      </c>
      <c r="FU255" s="404">
        <v>2957605.59</v>
      </c>
      <c r="FV255" s="404">
        <v>1856477.6183333334</v>
      </c>
      <c r="FW255" s="404">
        <v>2156477.6183333299</v>
      </c>
      <c r="FX255" s="404">
        <v>1856477.6183333334</v>
      </c>
      <c r="FY255" s="404">
        <v>1856477.6183333334</v>
      </c>
      <c r="FZ255" s="404">
        <v>25000000</v>
      </c>
      <c r="GA255" s="404">
        <v>1856477.6183333334</v>
      </c>
      <c r="GB255" s="404">
        <v>1856477.6183333334</v>
      </c>
      <c r="GC255" s="404">
        <v>4700000</v>
      </c>
      <c r="GE255" s="398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8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8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8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399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399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399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399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399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8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399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399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399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399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399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399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399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8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399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399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399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399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399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399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8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399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399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399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399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399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399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399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399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399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8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399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399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399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8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399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399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8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399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399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399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8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399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399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399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8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399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399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399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399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399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399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399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399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399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8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8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399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399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399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399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399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399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399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399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8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399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399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399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399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399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8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399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399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399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399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399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399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399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8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399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8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399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399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399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8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8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399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399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399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399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399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399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399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399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399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8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399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399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399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399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399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399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1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8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399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399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399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399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399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399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399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399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399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8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3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399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399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399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399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399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8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8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399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399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8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399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399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8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8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399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399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399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0"/>
    </row>
    <row r="400" spans="1:187">
      <c r="GE400" s="402"/>
    </row>
    <row r="401" spans="187:187">
      <c r="GE401" s="400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topLeftCell="A259" workbookViewId="0">
      <selection activeCell="G274" sqref="G274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12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2023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Decembar</v>
      </c>
    </row>
    <row r="246" spans="4:7">
      <c r="D246" s="41"/>
      <c r="G246" s="44" t="str">
        <f>+CONCATENATE("Jan - ",LEFT(G245,3))</f>
        <v>Jan - Dec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Dec</v>
      </c>
      <c r="F254" s="6" t="str">
        <f>+CONCATENATE("Analytics for period ",G246)</f>
        <v>Analytics for period Jan - Dec</v>
      </c>
      <c r="G254" s="44" t="str">
        <f>+IF(ISBLANK(IF($B$2=1,E254,F254)),"",IF($B$2=1,E254,F254))</f>
        <v>Analitika za period Jan - Dec</v>
      </c>
    </row>
    <row r="255" spans="4:7">
      <c r="E255" s="5" t="str">
        <f>+CONCATENATE("Analitika za period ",G245)</f>
        <v>Analitika za period Decembar</v>
      </c>
      <c r="F255" s="6" t="str">
        <f>+CONCATENATE("Analytics for period ",G245)</f>
        <v>Analytics for period Decembar</v>
      </c>
      <c r="G255" s="44" t="str">
        <f>+IF(ISBLANK(IF($B$2=1,E255,F255)),"",IF($B$2=1,E255,F255))</f>
        <v>Analitika za period Decembar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Decembar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Decembar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Decembar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Decembar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Decembar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Decembar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workbookViewId="0">
      <selection activeCell="J27" sqref="J27"/>
    </sheetView>
  </sheetViews>
  <sheetFormatPr defaultColWidth="9.140625" defaultRowHeight="15"/>
  <cols>
    <col min="1" max="3" width="9.140625" style="116"/>
    <col min="4" max="4" width="10" style="116" hidden="1" customWidth="1"/>
    <col min="5" max="6" width="0" style="116" hidden="1" customWidth="1"/>
    <col min="7" max="7" width="9.140625" style="116"/>
    <col min="8" max="8" width="11" style="116" bestFit="1" customWidth="1"/>
    <col min="9" max="16384" width="9.140625" style="116"/>
  </cols>
  <sheetData>
    <row r="1" spans="3:11" s="113" customFormat="1"/>
    <row r="2" spans="3:11" s="113" customFormat="1">
      <c r="C2" s="114"/>
      <c r="E2" s="483" t="str">
        <f>+Master!G6</f>
        <v>Crna Gora</v>
      </c>
      <c r="F2" s="483"/>
      <c r="G2" s="483" t="s">
        <v>6</v>
      </c>
      <c r="I2" s="115"/>
    </row>
    <row r="3" spans="3:11" s="113" customFormat="1">
      <c r="E3" s="484" t="str">
        <f>+Master!G7</f>
        <v>Ministarstvo finansija</v>
      </c>
      <c r="F3" s="483"/>
      <c r="G3" s="484" t="s">
        <v>837</v>
      </c>
    </row>
    <row r="4" spans="3:11" s="113" customFormat="1">
      <c r="E4" s="484" t="str">
        <f>+Master!G8</f>
        <v>Direktorat za državni budžet</v>
      </c>
      <c r="F4" s="483"/>
      <c r="G4" s="484" t="s">
        <v>804</v>
      </c>
    </row>
    <row r="5" spans="3:11" s="113" customFormat="1"/>
    <row r="7" spans="3:11" ht="15.75" thickBot="1"/>
    <row r="8" spans="3:11">
      <c r="C8" s="117"/>
      <c r="D8" s="118"/>
      <c r="E8" s="118"/>
      <c r="F8" s="118"/>
      <c r="G8" s="118"/>
      <c r="H8" s="118"/>
      <c r="I8" s="118"/>
      <c r="J8" s="118"/>
      <c r="K8" s="119"/>
    </row>
    <row r="9" spans="3:11">
      <c r="C9" s="120"/>
      <c r="K9" s="121"/>
    </row>
    <row r="10" spans="3:11">
      <c r="C10" s="120"/>
      <c r="K10" s="121"/>
    </row>
    <row r="11" spans="3:11">
      <c r="C11" s="120"/>
      <c r="D11" s="122" t="str">
        <f>+Master!G270</f>
        <v>Prihodi za mjesec Decembar</v>
      </c>
      <c r="G11" s="122" t="s">
        <v>859</v>
      </c>
      <c r="K11" s="121"/>
    </row>
    <row r="12" spans="3:11">
      <c r="C12" s="120"/>
      <c r="D12" s="123">
        <f>+'Analitika 2023'!N10</f>
        <v>0</v>
      </c>
      <c r="E12" s="426">
        <f>+D12/'2023'!T7</f>
        <v>0</v>
      </c>
      <c r="G12" s="123">
        <f>+'Analitika 2023'!G10</f>
        <v>2565337598.8699994</v>
      </c>
      <c r="H12" s="426">
        <f>+G12/'2023'!T7</f>
        <v>0.38726168785683007</v>
      </c>
      <c r="K12" s="121"/>
    </row>
    <row r="13" spans="3:11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K13" s="121"/>
    </row>
    <row r="14" spans="3:11">
      <c r="C14" s="120"/>
      <c r="K14" s="121"/>
    </row>
    <row r="15" spans="3:11">
      <c r="C15" s="120"/>
      <c r="D15" s="122" t="str">
        <f>+Master!G271</f>
        <v>Rashodi za mjesec Decembar</v>
      </c>
      <c r="G15" s="122" t="s">
        <v>858</v>
      </c>
      <c r="K15" s="121"/>
    </row>
    <row r="16" spans="3:11">
      <c r="C16" s="120"/>
      <c r="D16" s="123">
        <f>+'Analitika 2023'!N29</f>
        <v>0</v>
      </c>
      <c r="E16" s="426">
        <f>+D16/'2023'!T7</f>
        <v>0</v>
      </c>
      <c r="G16" s="123">
        <f>+'Analitika 2023'!G29</f>
        <v>2555378831.9999995</v>
      </c>
      <c r="H16" s="426">
        <f>+G16/'2023'!T7</f>
        <v>0.38575831891671564</v>
      </c>
      <c r="K16" s="121"/>
    </row>
    <row r="17" spans="3:12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K17" s="121"/>
    </row>
    <row r="18" spans="3:12">
      <c r="C18" s="120"/>
      <c r="K18" s="121"/>
    </row>
    <row r="19" spans="3:12">
      <c r="C19" s="120"/>
      <c r="D19" s="122" t="str">
        <f>+Master!G272</f>
        <v>Suficit/Deficit za mjesec Decembar</v>
      </c>
      <c r="G19" s="122" t="s">
        <v>860</v>
      </c>
      <c r="K19" s="121"/>
    </row>
    <row r="20" spans="3:12">
      <c r="C20" s="120"/>
      <c r="D20" s="123">
        <f>+'Analitika 2023'!N53</f>
        <v>0</v>
      </c>
      <c r="E20" s="426">
        <f>+D20/'2023'!T7</f>
        <v>0</v>
      </c>
      <c r="G20" s="123">
        <f>+'Analitika 2023'!G53</f>
        <v>9958766.870000273</v>
      </c>
      <c r="H20" s="426">
        <f>+G20/'2023'!T7</f>
        <v>1.5033689401144684E-3</v>
      </c>
      <c r="K20" s="121"/>
    </row>
    <row r="21" spans="3:12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K21" s="121"/>
    </row>
    <row r="22" spans="3:12" ht="15.75" thickBot="1">
      <c r="C22" s="125"/>
      <c r="D22" s="126"/>
      <c r="E22" s="126"/>
      <c r="F22" s="126"/>
      <c r="G22" s="126"/>
      <c r="H22" s="126"/>
      <c r="I22" s="126"/>
      <c r="J22" s="126"/>
      <c r="K22" s="127"/>
    </row>
    <row r="25" spans="3:12">
      <c r="H25" s="218"/>
    </row>
    <row r="32" spans="3:12">
      <c r="L32" s="427"/>
    </row>
  </sheetData>
  <sheetProtection algorithmName="SHA-512" hashValue="m1h1i0wusdc7X76ZGfV+0y1CFcHSXudSWeNyrB5IBjS2N8ewNd41/iNaIol9Vh/vIPqVzvkmbEdr0g/IM5xANQ==" saltValue="6Y95V+2xzG4Hn6wwwYoBw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topLeftCell="F10" workbookViewId="0">
      <selection activeCell="G29" sqref="G29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1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hidden="1" customWidth="1"/>
    <col min="15" max="15" width="11.42578125" style="4" hidden="1" customWidth="1"/>
    <col min="16" max="17" width="12.140625" style="4" hidden="1" customWidth="1"/>
    <col min="18" max="18" width="13.42578125" style="4" hidden="1" customWidth="1"/>
    <col min="19" max="19" width="9.140625" style="4" hidden="1" customWidth="1"/>
    <col min="20" max="20" width="9.85546875" style="4" hidden="1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5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5"/>
      <c r="I4" s="335"/>
      <c r="J4" s="335"/>
      <c r="N4" s="453"/>
      <c r="P4" s="453"/>
      <c r="Q4" s="453"/>
    </row>
    <row r="5" spans="1:25" s="1" customFormat="1">
      <c r="B5" s="453"/>
      <c r="G5" s="148"/>
      <c r="H5" s="148"/>
      <c r="N5" s="453"/>
      <c r="P5" s="453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2023-12</v>
      </c>
      <c r="O6" s="128" t="str">
        <f>+CONCATENATE(N6,"p")</f>
        <v>2023-12p</v>
      </c>
      <c r="P6" s="116"/>
      <c r="Q6" s="116"/>
      <c r="R6" s="128" t="str">
        <f>+IF(Master!B3-10&gt;=0,CONCATENATE(Master!B4-1,"-",Master!B3),CONCATENATE(Master!B4-1,"-0",Master!B3))</f>
        <v>2022-12</v>
      </c>
      <c r="S6" s="116"/>
      <c r="T6" s="116"/>
    </row>
    <row r="7" spans="1:25" ht="14.25" customHeight="1">
      <c r="A7" s="129"/>
      <c r="B7" s="527" t="str">
        <f>+Master!G254</f>
        <v>Analitika za period Jan - Dec</v>
      </c>
      <c r="C7" s="528"/>
      <c r="D7" s="528"/>
      <c r="E7" s="528"/>
      <c r="F7" s="528"/>
      <c r="G7" s="536" t="str">
        <f>+Master!G246</f>
        <v>Jan - Dec</v>
      </c>
      <c r="H7" s="537"/>
      <c r="I7" s="537"/>
      <c r="J7" s="537"/>
      <c r="K7" s="537"/>
      <c r="L7" s="537"/>
      <c r="M7" s="540"/>
      <c r="N7" s="537" t="str">
        <f>+Master!G245</f>
        <v>Decembar</v>
      </c>
      <c r="O7" s="537"/>
      <c r="P7" s="537"/>
      <c r="Q7" s="537"/>
      <c r="R7" s="537"/>
      <c r="S7" s="537"/>
      <c r="T7" s="540"/>
    </row>
    <row r="8" spans="1:25" ht="29.25" customHeight="1">
      <c r="A8" s="129"/>
      <c r="B8" s="529"/>
      <c r="C8" s="530"/>
      <c r="D8" s="530"/>
      <c r="E8" s="530"/>
      <c r="F8" s="531"/>
      <c r="G8" s="486" t="str">
        <f>+Master!G26</f>
        <v>Ostvarenje</v>
      </c>
      <c r="H8" s="486" t="s">
        <v>857</v>
      </c>
      <c r="I8" s="525" t="str">
        <f>+Master!G261</f>
        <v>Odstupanje</v>
      </c>
      <c r="J8" s="525"/>
      <c r="K8" s="130" t="str">
        <f>+CONCATENATE(Master!G246," ",Master!B4-1)</f>
        <v>Jan - Dec 2022</v>
      </c>
      <c r="L8" s="525" t="str">
        <f>+I8</f>
        <v>Odstupanje</v>
      </c>
      <c r="M8" s="526"/>
      <c r="N8" s="486" t="str">
        <f>+G8</f>
        <v>Ostvarenje</v>
      </c>
      <c r="O8" s="130" t="str">
        <f>+H8</f>
        <v>Revised plan 2023</v>
      </c>
      <c r="P8" s="525" t="str">
        <f>+I8</f>
        <v>Odstupanje</v>
      </c>
      <c r="Q8" s="525"/>
      <c r="R8" s="130" t="str">
        <f>+CONCATENATE(Master!G245," ",Master!B4-1)</f>
        <v>Decembar 2022</v>
      </c>
      <c r="S8" s="525" t="str">
        <f>+P8</f>
        <v>Odstupanje</v>
      </c>
      <c r="T8" s="526"/>
    </row>
    <row r="9" spans="1:25" ht="15.75" thickBot="1">
      <c r="A9" s="129"/>
      <c r="B9" s="532"/>
      <c r="C9" s="533"/>
      <c r="D9" s="533"/>
      <c r="E9" s="533"/>
      <c r="F9" s="534"/>
      <c r="G9" s="330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07" t="str">
        <f>+VLOOKUP($A10,Master!$D$30:$G$226,4,FALSE)</f>
        <v>Prihodi budžeta</v>
      </c>
      <c r="C10" s="508"/>
      <c r="D10" s="508"/>
      <c r="E10" s="508"/>
      <c r="F10" s="508"/>
      <c r="G10" s="136">
        <f>'2023'!S10</f>
        <v>2565337598.8699994</v>
      </c>
      <c r="H10" s="136">
        <f>SUM('2023'!G86:S86)</f>
        <v>2422783971.703506</v>
      </c>
      <c r="I10" s="137">
        <f>+G10-H10</f>
        <v>142553627.16649342</v>
      </c>
      <c r="J10" s="139">
        <f>IF(+IF(ISERROR(G10/H10),"…",G10/H10-1)&gt;200%,"...",IF(ISERROR(G10/H10),"…",G10/H10-1))</f>
        <v>5.8838769296571281E-2</v>
      </c>
      <c r="K10" s="136">
        <f>SUM('2022'!G10:R10)</f>
        <v>1995407538.2499998</v>
      </c>
      <c r="L10" s="137">
        <f>+G10-K10</f>
        <v>569930060.61999965</v>
      </c>
      <c r="M10" s="141">
        <f>IF(+IF(ISERROR(G10/K10),"…",G10/K10-1)&gt;200%,"...",IF(ISERROR(G10/K10),"…",G10/K10-1))</f>
        <v>0.28562088179732759</v>
      </c>
      <c r="N10" s="136">
        <f>'2023'!R10</f>
        <v>0</v>
      </c>
      <c r="O10" s="136">
        <f>'2023'!R86</f>
        <v>0</v>
      </c>
      <c r="P10" s="137">
        <f>+N10-O10</f>
        <v>0</v>
      </c>
      <c r="Q10" s="139" t="str">
        <f>IF(+IF(ISERROR(N10/O10),"…",N10/O10-1)&gt;200%,"...",IF(ISERROR(N10/O10),"…",N10/O10-1))</f>
        <v>...</v>
      </c>
      <c r="R10" s="136">
        <f>'2022'!R10</f>
        <v>218371031.25000003</v>
      </c>
      <c r="S10" s="137">
        <f>+N10-R10</f>
        <v>-218371031.25000003</v>
      </c>
      <c r="T10" s="141">
        <f>IF(+IF(ISERROR(N10/R10),"…",N10/R10-1)&gt;200%,"...",IF(ISERROR(N10/R10),"…",N10/R10-1))</f>
        <v>-1</v>
      </c>
      <c r="W10" s="469"/>
      <c r="Y10" s="469"/>
    </row>
    <row r="11" spans="1:25">
      <c r="A11" s="135">
        <v>711</v>
      </c>
      <c r="B11" s="497" t="str">
        <f>+VLOOKUP($A11,Master!$D$30:$G$226,4,FALSE)</f>
        <v>Porezi</v>
      </c>
      <c r="C11" s="498"/>
      <c r="D11" s="498"/>
      <c r="E11" s="498"/>
      <c r="F11" s="498"/>
      <c r="G11" s="262">
        <f>'2023'!S11</f>
        <v>1664875352.5099998</v>
      </c>
      <c r="H11" s="262">
        <f>SUM('2023'!G87:S87)</f>
        <v>1581306556.7265537</v>
      </c>
      <c r="I11" s="143">
        <f t="shared" ref="I11:I57" si="0">+G11-H11</f>
        <v>83568795.783446074</v>
      </c>
      <c r="J11" s="145">
        <f t="shared" ref="J11:J66" si="1">IF(+IF(ISERROR(G11/H11-1),"…",G11/H11-1)&gt;200%,"...",IF(ISERROR(G11/H11-1),"…",G11/H11-1))</f>
        <v>5.2847941107915908E-2</v>
      </c>
      <c r="K11" s="262">
        <f>SUM('2022'!G11:R11)</f>
        <v>1381133155.4100001</v>
      </c>
      <c r="L11" s="143">
        <f>+G11-K11</f>
        <v>283742197.09999967</v>
      </c>
      <c r="M11" s="147">
        <f t="shared" ref="M11:M66" si="2">IF(+IF(ISERROR(G11/K11),"…",G11/K11-1)&gt;200%,"...",IF(ISERROR(G11/K11),"…",G11/K11-1))</f>
        <v>0.20544159409146068</v>
      </c>
      <c r="N11" s="262">
        <f>'2023'!R11</f>
        <v>0</v>
      </c>
      <c r="O11" s="262">
        <f>'2023'!R87</f>
        <v>0</v>
      </c>
      <c r="P11" s="143">
        <f>+N11-O11</f>
        <v>0</v>
      </c>
      <c r="Q11" s="145" t="str">
        <f t="shared" ref="Q11:Q66" si="3">IF(+IF(ISERROR(N11/O11),"…",N11/O11-1)&gt;200%,"...",IF(ISERROR(N11/O11),"…",N11/O11-1))</f>
        <v>...</v>
      </c>
      <c r="R11" s="262">
        <f>'2022'!R11</f>
        <v>119096364.02</v>
      </c>
      <c r="S11" s="143">
        <f t="shared" ref="S11:S57" si="4">+N11-R11</f>
        <v>-119096364.02</v>
      </c>
      <c r="T11" s="147">
        <f t="shared" ref="T11:T66" si="5">IF(+IF(ISERROR(N11/R11),"…",N11/R11-1)&gt;200%,"...",IF(ISERROR(N11/R11),"…",N11/R11-1))</f>
        <v>-1</v>
      </c>
      <c r="W11" s="469"/>
      <c r="Y11" s="469"/>
    </row>
    <row r="12" spans="1:25">
      <c r="A12" s="135">
        <v>7111</v>
      </c>
      <c r="B12" s="499" t="str">
        <f>+VLOOKUP($A12,Master!$D$30:$G$226,4,FALSE)</f>
        <v>Porez na dohodak fizičkih lica</v>
      </c>
      <c r="C12" s="500"/>
      <c r="D12" s="500"/>
      <c r="E12" s="500"/>
      <c r="F12" s="500"/>
      <c r="G12" s="148">
        <f>'2023'!S12</f>
        <v>66411591</v>
      </c>
      <c r="H12" s="148">
        <f>SUM('2023'!G88:S88)</f>
        <v>62298253.663200013</v>
      </c>
      <c r="I12" s="149">
        <f t="shared" si="0"/>
        <v>4113337.3367999867</v>
      </c>
      <c r="J12" s="151">
        <f t="shared" si="1"/>
        <v>6.6026527148541181E-2</v>
      </c>
      <c r="K12" s="148">
        <f>SUM('2022'!G12:R12)</f>
        <v>83041010.100000009</v>
      </c>
      <c r="L12" s="149">
        <f>+G12-K12</f>
        <v>-16629419.100000009</v>
      </c>
      <c r="M12" s="153">
        <f t="shared" si="2"/>
        <v>-0.20025550122733882</v>
      </c>
      <c r="N12" s="148">
        <f>'2023'!R12</f>
        <v>0</v>
      </c>
      <c r="O12" s="148">
        <f>'2023'!R88</f>
        <v>0</v>
      </c>
      <c r="P12" s="149">
        <f t="shared" ref="P12:P57" si="6">+N12-O12</f>
        <v>0</v>
      </c>
      <c r="Q12" s="151" t="str">
        <f t="shared" si="3"/>
        <v>...</v>
      </c>
      <c r="R12" s="148">
        <f>'2022'!R12</f>
        <v>8051099.2599999998</v>
      </c>
      <c r="S12" s="149">
        <f t="shared" si="4"/>
        <v>-8051099.2599999998</v>
      </c>
      <c r="T12" s="153">
        <f t="shared" si="5"/>
        <v>-1</v>
      </c>
      <c r="W12" s="469"/>
      <c r="Y12" s="469"/>
    </row>
    <row r="13" spans="1:25">
      <c r="A13" s="135">
        <v>7112</v>
      </c>
      <c r="B13" s="499" t="str">
        <f>+VLOOKUP($A13,Master!$D$30:$G$226,4,FALSE)</f>
        <v>Porez na dobit pravnih lica</v>
      </c>
      <c r="C13" s="500"/>
      <c r="D13" s="500"/>
      <c r="E13" s="500"/>
      <c r="F13" s="500"/>
      <c r="G13" s="148">
        <f>'2023'!S13</f>
        <v>151284476.47</v>
      </c>
      <c r="H13" s="148">
        <f>SUM('2023'!G89:S89)</f>
        <v>134648421.1653218</v>
      </c>
      <c r="I13" s="149">
        <f t="shared" si="0"/>
        <v>16636055.304678202</v>
      </c>
      <c r="J13" s="151">
        <f t="shared" si="1"/>
        <v>0.12355180373227248</v>
      </c>
      <c r="K13" s="148">
        <f>SUM('2022'!G13:R13)</f>
        <v>90169159.159999996</v>
      </c>
      <c r="L13" s="149">
        <f t="shared" ref="L13:L57" si="7">+G13-K13</f>
        <v>61115317.310000002</v>
      </c>
      <c r="M13" s="153">
        <f t="shared" si="2"/>
        <v>0.67778515269898865</v>
      </c>
      <c r="N13" s="148">
        <f>'2023'!R13</f>
        <v>0</v>
      </c>
      <c r="O13" s="148">
        <f>'2023'!R89</f>
        <v>0</v>
      </c>
      <c r="P13" s="149">
        <f t="shared" si="6"/>
        <v>0</v>
      </c>
      <c r="Q13" s="151" t="str">
        <f t="shared" si="3"/>
        <v>...</v>
      </c>
      <c r="R13" s="148">
        <f>'2022'!R13</f>
        <v>4756163.6100000003</v>
      </c>
      <c r="S13" s="149">
        <f t="shared" si="4"/>
        <v>-4756163.6100000003</v>
      </c>
      <c r="T13" s="153">
        <f t="shared" si="5"/>
        <v>-1</v>
      </c>
      <c r="W13" s="469"/>
      <c r="Y13" s="469"/>
    </row>
    <row r="14" spans="1:25">
      <c r="A14" s="135">
        <v>7113</v>
      </c>
      <c r="B14" s="499" t="str">
        <f>+VLOOKUP($A14,Master!$D$30:$G$226,4,FALSE)</f>
        <v>Porez na promet nepokretnosti</v>
      </c>
      <c r="C14" s="500"/>
      <c r="D14" s="500"/>
      <c r="E14" s="500"/>
      <c r="F14" s="500"/>
      <c r="G14" s="148">
        <f>'2023'!S14</f>
        <v>0</v>
      </c>
      <c r="H14" s="148">
        <f>SUM('2023'!G90:S90)</f>
        <v>0</v>
      </c>
      <c r="I14" s="149">
        <f t="shared" si="0"/>
        <v>0</v>
      </c>
      <c r="J14" s="151" t="str">
        <f t="shared" si="1"/>
        <v>...</v>
      </c>
      <c r="K14" s="148">
        <f>SUM('2022'!G14:R14)</f>
        <v>1481541.77</v>
      </c>
      <c r="L14" s="149">
        <f t="shared" si="7"/>
        <v>-1481541.77</v>
      </c>
      <c r="M14" s="153">
        <f t="shared" si="2"/>
        <v>-1</v>
      </c>
      <c r="N14" s="148">
        <f>'2023'!R14</f>
        <v>0</v>
      </c>
      <c r="O14" s="148">
        <f>'2023'!R90</f>
        <v>0</v>
      </c>
      <c r="P14" s="149">
        <f t="shared" si="6"/>
        <v>0</v>
      </c>
      <c r="Q14" s="151" t="str">
        <f t="shared" si="3"/>
        <v>...</v>
      </c>
      <c r="R14" s="148">
        <f>'2022'!R14</f>
        <v>0</v>
      </c>
      <c r="S14" s="149">
        <f t="shared" si="4"/>
        <v>0</v>
      </c>
      <c r="T14" s="153" t="str">
        <f t="shared" si="5"/>
        <v>...</v>
      </c>
      <c r="W14" s="469"/>
      <c r="Y14" s="469"/>
    </row>
    <row r="15" spans="1:25">
      <c r="A15" s="135">
        <v>7114</v>
      </c>
      <c r="B15" s="499" t="str">
        <f>+VLOOKUP($A15,Master!$D$30:$G$226,4,FALSE)</f>
        <v>Porez na dodatu vrijednost</v>
      </c>
      <c r="C15" s="500"/>
      <c r="D15" s="500"/>
      <c r="E15" s="500"/>
      <c r="F15" s="500"/>
      <c r="G15" s="148">
        <f>'2023'!S15</f>
        <v>1059267077.4700001</v>
      </c>
      <c r="H15" s="148">
        <f>SUM('2023'!G91:S91)</f>
        <v>1028042967.1590319</v>
      </c>
      <c r="I15" s="149">
        <f t="shared" si="0"/>
        <v>31224110.31096828</v>
      </c>
      <c r="J15" s="151">
        <f t="shared" si="1"/>
        <v>3.0372378692745894E-2</v>
      </c>
      <c r="K15" s="148">
        <f>SUM('2022'!G15:R15)</f>
        <v>908047104.25999999</v>
      </c>
      <c r="L15" s="149">
        <f t="shared" si="7"/>
        <v>151219973.21000016</v>
      </c>
      <c r="M15" s="153">
        <f t="shared" si="2"/>
        <v>0.1665331814842741</v>
      </c>
      <c r="N15" s="148">
        <f>'2023'!R15</f>
        <v>0</v>
      </c>
      <c r="O15" s="148">
        <f>'2023'!R91</f>
        <v>0</v>
      </c>
      <c r="P15" s="149">
        <f t="shared" si="6"/>
        <v>0</v>
      </c>
      <c r="Q15" s="151" t="str">
        <f t="shared" si="3"/>
        <v>...</v>
      </c>
      <c r="R15" s="148">
        <f>'2022'!R15</f>
        <v>79279103.049999997</v>
      </c>
      <c r="S15" s="149">
        <f t="shared" si="4"/>
        <v>-79279103.049999997</v>
      </c>
      <c r="T15" s="153">
        <f t="shared" si="5"/>
        <v>-1</v>
      </c>
      <c r="W15" s="469"/>
      <c r="Y15" s="469"/>
    </row>
    <row r="16" spans="1:25">
      <c r="A16" s="135">
        <v>7115</v>
      </c>
      <c r="B16" s="499" t="str">
        <f>+VLOOKUP($A16,Master!$D$30:$G$226,4,FALSE)</f>
        <v>Akcize</v>
      </c>
      <c r="C16" s="500"/>
      <c r="D16" s="500"/>
      <c r="E16" s="500"/>
      <c r="F16" s="500"/>
      <c r="G16" s="148">
        <f>'2023'!S16</f>
        <v>323121644.95999998</v>
      </c>
      <c r="H16" s="148">
        <f>SUM('2023'!G92:S92)</f>
        <v>296409200</v>
      </c>
      <c r="I16" s="149">
        <f t="shared" si="0"/>
        <v>26712444.959999979</v>
      </c>
      <c r="J16" s="151">
        <f t="shared" si="1"/>
        <v>9.0120161452478476E-2</v>
      </c>
      <c r="K16" s="148">
        <f>SUM('2022'!G16:R16)</f>
        <v>245872611.77000004</v>
      </c>
      <c r="L16" s="149">
        <f t="shared" si="7"/>
        <v>77249033.189999938</v>
      </c>
      <c r="M16" s="153">
        <f t="shared" si="2"/>
        <v>0.31418315620392101</v>
      </c>
      <c r="N16" s="148">
        <f>'2023'!R16</f>
        <v>0</v>
      </c>
      <c r="O16" s="148">
        <f>'2023'!R92</f>
        <v>0</v>
      </c>
      <c r="P16" s="149">
        <f t="shared" si="6"/>
        <v>0</v>
      </c>
      <c r="Q16" s="151" t="str">
        <f t="shared" si="3"/>
        <v>...</v>
      </c>
      <c r="R16" s="148">
        <f>'2022'!R16</f>
        <v>22088360.559999999</v>
      </c>
      <c r="S16" s="149">
        <f t="shared" si="4"/>
        <v>-22088360.559999999</v>
      </c>
      <c r="T16" s="153">
        <f t="shared" si="5"/>
        <v>-1</v>
      </c>
      <c r="W16" s="469"/>
      <c r="Y16" s="469"/>
    </row>
    <row r="17" spans="1:25">
      <c r="A17" s="135">
        <v>7116</v>
      </c>
      <c r="B17" s="499" t="str">
        <f>+VLOOKUP($A17,Master!$D$30:$G$226,4,FALSE)</f>
        <v>Porez na međunarodnu trgovinu i transakcije</v>
      </c>
      <c r="C17" s="500"/>
      <c r="D17" s="500"/>
      <c r="E17" s="500"/>
      <c r="F17" s="500"/>
      <c r="G17" s="148">
        <f>'2023'!S17</f>
        <v>52191310.710000001</v>
      </c>
      <c r="H17" s="148">
        <f>SUM('2023'!G93:S93)</f>
        <v>47650000</v>
      </c>
      <c r="I17" s="149">
        <f t="shared" si="0"/>
        <v>4541310.7100000009</v>
      </c>
      <c r="J17" s="151">
        <f t="shared" si="1"/>
        <v>9.5305576285414473E-2</v>
      </c>
      <c r="K17" s="148">
        <f>SUM('2022'!G17:R17)</f>
        <v>40239493.630000003</v>
      </c>
      <c r="L17" s="149">
        <f t="shared" si="7"/>
        <v>11951817.079999998</v>
      </c>
      <c r="M17" s="153">
        <f t="shared" si="2"/>
        <v>0.29701708450648812</v>
      </c>
      <c r="N17" s="148">
        <f>'2023'!R17</f>
        <v>0</v>
      </c>
      <c r="O17" s="148">
        <f>'2023'!R93</f>
        <v>0</v>
      </c>
      <c r="P17" s="149">
        <f t="shared" si="6"/>
        <v>0</v>
      </c>
      <c r="Q17" s="151" t="str">
        <f>IF(+IF(ISERROR(N17/O17),"…",N17/O17-1)&gt;200%,"...",IF(ISERROR(N17/O17),"…",N17/O17-1))</f>
        <v>...</v>
      </c>
      <c r="R17" s="148">
        <f>'2022'!R17</f>
        <v>3886090.57</v>
      </c>
      <c r="S17" s="149">
        <f t="shared" si="4"/>
        <v>-3886090.57</v>
      </c>
      <c r="T17" s="153">
        <f t="shared" si="5"/>
        <v>-1</v>
      </c>
      <c r="W17" s="469"/>
      <c r="Y17" s="469"/>
    </row>
    <row r="18" spans="1:25">
      <c r="A18" s="135">
        <v>7118</v>
      </c>
      <c r="B18" s="499" t="str">
        <f>+VLOOKUP($A18,Master!$D$30:$G$226,4,FALSE)</f>
        <v>Ostali državni porezi</v>
      </c>
      <c r="C18" s="500"/>
      <c r="D18" s="500"/>
      <c r="E18" s="500"/>
      <c r="F18" s="500"/>
      <c r="G18" s="148">
        <f>'2023'!S18</f>
        <v>12599251.9</v>
      </c>
      <c r="H18" s="148">
        <f>SUM('2023'!G94:S94)</f>
        <v>12257714.739000088</v>
      </c>
      <c r="I18" s="149">
        <f t="shared" si="0"/>
        <v>341537.16099991277</v>
      </c>
      <c r="J18" s="151">
        <f t="shared" si="1"/>
        <v>2.7863037138011748E-2</v>
      </c>
      <c r="K18" s="148">
        <f>SUM('2022'!G18:R18)</f>
        <v>12282234.720000001</v>
      </c>
      <c r="L18" s="149">
        <f t="shared" si="7"/>
        <v>317017.1799999997</v>
      </c>
      <c r="M18" s="153">
        <f t="shared" si="2"/>
        <v>2.581103416659003E-2</v>
      </c>
      <c r="N18" s="148">
        <f>'2023'!R18</f>
        <v>0</v>
      </c>
      <c r="O18" s="148">
        <f>'2023'!R94</f>
        <v>0</v>
      </c>
      <c r="P18" s="149">
        <f t="shared" si="6"/>
        <v>0</v>
      </c>
      <c r="Q18" s="151" t="str">
        <f t="shared" si="3"/>
        <v>...</v>
      </c>
      <c r="R18" s="148">
        <f>'2022'!R18</f>
        <v>1035546.97</v>
      </c>
      <c r="S18" s="149">
        <f t="shared" si="4"/>
        <v>-1035546.97</v>
      </c>
      <c r="T18" s="153">
        <f t="shared" si="5"/>
        <v>-1</v>
      </c>
      <c r="W18" s="469"/>
      <c r="Y18" s="469"/>
    </row>
    <row r="19" spans="1:25">
      <c r="A19" s="135">
        <v>712</v>
      </c>
      <c r="B19" s="501" t="str">
        <f>+VLOOKUP($A19,Master!$D$30:$G$226,4,FALSE)</f>
        <v>Doprinosi</v>
      </c>
      <c r="C19" s="502"/>
      <c r="D19" s="502"/>
      <c r="E19" s="502"/>
      <c r="F19" s="502"/>
      <c r="G19" s="154">
        <f>'2023'!S19</f>
        <v>575730590.25</v>
      </c>
      <c r="H19" s="154">
        <f>SUM('2023'!G95:S95)</f>
        <v>512225546.84560192</v>
      </c>
      <c r="I19" s="155">
        <f t="shared" si="0"/>
        <v>63505043.404398084</v>
      </c>
      <c r="J19" s="157">
        <f t="shared" si="1"/>
        <v>0.12397867266768747</v>
      </c>
      <c r="K19" s="154">
        <f>SUM('2022'!G19:R19)</f>
        <v>462797044.28999996</v>
      </c>
      <c r="L19" s="155">
        <f t="shared" si="7"/>
        <v>112933545.96000004</v>
      </c>
      <c r="M19" s="159">
        <f t="shared" si="2"/>
        <v>0.24402391362126563</v>
      </c>
      <c r="N19" s="154">
        <f>'2023'!R19</f>
        <v>0</v>
      </c>
      <c r="O19" s="154">
        <f>'2023'!R95</f>
        <v>0</v>
      </c>
      <c r="P19" s="155">
        <f t="shared" si="6"/>
        <v>0</v>
      </c>
      <c r="Q19" s="157" t="str">
        <f t="shared" si="3"/>
        <v>...</v>
      </c>
      <c r="R19" s="154">
        <f>'2022'!R19</f>
        <v>76106447.830000013</v>
      </c>
      <c r="S19" s="155">
        <f t="shared" si="4"/>
        <v>-76106447.830000013</v>
      </c>
      <c r="T19" s="159">
        <f t="shared" si="5"/>
        <v>-1</v>
      </c>
      <c r="W19" s="469"/>
      <c r="Y19" s="469"/>
    </row>
    <row r="20" spans="1:25">
      <c r="A20" s="135">
        <v>7121</v>
      </c>
      <c r="B20" s="499" t="str">
        <f>+VLOOKUP($A20,Master!$D$30:$G$226,4,FALSE)</f>
        <v>Doprinosi za penzijsko i invalidsko osiguranje</v>
      </c>
      <c r="C20" s="500"/>
      <c r="D20" s="500"/>
      <c r="E20" s="500"/>
      <c r="F20" s="500"/>
      <c r="G20" s="148">
        <f>'2023'!S20</f>
        <v>526512246.37</v>
      </c>
      <c r="H20" s="148">
        <f>SUM('2023'!G96:S96)</f>
        <v>473725546.84560192</v>
      </c>
      <c r="I20" s="149">
        <f t="shared" si="0"/>
        <v>52786699.524398088</v>
      </c>
      <c r="J20" s="151">
        <f t="shared" si="1"/>
        <v>0.11142886398229757</v>
      </c>
      <c r="K20" s="148">
        <f>SUM('2022'!G20:R20)</f>
        <v>405895277.21000004</v>
      </c>
      <c r="L20" s="149">
        <f t="shared" si="7"/>
        <v>120616969.15999997</v>
      </c>
      <c r="M20" s="153">
        <f t="shared" si="2"/>
        <v>0.29716278048141898</v>
      </c>
      <c r="N20" s="148">
        <f>'2023'!R20</f>
        <v>0</v>
      </c>
      <c r="O20" s="148">
        <f>'2023'!R96</f>
        <v>0</v>
      </c>
      <c r="P20" s="149">
        <f t="shared" si="6"/>
        <v>0</v>
      </c>
      <c r="Q20" s="151" t="str">
        <f t="shared" si="3"/>
        <v>...</v>
      </c>
      <c r="R20" s="148">
        <f>'2022'!R20</f>
        <v>69645040.040000007</v>
      </c>
      <c r="S20" s="149">
        <f t="shared" si="4"/>
        <v>-69645040.040000007</v>
      </c>
      <c r="T20" s="153">
        <f t="shared" si="5"/>
        <v>-1</v>
      </c>
      <c r="W20" s="469"/>
      <c r="Y20" s="469"/>
    </row>
    <row r="21" spans="1:25">
      <c r="A21" s="135">
        <v>7122</v>
      </c>
      <c r="B21" s="499" t="str">
        <f>+VLOOKUP($A21,Master!$D$30:$G$226,4,FALSE)</f>
        <v>Doprinosi za zdravstveno osiguranje</v>
      </c>
      <c r="C21" s="500"/>
      <c r="D21" s="500"/>
      <c r="E21" s="500"/>
      <c r="F21" s="500"/>
      <c r="G21" s="148">
        <f>'2023'!S21</f>
        <v>7030542.8399999989</v>
      </c>
      <c r="H21" s="148">
        <f>SUM('2023'!G97:S97)</f>
        <v>1500000</v>
      </c>
      <c r="I21" s="149">
        <f t="shared" si="0"/>
        <v>5530542.8399999989</v>
      </c>
      <c r="J21" s="151" t="str">
        <f t="shared" si="1"/>
        <v>...</v>
      </c>
      <c r="K21" s="148">
        <f>SUM('2022'!G21:R21)</f>
        <v>25055179.93</v>
      </c>
      <c r="L21" s="149">
        <f t="shared" si="7"/>
        <v>-18024637.09</v>
      </c>
      <c r="M21" s="153">
        <f t="shared" si="2"/>
        <v>-0.71939763116281086</v>
      </c>
      <c r="N21" s="148">
        <f>'2023'!R21</f>
        <v>0</v>
      </c>
      <c r="O21" s="148">
        <f>'2023'!R97</f>
        <v>0</v>
      </c>
      <c r="P21" s="149">
        <f t="shared" si="6"/>
        <v>0</v>
      </c>
      <c r="Q21" s="151" t="str">
        <f t="shared" si="3"/>
        <v>...</v>
      </c>
      <c r="R21" s="148">
        <f>'2022'!R21</f>
        <v>1011542.87</v>
      </c>
      <c r="S21" s="149">
        <f t="shared" si="4"/>
        <v>-1011542.87</v>
      </c>
      <c r="T21" s="153">
        <f t="shared" si="5"/>
        <v>-1</v>
      </c>
      <c r="W21" s="469"/>
      <c r="Y21" s="469"/>
    </row>
    <row r="22" spans="1:25">
      <c r="A22" s="135">
        <v>7123</v>
      </c>
      <c r="B22" s="499" t="str">
        <f>+VLOOKUP($A22,Master!$D$30:$G$226,4,FALSE)</f>
        <v>Doprinosi za osiguranje od nezaposlenosti</v>
      </c>
      <c r="C22" s="500"/>
      <c r="D22" s="500"/>
      <c r="E22" s="500"/>
      <c r="F22" s="500"/>
      <c r="G22" s="148">
        <f>'2023'!S22</f>
        <v>24220167.09</v>
      </c>
      <c r="H22" s="148">
        <f>SUM('2023'!G98:S98)</f>
        <v>22000000</v>
      </c>
      <c r="I22" s="149">
        <f t="shared" si="0"/>
        <v>2220167.09</v>
      </c>
      <c r="J22" s="151">
        <f t="shared" si="1"/>
        <v>0.10091668590909086</v>
      </c>
      <c r="K22" s="148">
        <f>SUM('2022'!G22:R22)</f>
        <v>18395128.240000002</v>
      </c>
      <c r="L22" s="149">
        <f t="shared" si="7"/>
        <v>5825038.8499999978</v>
      </c>
      <c r="M22" s="153">
        <f t="shared" si="2"/>
        <v>0.31666204084043925</v>
      </c>
      <c r="N22" s="148">
        <f>'2023'!R22</f>
        <v>0</v>
      </c>
      <c r="O22" s="148">
        <f>'2023'!R98</f>
        <v>0</v>
      </c>
      <c r="P22" s="149">
        <f t="shared" si="6"/>
        <v>0</v>
      </c>
      <c r="Q22" s="151" t="str">
        <f t="shared" si="3"/>
        <v>...</v>
      </c>
      <c r="R22" s="148">
        <f>'2022'!R22</f>
        <v>3184426.45</v>
      </c>
      <c r="S22" s="149">
        <f t="shared" si="4"/>
        <v>-3184426.45</v>
      </c>
      <c r="T22" s="153">
        <f t="shared" si="5"/>
        <v>-1</v>
      </c>
      <c r="W22" s="469"/>
      <c r="Y22" s="469"/>
    </row>
    <row r="23" spans="1:25">
      <c r="A23" s="135">
        <v>7124</v>
      </c>
      <c r="B23" s="499" t="str">
        <f>+VLOOKUP($A23,Master!$D$30:$G$226,4,FALSE)</f>
        <v>Ostali doprinosi</v>
      </c>
      <c r="C23" s="500"/>
      <c r="D23" s="500"/>
      <c r="E23" s="500"/>
      <c r="F23" s="500"/>
      <c r="G23" s="148">
        <f>'2023'!S23</f>
        <v>17967633.949999999</v>
      </c>
      <c r="H23" s="148">
        <f>SUM('2023'!G99:S99)</f>
        <v>15000000</v>
      </c>
      <c r="I23" s="149">
        <f t="shared" si="0"/>
        <v>2967633.9499999993</v>
      </c>
      <c r="J23" s="151">
        <f t="shared" si="1"/>
        <v>0.19784226333333321</v>
      </c>
      <c r="K23" s="148">
        <f>SUM('2022'!G23:R23)</f>
        <v>13451458.910000002</v>
      </c>
      <c r="L23" s="149">
        <f t="shared" si="7"/>
        <v>4516175.0399999972</v>
      </c>
      <c r="M23" s="153">
        <f t="shared" si="2"/>
        <v>0.33573867862337292</v>
      </c>
      <c r="N23" s="148">
        <f>'2023'!R23</f>
        <v>0</v>
      </c>
      <c r="O23" s="148">
        <f>'2023'!R99</f>
        <v>0</v>
      </c>
      <c r="P23" s="149">
        <f t="shared" si="6"/>
        <v>0</v>
      </c>
      <c r="Q23" s="151" t="str">
        <f t="shared" si="3"/>
        <v>...</v>
      </c>
      <c r="R23" s="148">
        <f>'2022'!R23</f>
        <v>2265438.4700000002</v>
      </c>
      <c r="S23" s="149">
        <f t="shared" si="4"/>
        <v>-2265438.4700000002</v>
      </c>
      <c r="T23" s="153">
        <f t="shared" si="5"/>
        <v>-1</v>
      </c>
      <c r="W23" s="469"/>
      <c r="Y23" s="469"/>
    </row>
    <row r="24" spans="1:25">
      <c r="A24" s="135">
        <v>713</v>
      </c>
      <c r="B24" s="501" t="str">
        <f>+VLOOKUP($A24,Master!$D$30:$G$226,4,FALSE)</f>
        <v>Takse</v>
      </c>
      <c r="C24" s="502"/>
      <c r="D24" s="502"/>
      <c r="E24" s="502"/>
      <c r="F24" s="502"/>
      <c r="G24" s="160">
        <f>'2023'!S24</f>
        <v>15958058.43</v>
      </c>
      <c r="H24" s="160">
        <f>SUM('2023'!G100:S100)</f>
        <v>14498595.505600002</v>
      </c>
      <c r="I24" s="161">
        <f t="shared" si="0"/>
        <v>1459462.924399998</v>
      </c>
      <c r="J24" s="163">
        <f t="shared" si="1"/>
        <v>0.10066236580200405</v>
      </c>
      <c r="K24" s="160">
        <f>SUM('2022'!G24:R24)</f>
        <v>14770367.420000002</v>
      </c>
      <c r="L24" s="161">
        <f t="shared" si="7"/>
        <v>1187691.0099999979</v>
      </c>
      <c r="M24" s="165">
        <f t="shared" si="2"/>
        <v>8.041039035980857E-2</v>
      </c>
      <c r="N24" s="160">
        <f>'2023'!R24</f>
        <v>0</v>
      </c>
      <c r="O24" s="160">
        <f>'2023'!R100</f>
        <v>0</v>
      </c>
      <c r="P24" s="161">
        <f t="shared" si="6"/>
        <v>0</v>
      </c>
      <c r="Q24" s="163" t="str">
        <f t="shared" si="3"/>
        <v>...</v>
      </c>
      <c r="R24" s="160">
        <f>'2022'!R24</f>
        <v>1600139.91</v>
      </c>
      <c r="S24" s="161">
        <f t="shared" si="4"/>
        <v>-1600139.91</v>
      </c>
      <c r="T24" s="165">
        <f t="shared" si="5"/>
        <v>-1</v>
      </c>
      <c r="W24" s="469"/>
      <c r="Y24" s="469"/>
    </row>
    <row r="25" spans="1:25">
      <c r="A25" s="135">
        <v>714</v>
      </c>
      <c r="B25" s="501" t="str">
        <f>+VLOOKUP($A25,Master!$D$30:$G$226,4,FALSE)</f>
        <v>Naknade</v>
      </c>
      <c r="C25" s="502"/>
      <c r="D25" s="502"/>
      <c r="E25" s="502"/>
      <c r="F25" s="502"/>
      <c r="G25" s="160">
        <f>'2023'!S25</f>
        <v>55717585.719999999</v>
      </c>
      <c r="H25" s="160">
        <f>SUM('2023'!G101:S101)</f>
        <v>45959207.071750499</v>
      </c>
      <c r="I25" s="161">
        <f t="shared" si="0"/>
        <v>9758378.6482494995</v>
      </c>
      <c r="J25" s="163">
        <f t="shared" si="1"/>
        <v>0.21232695840498139</v>
      </c>
      <c r="K25" s="160">
        <f>SUM('2022'!G25:R25)</f>
        <v>72750276.989999995</v>
      </c>
      <c r="L25" s="161">
        <f t="shared" si="7"/>
        <v>-17032691.269999996</v>
      </c>
      <c r="M25" s="165">
        <f t="shared" si="2"/>
        <v>-0.23412544906655475</v>
      </c>
      <c r="N25" s="160">
        <f>'2023'!R25</f>
        <v>0</v>
      </c>
      <c r="O25" s="160">
        <f>'2023'!R101</f>
        <v>0</v>
      </c>
      <c r="P25" s="161">
        <f t="shared" si="6"/>
        <v>0</v>
      </c>
      <c r="Q25" s="163" t="str">
        <f t="shared" si="3"/>
        <v>...</v>
      </c>
      <c r="R25" s="160">
        <f>'2022'!R25</f>
        <v>12753782.83</v>
      </c>
      <c r="S25" s="161">
        <f t="shared" si="4"/>
        <v>-12753782.83</v>
      </c>
      <c r="T25" s="165">
        <f t="shared" si="5"/>
        <v>-1</v>
      </c>
      <c r="W25" s="469"/>
      <c r="Y25" s="469"/>
    </row>
    <row r="26" spans="1:25">
      <c r="A26" s="135">
        <v>715</v>
      </c>
      <c r="B26" s="501" t="str">
        <f>+VLOOKUP($A26,Master!$D$30:$G$226,4,FALSE)</f>
        <v>Ostali prihodi</v>
      </c>
      <c r="C26" s="502"/>
      <c r="D26" s="502"/>
      <c r="E26" s="502"/>
      <c r="F26" s="502"/>
      <c r="G26" s="160">
        <f>'2023'!S26</f>
        <v>181791143.25999999</v>
      </c>
      <c r="H26" s="160">
        <f>SUM('2023'!G102:S102)</f>
        <v>200410680.97400001</v>
      </c>
      <c r="I26" s="161">
        <f t="shared" si="0"/>
        <v>-18619537.714000016</v>
      </c>
      <c r="J26" s="163">
        <f t="shared" si="1"/>
        <v>-9.2906913062261398E-2</v>
      </c>
      <c r="K26" s="160">
        <f>SUM('2022'!G26:R26)</f>
        <v>29565488.299999997</v>
      </c>
      <c r="L26" s="161">
        <f t="shared" si="7"/>
        <v>152225654.95999998</v>
      </c>
      <c r="M26" s="165" t="str">
        <f t="shared" si="2"/>
        <v>...</v>
      </c>
      <c r="N26" s="160">
        <f>'2023'!R26</f>
        <v>0</v>
      </c>
      <c r="O26" s="160">
        <f>'2023'!R102</f>
        <v>0</v>
      </c>
      <c r="P26" s="161">
        <f t="shared" si="6"/>
        <v>0</v>
      </c>
      <c r="Q26" s="163" t="str">
        <f t="shared" si="3"/>
        <v>...</v>
      </c>
      <c r="R26" s="160">
        <f>'2022'!R26</f>
        <v>3199096.44</v>
      </c>
      <c r="S26" s="161">
        <f t="shared" si="4"/>
        <v>-3199096.44</v>
      </c>
      <c r="T26" s="165">
        <f t="shared" si="5"/>
        <v>-1</v>
      </c>
      <c r="W26" s="469"/>
      <c r="Y26" s="469"/>
    </row>
    <row r="27" spans="1:25">
      <c r="A27" s="135">
        <v>73</v>
      </c>
      <c r="B27" s="501" t="str">
        <f>+VLOOKUP($A27,Master!$D$30:$G$226,4,FALSE)</f>
        <v>Primici od otplate kredita i sredstva prenesena iz prethodne godine</v>
      </c>
      <c r="C27" s="502"/>
      <c r="D27" s="502"/>
      <c r="E27" s="502"/>
      <c r="F27" s="502"/>
      <c r="G27" s="160">
        <f>'2023'!S27</f>
        <v>0</v>
      </c>
      <c r="H27" s="160">
        <f>SUM('2023'!G103:S103)</f>
        <v>0</v>
      </c>
      <c r="I27" s="161">
        <f t="shared" si="0"/>
        <v>0</v>
      </c>
      <c r="J27" s="163" t="str">
        <f t="shared" si="1"/>
        <v>...</v>
      </c>
      <c r="K27" s="160">
        <f>SUM('2022'!G27:R27)</f>
        <v>0</v>
      </c>
      <c r="L27" s="161">
        <f t="shared" si="7"/>
        <v>0</v>
      </c>
      <c r="M27" s="165" t="str">
        <f t="shared" si="2"/>
        <v>...</v>
      </c>
      <c r="N27" s="160">
        <f>'2023'!R27</f>
        <v>0</v>
      </c>
      <c r="O27" s="160">
        <f>'2023'!R103</f>
        <v>0</v>
      </c>
      <c r="P27" s="161">
        <f t="shared" si="6"/>
        <v>0</v>
      </c>
      <c r="Q27" s="163" t="str">
        <f t="shared" si="3"/>
        <v>...</v>
      </c>
      <c r="R27" s="160">
        <f>'2022'!R27</f>
        <v>0</v>
      </c>
      <c r="S27" s="161">
        <f t="shared" si="4"/>
        <v>0</v>
      </c>
      <c r="T27" s="165" t="str">
        <f t="shared" si="5"/>
        <v>...</v>
      </c>
      <c r="W27" s="469"/>
      <c r="Y27" s="469"/>
    </row>
    <row r="28" spans="1:25" ht="15.75" thickBot="1">
      <c r="A28" s="135">
        <v>74</v>
      </c>
      <c r="B28" s="505" t="str">
        <f>+VLOOKUP($A28,Master!$D$30:$G$226,4,FALSE)</f>
        <v>Donacije i transferi</v>
      </c>
      <c r="C28" s="506"/>
      <c r="D28" s="506"/>
      <c r="E28" s="506"/>
      <c r="F28" s="506"/>
      <c r="G28" s="160">
        <f>'2023'!S28</f>
        <v>71264868.700000018</v>
      </c>
      <c r="H28" s="160">
        <f>SUM('2023'!G104:S104)</f>
        <v>68383384.579999998</v>
      </c>
      <c r="I28" s="161">
        <f t="shared" si="0"/>
        <v>2881484.1200000197</v>
      </c>
      <c r="J28" s="163">
        <f t="shared" si="1"/>
        <v>4.213719659677051E-2</v>
      </c>
      <c r="K28" s="160">
        <f>SUM('2022'!G28:R28)</f>
        <v>34391205.840000004</v>
      </c>
      <c r="L28" s="161">
        <f t="shared" si="7"/>
        <v>36873662.860000014</v>
      </c>
      <c r="M28" s="165">
        <f t="shared" si="2"/>
        <v>1.0721829013948878</v>
      </c>
      <c r="N28" s="160">
        <f>'2023'!R28</f>
        <v>0</v>
      </c>
      <c r="O28" s="160">
        <f>'2023'!R104</f>
        <v>0</v>
      </c>
      <c r="P28" s="161">
        <f t="shared" si="6"/>
        <v>0</v>
      </c>
      <c r="Q28" s="163" t="str">
        <f t="shared" si="3"/>
        <v>...</v>
      </c>
      <c r="R28" s="160">
        <f>'2022'!R28</f>
        <v>5615200.2199999997</v>
      </c>
      <c r="S28" s="161">
        <f t="shared" si="4"/>
        <v>-5615200.2199999997</v>
      </c>
      <c r="T28" s="165">
        <f t="shared" si="5"/>
        <v>-1</v>
      </c>
      <c r="W28" s="469"/>
      <c r="Y28" s="469"/>
    </row>
    <row r="29" spans="1:25" ht="15.75" thickBot="1">
      <c r="A29" s="135">
        <v>4</v>
      </c>
      <c r="B29" s="507" t="str">
        <f>+VLOOKUP($A29,Master!$D$30:$G$226,4,FALSE)</f>
        <v>Izdaci budžeta</v>
      </c>
      <c r="C29" s="508"/>
      <c r="D29" s="508"/>
      <c r="E29" s="508"/>
      <c r="F29" s="508"/>
      <c r="G29" s="136">
        <f>'2023'!S29</f>
        <v>2555378831.9999995</v>
      </c>
      <c r="H29" s="136">
        <f>SUM('2023'!G105:S105)</f>
        <v>2639096791.3985004</v>
      </c>
      <c r="I29" s="137">
        <f t="shared" si="0"/>
        <v>-83717959.398500919</v>
      </c>
      <c r="J29" s="139">
        <f t="shared" si="1"/>
        <v>-3.1722201198288502E-2</v>
      </c>
      <c r="K29" s="136">
        <f>SUM('2022'!G29:R29)</f>
        <v>2245767940.8999996</v>
      </c>
      <c r="L29" s="137">
        <f t="shared" si="7"/>
        <v>309610891.0999999</v>
      </c>
      <c r="M29" s="141">
        <f t="shared" si="2"/>
        <v>0.13786415126040241</v>
      </c>
      <c r="N29" s="136">
        <f>'2023'!R29</f>
        <v>0</v>
      </c>
      <c r="O29" s="136">
        <f>'2023'!R105</f>
        <v>0</v>
      </c>
      <c r="P29" s="137">
        <f t="shared" si="6"/>
        <v>0</v>
      </c>
      <c r="Q29" s="139" t="str">
        <f t="shared" si="3"/>
        <v>...</v>
      </c>
      <c r="R29" s="136">
        <f>'2022'!R29</f>
        <v>369326518.45000005</v>
      </c>
      <c r="S29" s="137">
        <f t="shared" si="4"/>
        <v>-369326518.45000005</v>
      </c>
      <c r="T29" s="141">
        <f t="shared" si="5"/>
        <v>-1</v>
      </c>
      <c r="W29" s="469"/>
      <c r="Y29" s="469"/>
    </row>
    <row r="30" spans="1:25">
      <c r="A30" s="135">
        <v>41</v>
      </c>
      <c r="B30" s="511" t="str">
        <f>+VLOOKUP($A30,Master!$D$30:$G$226,4,FALSE)</f>
        <v>Tekući izdaci</v>
      </c>
      <c r="C30" s="512"/>
      <c r="D30" s="512"/>
      <c r="E30" s="512"/>
      <c r="F30" s="512"/>
      <c r="G30" s="294">
        <f>'2023'!S30</f>
        <v>1072283965.9199998</v>
      </c>
      <c r="H30" s="294">
        <f>SUM('2023'!G106:S106)</f>
        <v>1080322097.4785001</v>
      </c>
      <c r="I30" s="173">
        <f t="shared" si="0"/>
        <v>-8038131.5585002899</v>
      </c>
      <c r="J30" s="175">
        <f t="shared" si="1"/>
        <v>-7.4404953645412775E-3</v>
      </c>
      <c r="K30" s="294">
        <f>SUM('2022'!G30:R30)</f>
        <v>923673941.22000003</v>
      </c>
      <c r="L30" s="173">
        <f t="shared" si="7"/>
        <v>148610024.69999981</v>
      </c>
      <c r="M30" s="177">
        <f t="shared" si="2"/>
        <v>0.16089013456817214</v>
      </c>
      <c r="N30" s="294">
        <f>'2023'!R30</f>
        <v>0</v>
      </c>
      <c r="O30" s="294">
        <f>'2023'!R106</f>
        <v>0</v>
      </c>
      <c r="P30" s="173">
        <f t="shared" si="6"/>
        <v>0</v>
      </c>
      <c r="Q30" s="175" t="str">
        <f t="shared" si="3"/>
        <v>...</v>
      </c>
      <c r="R30" s="294">
        <f>'2022'!R30</f>
        <v>160323574.99000001</v>
      </c>
      <c r="S30" s="173">
        <f t="shared" si="4"/>
        <v>-160323574.99000001</v>
      </c>
      <c r="T30" s="177">
        <f t="shared" si="5"/>
        <v>-1</v>
      </c>
      <c r="W30" s="469"/>
      <c r="Y30" s="469"/>
    </row>
    <row r="31" spans="1:25">
      <c r="A31" s="135">
        <v>411</v>
      </c>
      <c r="B31" s="499" t="str">
        <f>+VLOOKUP($A31,Master!$D$30:$G$226,4,FALSE)</f>
        <v>Bruto zarade i doprinosi na teret poslodavca</v>
      </c>
      <c r="C31" s="500"/>
      <c r="D31" s="500"/>
      <c r="E31" s="500"/>
      <c r="F31" s="500"/>
      <c r="G31" s="148">
        <f>'2023'!S31</f>
        <v>642971390.56000006</v>
      </c>
      <c r="H31" s="148">
        <f>SUM('2023'!G107:S107)</f>
        <v>635224458.56850004</v>
      </c>
      <c r="I31" s="149">
        <f t="shared" si="0"/>
        <v>7746931.99150002</v>
      </c>
      <c r="J31" s="151">
        <f t="shared" si="1"/>
        <v>1.2195582029316032E-2</v>
      </c>
      <c r="K31" s="148">
        <f>SUM('2022'!G31:R31)</f>
        <v>542475528.12</v>
      </c>
      <c r="L31" s="149">
        <f t="shared" si="7"/>
        <v>100495862.44000006</v>
      </c>
      <c r="M31" s="153">
        <f t="shared" si="2"/>
        <v>0.18525418609808608</v>
      </c>
      <c r="N31" s="148">
        <f>'2023'!R31</f>
        <v>0</v>
      </c>
      <c r="O31" s="148">
        <f>'2023'!R107</f>
        <v>0</v>
      </c>
      <c r="P31" s="149">
        <f>+N31-O31</f>
        <v>0</v>
      </c>
      <c r="Q31" s="151" t="str">
        <f>IF(+IF(ISERROR(N31/O31),"…",N31/O31-1)&gt;200%,"...",IF(ISERROR(N31/O31),"…",N31/O31-1))</f>
        <v>...</v>
      </c>
      <c r="R31" s="148">
        <f>'2022'!R31</f>
        <v>54096780.950000003</v>
      </c>
      <c r="S31" s="149">
        <f t="shared" si="4"/>
        <v>-54096780.950000003</v>
      </c>
      <c r="T31" s="153">
        <f t="shared" si="5"/>
        <v>-1</v>
      </c>
      <c r="W31" s="469"/>
      <c r="Y31" s="469"/>
    </row>
    <row r="32" spans="1:25">
      <c r="A32" s="135">
        <v>412</v>
      </c>
      <c r="B32" s="499" t="str">
        <f>+VLOOKUP($A32,Master!$D$30:$G$226,4,FALSE)</f>
        <v>Ostala lična primanja</v>
      </c>
      <c r="C32" s="500"/>
      <c r="D32" s="500"/>
      <c r="E32" s="500"/>
      <c r="F32" s="500"/>
      <c r="G32" s="148">
        <f>'2023'!S32</f>
        <v>18419755.229999997</v>
      </c>
      <c r="H32" s="148">
        <f>SUM('2023'!G108:S108)</f>
        <v>19612384.860000003</v>
      </c>
      <c r="I32" s="149">
        <f t="shared" si="0"/>
        <v>-1192629.6300000064</v>
      </c>
      <c r="J32" s="151">
        <f t="shared" si="1"/>
        <v>-6.0810025833849868E-2</v>
      </c>
      <c r="K32" s="148">
        <f>SUM('2022'!G32:R32)</f>
        <v>18769988.849999998</v>
      </c>
      <c r="L32" s="149">
        <f t="shared" si="7"/>
        <v>-350233.62000000104</v>
      </c>
      <c r="M32" s="153">
        <f t="shared" si="2"/>
        <v>-1.8659234312757733E-2</v>
      </c>
      <c r="N32" s="148">
        <f>'2023'!R32</f>
        <v>0</v>
      </c>
      <c r="O32" s="148">
        <f>'2023'!R108</f>
        <v>0</v>
      </c>
      <c r="P32" s="149">
        <f t="shared" si="6"/>
        <v>0</v>
      </c>
      <c r="Q32" s="151" t="str">
        <f t="shared" si="3"/>
        <v>...</v>
      </c>
      <c r="R32" s="148">
        <f>'2022'!R32</f>
        <v>4199614.4400000004</v>
      </c>
      <c r="S32" s="149">
        <f t="shared" si="4"/>
        <v>-4199614.4400000004</v>
      </c>
      <c r="T32" s="153">
        <f t="shared" si="5"/>
        <v>-1</v>
      </c>
      <c r="W32" s="469"/>
      <c r="Y32" s="469"/>
    </row>
    <row r="33" spans="1:25">
      <c r="A33" s="135">
        <v>413</v>
      </c>
      <c r="B33" s="499" t="str">
        <f>+VLOOKUP($A33,Master!$D$30:$G$226,4,FALSE)</f>
        <v>Rashodi za materijal</v>
      </c>
      <c r="C33" s="500"/>
      <c r="D33" s="500"/>
      <c r="E33" s="500"/>
      <c r="F33" s="500"/>
      <c r="G33" s="148">
        <f>'2023'!S33</f>
        <v>45738707.160000004</v>
      </c>
      <c r="H33" s="148">
        <f>SUM('2023'!G109:S109)</f>
        <v>56710723.900000006</v>
      </c>
      <c r="I33" s="149">
        <f t="shared" si="0"/>
        <v>-10972016.740000002</v>
      </c>
      <c r="J33" s="151">
        <f t="shared" si="1"/>
        <v>-0.19347340300835059</v>
      </c>
      <c r="K33" s="148">
        <f>SUM('2022'!G33:R33)</f>
        <v>37040834.979999997</v>
      </c>
      <c r="L33" s="149">
        <f t="shared" si="7"/>
        <v>8697872.1800000072</v>
      </c>
      <c r="M33" s="153">
        <f t="shared" si="2"/>
        <v>0.23481846952684449</v>
      </c>
      <c r="N33" s="148">
        <f>'2023'!R33</f>
        <v>0</v>
      </c>
      <c r="O33" s="148">
        <f>'2023'!R109</f>
        <v>0</v>
      </c>
      <c r="P33" s="149">
        <f t="shared" si="6"/>
        <v>0</v>
      </c>
      <c r="Q33" s="151" t="str">
        <f t="shared" si="3"/>
        <v>...</v>
      </c>
      <c r="R33" s="148">
        <f>'2022'!R33</f>
        <v>7777378.4400000004</v>
      </c>
      <c r="S33" s="149">
        <f t="shared" si="4"/>
        <v>-7777378.4400000004</v>
      </c>
      <c r="T33" s="153">
        <f t="shared" si="5"/>
        <v>-1</v>
      </c>
      <c r="W33" s="469"/>
      <c r="Y33" s="469"/>
    </row>
    <row r="34" spans="1:25">
      <c r="A34" s="135">
        <v>414</v>
      </c>
      <c r="B34" s="499" t="str">
        <f>+VLOOKUP($A34,Master!$D$30:$G$226,4,FALSE)</f>
        <v>Rashodi za usluge</v>
      </c>
      <c r="C34" s="500"/>
      <c r="D34" s="500"/>
      <c r="E34" s="500"/>
      <c r="F34" s="500"/>
      <c r="G34" s="148">
        <f>'2023'!S34</f>
        <v>72361501.770000011</v>
      </c>
      <c r="H34" s="148">
        <f>SUM('2023'!G110:S110)</f>
        <v>71054582.26000002</v>
      </c>
      <c r="I34" s="149">
        <f t="shared" si="0"/>
        <v>1306919.5099999905</v>
      </c>
      <c r="J34" s="151">
        <f t="shared" si="1"/>
        <v>1.8393177025765484E-2</v>
      </c>
      <c r="K34" s="148">
        <f>SUM('2022'!G34:R34)</f>
        <v>63498276.480000004</v>
      </c>
      <c r="L34" s="149">
        <f t="shared" si="7"/>
        <v>8863225.2900000066</v>
      </c>
      <c r="M34" s="153">
        <f t="shared" si="2"/>
        <v>0.13958213956864873</v>
      </c>
      <c r="N34" s="148">
        <f>'2023'!R34</f>
        <v>0</v>
      </c>
      <c r="O34" s="148">
        <f>'2023'!R110</f>
        <v>0</v>
      </c>
      <c r="P34" s="149">
        <f t="shared" si="6"/>
        <v>0</v>
      </c>
      <c r="Q34" s="151" t="str">
        <f t="shared" si="3"/>
        <v>...</v>
      </c>
      <c r="R34" s="148">
        <f>'2022'!R34</f>
        <v>14663182.699999999</v>
      </c>
      <c r="S34" s="149">
        <f t="shared" si="4"/>
        <v>-14663182.699999999</v>
      </c>
      <c r="T34" s="153">
        <f t="shared" si="5"/>
        <v>-1</v>
      </c>
      <c r="W34" s="469"/>
      <c r="Y34" s="469"/>
    </row>
    <row r="35" spans="1:25">
      <c r="A35" s="135">
        <v>415</v>
      </c>
      <c r="B35" s="499" t="str">
        <f>+VLOOKUP($A35,Master!$D$30:$G$226,4,FALSE)</f>
        <v>Rashodi za tekuće održavanje</v>
      </c>
      <c r="C35" s="500"/>
      <c r="D35" s="500"/>
      <c r="E35" s="500"/>
      <c r="F35" s="500"/>
      <c r="G35" s="148">
        <f>'2023'!S35</f>
        <v>30173825.100000001</v>
      </c>
      <c r="H35" s="148">
        <f>SUM('2023'!G111:S111)</f>
        <v>34835684.359999999</v>
      </c>
      <c r="I35" s="149">
        <f t="shared" si="0"/>
        <v>-4661859.2599999979</v>
      </c>
      <c r="J35" s="151">
        <f t="shared" si="1"/>
        <v>-0.13382424791266534</v>
      </c>
      <c r="K35" s="148">
        <f>SUM('2022'!G35:R35)</f>
        <v>27310215.390000001</v>
      </c>
      <c r="L35" s="149">
        <f t="shared" si="7"/>
        <v>2863609.7100000009</v>
      </c>
      <c r="M35" s="153">
        <f t="shared" si="2"/>
        <v>0.10485489290752903</v>
      </c>
      <c r="N35" s="148">
        <f>'2023'!R35</f>
        <v>0</v>
      </c>
      <c r="O35" s="148">
        <f>'2023'!R111</f>
        <v>0</v>
      </c>
      <c r="P35" s="149">
        <f t="shared" si="6"/>
        <v>0</v>
      </c>
      <c r="Q35" s="151" t="str">
        <f t="shared" si="3"/>
        <v>...</v>
      </c>
      <c r="R35" s="148">
        <f>'2022'!R35</f>
        <v>8346466.1799999997</v>
      </c>
      <c r="S35" s="149">
        <f t="shared" si="4"/>
        <v>-8346466.1799999997</v>
      </c>
      <c r="T35" s="153">
        <f t="shared" si="5"/>
        <v>-1</v>
      </c>
      <c r="W35" s="469"/>
      <c r="Y35" s="469"/>
    </row>
    <row r="36" spans="1:25">
      <c r="A36" s="135">
        <v>416</v>
      </c>
      <c r="B36" s="499" t="str">
        <f>+VLOOKUP($A36,Master!$D$30:$G$226,4,FALSE)</f>
        <v>Kamate</v>
      </c>
      <c r="C36" s="500"/>
      <c r="D36" s="500"/>
      <c r="E36" s="500"/>
      <c r="F36" s="500"/>
      <c r="G36" s="148">
        <f>'2023'!S36</f>
        <v>123850909.06</v>
      </c>
      <c r="H36" s="148">
        <f>SUM('2023'!G112:S112)</f>
        <v>110027809.39</v>
      </c>
      <c r="I36" s="149">
        <f t="shared" si="0"/>
        <v>13823099.670000002</v>
      </c>
      <c r="J36" s="151">
        <f t="shared" si="1"/>
        <v>0.12563278089999241</v>
      </c>
      <c r="K36" s="148">
        <f>SUM('2022'!G36:R36)</f>
        <v>91955959.900000006</v>
      </c>
      <c r="L36" s="149">
        <f t="shared" si="7"/>
        <v>31894949.159999996</v>
      </c>
      <c r="M36" s="153">
        <f t="shared" si="2"/>
        <v>0.34685026609134439</v>
      </c>
      <c r="N36" s="148">
        <f>'2023'!R36</f>
        <v>0</v>
      </c>
      <c r="O36" s="148">
        <f>'2023'!R112</f>
        <v>0</v>
      </c>
      <c r="P36" s="149">
        <f t="shared" si="6"/>
        <v>0</v>
      </c>
      <c r="Q36" s="151" t="str">
        <f t="shared" si="3"/>
        <v>...</v>
      </c>
      <c r="R36" s="148">
        <f>'2022'!R36</f>
        <v>23105608.969999999</v>
      </c>
      <c r="S36" s="149">
        <f t="shared" si="4"/>
        <v>-23105608.969999999</v>
      </c>
      <c r="T36" s="153">
        <f t="shared" si="5"/>
        <v>-1</v>
      </c>
      <c r="W36" s="469"/>
      <c r="Y36" s="469"/>
    </row>
    <row r="37" spans="1:25">
      <c r="A37" s="135">
        <v>417</v>
      </c>
      <c r="B37" s="499" t="str">
        <f>+VLOOKUP($A37,Master!$D$30:$G$226,4,FALSE)</f>
        <v>Renta</v>
      </c>
      <c r="C37" s="500"/>
      <c r="D37" s="500"/>
      <c r="E37" s="500"/>
      <c r="F37" s="500"/>
      <c r="G37" s="148">
        <f>'2023'!S37</f>
        <v>11698322.590000004</v>
      </c>
      <c r="H37" s="148">
        <f>SUM('2023'!G113:S113)</f>
        <v>12241037.409999998</v>
      </c>
      <c r="I37" s="149">
        <f t="shared" si="0"/>
        <v>-542714.81999999471</v>
      </c>
      <c r="J37" s="151">
        <f t="shared" si="1"/>
        <v>-4.4335688375287341E-2</v>
      </c>
      <c r="K37" s="148">
        <f>SUM('2022'!G37:R37)</f>
        <v>12031200.050000001</v>
      </c>
      <c r="L37" s="149">
        <f t="shared" si="7"/>
        <v>-332877.45999999717</v>
      </c>
      <c r="M37" s="153">
        <f t="shared" si="2"/>
        <v>-2.7667851803361621E-2</v>
      </c>
      <c r="N37" s="148">
        <f>'2023'!R37</f>
        <v>0</v>
      </c>
      <c r="O37" s="148">
        <f>'2023'!R113</f>
        <v>0</v>
      </c>
      <c r="P37" s="149">
        <f t="shared" si="6"/>
        <v>0</v>
      </c>
      <c r="Q37" s="151" t="str">
        <f t="shared" si="3"/>
        <v>...</v>
      </c>
      <c r="R37" s="148">
        <f>'2022'!R37</f>
        <v>2885818.54</v>
      </c>
      <c r="S37" s="149">
        <f t="shared" si="4"/>
        <v>-2885818.54</v>
      </c>
      <c r="T37" s="153">
        <f t="shared" si="5"/>
        <v>-1</v>
      </c>
      <c r="W37" s="469"/>
      <c r="Y37" s="469"/>
    </row>
    <row r="38" spans="1:25">
      <c r="A38" s="135">
        <v>418</v>
      </c>
      <c r="B38" s="499" t="str">
        <f>+VLOOKUP($A38,Master!$D$30:$G$226,4,FALSE)</f>
        <v>Subvencije</v>
      </c>
      <c r="C38" s="500"/>
      <c r="D38" s="500"/>
      <c r="E38" s="500"/>
      <c r="F38" s="500"/>
      <c r="G38" s="148">
        <f>'2023'!S38</f>
        <v>74379966.019999996</v>
      </c>
      <c r="H38" s="148">
        <f>SUM('2023'!G114:S114)</f>
        <v>72823266.960000008</v>
      </c>
      <c r="I38" s="149">
        <f t="shared" si="0"/>
        <v>1556699.0599999875</v>
      </c>
      <c r="J38" s="151">
        <f t="shared" si="1"/>
        <v>2.1376396926205521E-2</v>
      </c>
      <c r="K38" s="148">
        <f>SUM('2022'!G38:R38)</f>
        <v>68429827.040000007</v>
      </c>
      <c r="L38" s="149">
        <f t="shared" si="7"/>
        <v>5950138.9799999893</v>
      </c>
      <c r="M38" s="153">
        <f t="shared" si="2"/>
        <v>8.6952418811783616E-2</v>
      </c>
      <c r="N38" s="148">
        <f>'2023'!R38</f>
        <v>0</v>
      </c>
      <c r="O38" s="148">
        <f>'2023'!R114</f>
        <v>0</v>
      </c>
      <c r="P38" s="149">
        <f t="shared" si="6"/>
        <v>0</v>
      </c>
      <c r="Q38" s="151" t="str">
        <f t="shared" si="3"/>
        <v>...</v>
      </c>
      <c r="R38" s="148">
        <f>'2022'!R38</f>
        <v>19401589.34</v>
      </c>
      <c r="S38" s="149">
        <f t="shared" si="4"/>
        <v>-19401589.34</v>
      </c>
      <c r="T38" s="153">
        <f t="shared" si="5"/>
        <v>-1</v>
      </c>
      <c r="W38" s="469"/>
      <c r="Y38" s="469"/>
    </row>
    <row r="39" spans="1:25">
      <c r="A39" s="135">
        <v>419</v>
      </c>
      <c r="B39" s="499" t="str">
        <f>+VLOOKUP($A39,Master!$D$30:$G$226,4,FALSE)</f>
        <v>Ostali izdaci</v>
      </c>
      <c r="C39" s="500"/>
      <c r="D39" s="500"/>
      <c r="E39" s="500"/>
      <c r="F39" s="500"/>
      <c r="G39" s="148">
        <f>'2023'!S39</f>
        <v>52689588.43</v>
      </c>
      <c r="H39" s="148">
        <f>SUM('2023'!G115:S115)</f>
        <v>67792149.769999996</v>
      </c>
      <c r="I39" s="149">
        <f t="shared" si="0"/>
        <v>-15102561.339999996</v>
      </c>
      <c r="J39" s="151">
        <f t="shared" si="1"/>
        <v>-0.2227774364913756</v>
      </c>
      <c r="K39" s="148">
        <f>SUM('2022'!G39:R39)</f>
        <v>62162110.410000004</v>
      </c>
      <c r="L39" s="149">
        <f t="shared" si="7"/>
        <v>-9472521.9800000042</v>
      </c>
      <c r="M39" s="153">
        <f t="shared" si="2"/>
        <v>-0.15238417610860522</v>
      </c>
      <c r="N39" s="148">
        <f>'2023'!R39</f>
        <v>0</v>
      </c>
      <c r="O39" s="148">
        <f>'2023'!R115</f>
        <v>0</v>
      </c>
      <c r="P39" s="149">
        <f t="shared" si="6"/>
        <v>0</v>
      </c>
      <c r="Q39" s="151" t="str">
        <f t="shared" si="3"/>
        <v>...</v>
      </c>
      <c r="R39" s="148">
        <f>'2022'!R39</f>
        <v>25847135.43</v>
      </c>
      <c r="S39" s="149">
        <f t="shared" si="4"/>
        <v>-25847135.43</v>
      </c>
      <c r="T39" s="153">
        <f t="shared" si="5"/>
        <v>-1</v>
      </c>
      <c r="W39" s="469"/>
      <c r="Y39" s="469"/>
    </row>
    <row r="40" spans="1:25">
      <c r="A40" s="135">
        <v>42</v>
      </c>
      <c r="B40" s="515" t="str">
        <f>+VLOOKUP($A40,Master!$D$30:$G$226,4,FALSE)</f>
        <v>Transferi za socijalnu zaštitu</v>
      </c>
      <c r="C40" s="516"/>
      <c r="D40" s="516"/>
      <c r="E40" s="516"/>
      <c r="F40" s="516"/>
      <c r="G40" s="178">
        <f>'2023'!S40</f>
        <v>825103858.23999977</v>
      </c>
      <c r="H40" s="178">
        <f>SUM('2023'!G116:S116)</f>
        <v>840813872.81000006</v>
      </c>
      <c r="I40" s="179">
        <f t="shared" si="0"/>
        <v>-15710014.570000291</v>
      </c>
      <c r="J40" s="181">
        <f t="shared" si="1"/>
        <v>-1.8684295154999586E-2</v>
      </c>
      <c r="K40" s="178">
        <f>SUM('2022'!G40:R40)</f>
        <v>667285836.71000004</v>
      </c>
      <c r="L40" s="179">
        <f t="shared" si="7"/>
        <v>157818021.52999973</v>
      </c>
      <c r="M40" s="183">
        <f t="shared" si="2"/>
        <v>0.2365073748726767</v>
      </c>
      <c r="N40" s="178">
        <f>'2023'!R40</f>
        <v>0</v>
      </c>
      <c r="O40" s="178">
        <f>'2023'!R116</f>
        <v>0</v>
      </c>
      <c r="P40" s="179">
        <f t="shared" si="6"/>
        <v>0</v>
      </c>
      <c r="Q40" s="181" t="str">
        <f t="shared" si="3"/>
        <v>...</v>
      </c>
      <c r="R40" s="178">
        <f>'2022'!R40</f>
        <v>70551133.099999994</v>
      </c>
      <c r="S40" s="179">
        <f t="shared" si="4"/>
        <v>-70551133.099999994</v>
      </c>
      <c r="T40" s="183">
        <f t="shared" si="5"/>
        <v>-1</v>
      </c>
      <c r="W40" s="469"/>
      <c r="Y40" s="469"/>
    </row>
    <row r="41" spans="1:25">
      <c r="A41" s="135">
        <v>421</v>
      </c>
      <c r="B41" s="499" t="str">
        <f>+VLOOKUP($A41,Master!$D$30:$G$226,4,FALSE)</f>
        <v>Prava iz oblasti socijalne zaštite</v>
      </c>
      <c r="C41" s="500"/>
      <c r="D41" s="500"/>
      <c r="E41" s="500"/>
      <c r="F41" s="500"/>
      <c r="G41" s="148">
        <f>'2023'!S41</f>
        <v>209887201.35000002</v>
      </c>
      <c r="H41" s="148">
        <f>SUM('2023'!G117:S117)</f>
        <v>207352800.30999997</v>
      </c>
      <c r="I41" s="149">
        <f t="shared" si="0"/>
        <v>2534401.0400000513</v>
      </c>
      <c r="J41" s="151">
        <f t="shared" si="1"/>
        <v>1.2222651617007418E-2</v>
      </c>
      <c r="K41" s="148">
        <f>SUM('2022'!G41:R41)</f>
        <v>135296564.06</v>
      </c>
      <c r="L41" s="149">
        <f t="shared" si="7"/>
        <v>74590637.290000021</v>
      </c>
      <c r="M41" s="153">
        <f t="shared" si="2"/>
        <v>0.5513121327820365</v>
      </c>
      <c r="N41" s="148">
        <f>'2023'!R41</f>
        <v>0</v>
      </c>
      <c r="O41" s="148">
        <f>'2023'!R117</f>
        <v>0</v>
      </c>
      <c r="P41" s="149">
        <f t="shared" si="6"/>
        <v>0</v>
      </c>
      <c r="Q41" s="151" t="str">
        <f t="shared" si="3"/>
        <v>...</v>
      </c>
      <c r="R41" s="148">
        <f>'2022'!R41</f>
        <v>14201703.15</v>
      </c>
      <c r="S41" s="149">
        <f t="shared" si="4"/>
        <v>-14201703.15</v>
      </c>
      <c r="T41" s="153">
        <f t="shared" si="5"/>
        <v>-1</v>
      </c>
      <c r="W41" s="469"/>
      <c r="Y41" s="469"/>
    </row>
    <row r="42" spans="1:25">
      <c r="A42" s="135">
        <v>422</v>
      </c>
      <c r="B42" s="499" t="str">
        <f>+VLOOKUP($A42,Master!$D$30:$G$226,4,FALSE)</f>
        <v>Sredstva za tehnološke viškove</v>
      </c>
      <c r="C42" s="500"/>
      <c r="D42" s="500"/>
      <c r="E42" s="500"/>
      <c r="F42" s="500"/>
      <c r="G42" s="148">
        <f>'2023'!S42</f>
        <v>24251935.379999999</v>
      </c>
      <c r="H42" s="148">
        <f>SUM('2023'!G118:S118)</f>
        <v>28611076</v>
      </c>
      <c r="I42" s="149">
        <f t="shared" si="0"/>
        <v>-4359140.620000001</v>
      </c>
      <c r="J42" s="151">
        <f t="shared" si="1"/>
        <v>-0.15235849990402317</v>
      </c>
      <c r="K42" s="148">
        <f>SUM('2022'!G42:R42)</f>
        <v>27720826.509999998</v>
      </c>
      <c r="L42" s="149">
        <f t="shared" si="7"/>
        <v>-3468891.129999999</v>
      </c>
      <c r="M42" s="153">
        <f t="shared" si="2"/>
        <v>-0.12513664153370874</v>
      </c>
      <c r="N42" s="148">
        <f>'2023'!R42</f>
        <v>0</v>
      </c>
      <c r="O42" s="148">
        <f>'2023'!R118</f>
        <v>0</v>
      </c>
      <c r="P42" s="149">
        <f t="shared" si="6"/>
        <v>0</v>
      </c>
      <c r="Q42" s="151" t="str">
        <f t="shared" si="3"/>
        <v>...</v>
      </c>
      <c r="R42" s="148">
        <f>'2022'!R42</f>
        <v>4540579.0999999996</v>
      </c>
      <c r="S42" s="149">
        <f t="shared" si="4"/>
        <v>-4540579.0999999996</v>
      </c>
      <c r="T42" s="153">
        <f t="shared" si="5"/>
        <v>-1</v>
      </c>
      <c r="W42" s="469"/>
      <c r="Y42" s="469"/>
    </row>
    <row r="43" spans="1:25">
      <c r="A43" s="135">
        <v>423</v>
      </c>
      <c r="B43" s="499" t="str">
        <f>+VLOOKUP($A43,Master!$D$30:$G$226,4,FALSE)</f>
        <v>Prava iz oblasti penzijskog i invalidskog osiguranja</v>
      </c>
      <c r="C43" s="500"/>
      <c r="D43" s="500"/>
      <c r="E43" s="500"/>
      <c r="F43" s="500"/>
      <c r="G43" s="148">
        <f>'2023'!S43</f>
        <v>553808878.5999999</v>
      </c>
      <c r="H43" s="148">
        <f>SUM('2023'!G119:S119)</f>
        <v>567395838.01000011</v>
      </c>
      <c r="I43" s="149">
        <f t="shared" si="0"/>
        <v>-13586959.410000205</v>
      </c>
      <c r="J43" s="151">
        <f t="shared" si="1"/>
        <v>-2.3946173905069701E-2</v>
      </c>
      <c r="K43" s="148">
        <f>SUM('2022'!G43:R43)</f>
        <v>470084623.37999994</v>
      </c>
      <c r="L43" s="149">
        <f t="shared" si="7"/>
        <v>83724255.219999969</v>
      </c>
      <c r="M43" s="153">
        <f t="shared" si="2"/>
        <v>0.1781046455380868</v>
      </c>
      <c r="N43" s="148">
        <f>'2023'!R43</f>
        <v>0</v>
      </c>
      <c r="O43" s="148">
        <f>'2023'!R119</f>
        <v>0</v>
      </c>
      <c r="P43" s="149">
        <f t="shared" si="6"/>
        <v>0</v>
      </c>
      <c r="Q43" s="151" t="str">
        <f t="shared" si="3"/>
        <v>...</v>
      </c>
      <c r="R43" s="148">
        <f>'2022'!R43</f>
        <v>42725535.82</v>
      </c>
      <c r="S43" s="149">
        <f t="shared" si="4"/>
        <v>-42725535.82</v>
      </c>
      <c r="T43" s="153">
        <f t="shared" si="5"/>
        <v>-1</v>
      </c>
      <c r="W43" s="469"/>
      <c r="Y43" s="469"/>
    </row>
    <row r="44" spans="1:25">
      <c r="A44" s="135">
        <v>424</v>
      </c>
      <c r="B44" s="499" t="str">
        <f>+VLOOKUP($A44,Master!$D$30:$G$226,4,FALSE)</f>
        <v>Ostala prava iz oblasti zdravstvene zaštite</v>
      </c>
      <c r="C44" s="500"/>
      <c r="D44" s="500"/>
      <c r="E44" s="500"/>
      <c r="F44" s="500"/>
      <c r="G44" s="148">
        <f>'2023'!S44</f>
        <v>20559593.510000002</v>
      </c>
      <c r="H44" s="148">
        <f>SUM('2023'!G120:S120)</f>
        <v>21854158.490000002</v>
      </c>
      <c r="I44" s="149">
        <f t="shared" si="0"/>
        <v>-1294564.9800000004</v>
      </c>
      <c r="J44" s="151">
        <f t="shared" si="1"/>
        <v>-5.9236551276607874E-2</v>
      </c>
      <c r="K44" s="148">
        <f>SUM('2022'!G44:R44)</f>
        <v>16743251.67</v>
      </c>
      <c r="L44" s="149">
        <f t="shared" si="7"/>
        <v>3816341.8400000017</v>
      </c>
      <c r="M44" s="153">
        <f t="shared" si="2"/>
        <v>0.22793313480666333</v>
      </c>
      <c r="N44" s="148">
        <f>'2023'!R44</f>
        <v>0</v>
      </c>
      <c r="O44" s="148">
        <f>'2023'!R120</f>
        <v>0</v>
      </c>
      <c r="P44" s="149">
        <f t="shared" si="6"/>
        <v>0</v>
      </c>
      <c r="Q44" s="151" t="str">
        <f t="shared" si="3"/>
        <v>...</v>
      </c>
      <c r="R44" s="148">
        <f>'2022'!R44</f>
        <v>3263110.76</v>
      </c>
      <c r="S44" s="149">
        <f t="shared" si="4"/>
        <v>-3263110.76</v>
      </c>
      <c r="T44" s="153">
        <f t="shared" si="5"/>
        <v>-1</v>
      </c>
      <c r="W44" s="469"/>
      <c r="Y44" s="469"/>
    </row>
    <row r="45" spans="1:25">
      <c r="A45" s="135">
        <v>425</v>
      </c>
      <c r="B45" s="499" t="str">
        <f>+VLOOKUP($A45,Master!$D$30:$G$226,4,FALSE)</f>
        <v>Ostala prava iz zdravstvenog osiguranja</v>
      </c>
      <c r="C45" s="500"/>
      <c r="D45" s="500"/>
      <c r="E45" s="500"/>
      <c r="F45" s="500"/>
      <c r="G45" s="148">
        <f>'2023'!S45</f>
        <v>16596249.4</v>
      </c>
      <c r="H45" s="148">
        <f>SUM('2023'!G121:S121)</f>
        <v>15600000</v>
      </c>
      <c r="I45" s="149">
        <f t="shared" si="0"/>
        <v>996249.40000000037</v>
      </c>
      <c r="J45" s="151">
        <f t="shared" si="1"/>
        <v>6.3862141025641028E-2</v>
      </c>
      <c r="K45" s="148">
        <f>SUM('2022'!G45:R45)</f>
        <v>17440571.089999996</v>
      </c>
      <c r="L45" s="149">
        <f t="shared" si="7"/>
        <v>-844321.68999999575</v>
      </c>
      <c r="M45" s="153">
        <f t="shared" si="2"/>
        <v>-4.8411355662780431E-2</v>
      </c>
      <c r="N45" s="148">
        <f>'2023'!R45</f>
        <v>0</v>
      </c>
      <c r="O45" s="148">
        <f>'2023'!R121</f>
        <v>0</v>
      </c>
      <c r="P45" s="149">
        <f t="shared" si="6"/>
        <v>0</v>
      </c>
      <c r="Q45" s="151" t="str">
        <f t="shared" si="3"/>
        <v>...</v>
      </c>
      <c r="R45" s="148">
        <f>'2022'!R45</f>
        <v>5820204.2699999996</v>
      </c>
      <c r="S45" s="149">
        <f t="shared" si="4"/>
        <v>-5820204.2699999996</v>
      </c>
      <c r="T45" s="153">
        <f t="shared" si="5"/>
        <v>-1</v>
      </c>
      <c r="W45" s="469"/>
      <c r="Y45" s="469"/>
    </row>
    <row r="46" spans="1:25">
      <c r="A46" s="135">
        <v>43</v>
      </c>
      <c r="B46" s="513" t="str">
        <f>+VLOOKUP($A46,Master!$D$30:$G$226,4,FALSE)</f>
        <v xml:space="preserve">Transferi institucijama, pojedincima, nevladinom i javnom sektoru </v>
      </c>
      <c r="C46" s="514"/>
      <c r="D46" s="514"/>
      <c r="E46" s="514"/>
      <c r="F46" s="514"/>
      <c r="G46" s="160">
        <f>'2023'!S46</f>
        <v>380730194.92000002</v>
      </c>
      <c r="H46" s="160">
        <f>SUM('2023'!G122:S122)</f>
        <v>367655686.27999997</v>
      </c>
      <c r="I46" s="161">
        <f t="shared" si="0"/>
        <v>13074508.640000045</v>
      </c>
      <c r="J46" s="163">
        <f t="shared" si="1"/>
        <v>3.5561828982682231E-2</v>
      </c>
      <c r="K46" s="160">
        <f>SUM('2022'!G46:R46)</f>
        <v>353517907.92999995</v>
      </c>
      <c r="L46" s="161">
        <f t="shared" si="7"/>
        <v>27212286.990000069</v>
      </c>
      <c r="M46" s="165">
        <f t="shared" si="2"/>
        <v>7.6975695939534683E-2</v>
      </c>
      <c r="N46" s="160">
        <f>'2023'!R46</f>
        <v>0</v>
      </c>
      <c r="O46" s="160">
        <f>'2023'!R122</f>
        <v>0</v>
      </c>
      <c r="P46" s="161">
        <f t="shared" si="6"/>
        <v>0</v>
      </c>
      <c r="Q46" s="163" t="str">
        <f t="shared" si="3"/>
        <v>...</v>
      </c>
      <c r="R46" s="160">
        <f>'2022'!R46</f>
        <v>74410165.640000001</v>
      </c>
      <c r="S46" s="161">
        <f t="shared" si="4"/>
        <v>-74410165.640000001</v>
      </c>
      <c r="T46" s="165">
        <f t="shared" si="5"/>
        <v>-1</v>
      </c>
      <c r="W46" s="469"/>
      <c r="Y46" s="469"/>
    </row>
    <row r="47" spans="1:25">
      <c r="A47" s="135">
        <v>44</v>
      </c>
      <c r="B47" s="513" t="str">
        <f>+VLOOKUP($A47,Master!$D$30:$G$226,4,FALSE)</f>
        <v>Kapitalni izdaci</v>
      </c>
      <c r="C47" s="514"/>
      <c r="D47" s="514"/>
      <c r="E47" s="514"/>
      <c r="F47" s="514"/>
      <c r="G47" s="160">
        <f>'2023'!S47</f>
        <v>238821591.17999998</v>
      </c>
      <c r="H47" s="160">
        <f>SUM('2023'!G123:S123)</f>
        <v>248171032.34999999</v>
      </c>
      <c r="I47" s="161">
        <f t="shared" si="0"/>
        <v>-9349441.1700000167</v>
      </c>
      <c r="J47" s="163">
        <f t="shared" si="1"/>
        <v>-3.7673378240270727E-2</v>
      </c>
      <c r="K47" s="160">
        <f>SUM('2022'!G47:R47)</f>
        <v>240457880.17999998</v>
      </c>
      <c r="L47" s="161">
        <f t="shared" si="7"/>
        <v>-1636289</v>
      </c>
      <c r="M47" s="165">
        <f t="shared" si="2"/>
        <v>-6.8048882356240847E-3</v>
      </c>
      <c r="N47" s="160">
        <f>'2023'!R47</f>
        <v>0</v>
      </c>
      <c r="O47" s="160">
        <f>'2023'!R123</f>
        <v>0</v>
      </c>
      <c r="P47" s="161">
        <f t="shared" si="6"/>
        <v>0</v>
      </c>
      <c r="Q47" s="163" t="str">
        <f t="shared" si="3"/>
        <v>...</v>
      </c>
      <c r="R47" s="160">
        <f>'2022'!R47</f>
        <v>56610814.030000001</v>
      </c>
      <c r="S47" s="161">
        <f t="shared" si="4"/>
        <v>-56610814.030000001</v>
      </c>
      <c r="T47" s="165">
        <f t="shared" si="5"/>
        <v>-1</v>
      </c>
      <c r="W47" s="469"/>
      <c r="Y47" s="469"/>
    </row>
    <row r="48" spans="1:25">
      <c r="A48" s="135">
        <v>451</v>
      </c>
      <c r="B48" s="517" t="str">
        <f>+VLOOKUP($A48,Master!$D$30:$G$226,4,FALSE)</f>
        <v>Pozajmice i krediti</v>
      </c>
      <c r="C48" s="518"/>
      <c r="D48" s="518"/>
      <c r="E48" s="518"/>
      <c r="F48" s="518"/>
      <c r="G48" s="148">
        <f>'2023'!S48</f>
        <v>0</v>
      </c>
      <c r="H48" s="148">
        <f>SUM('2023'!G124:S124)</f>
        <v>0</v>
      </c>
      <c r="I48" s="149">
        <f>G48-H48</f>
        <v>0</v>
      </c>
      <c r="J48" s="266" t="str">
        <f t="shared" si="1"/>
        <v>...</v>
      </c>
      <c r="K48" s="148">
        <f>SUM('2022'!G48:R48)</f>
        <v>0</v>
      </c>
      <c r="L48" s="263">
        <f t="shared" si="7"/>
        <v>0</v>
      </c>
      <c r="M48" s="474" t="str">
        <f t="shared" si="2"/>
        <v>...</v>
      </c>
      <c r="N48" s="148">
        <f>'2023'!R48</f>
        <v>0</v>
      </c>
      <c r="O48" s="148">
        <f>'2023'!R124</f>
        <v>0</v>
      </c>
      <c r="P48" s="149">
        <f t="shared" si="6"/>
        <v>0</v>
      </c>
      <c r="Q48" s="266" t="str">
        <f t="shared" si="3"/>
        <v>...</v>
      </c>
      <c r="R48" s="148">
        <f>'2022'!R48</f>
        <v>0</v>
      </c>
      <c r="S48" s="263">
        <f>+N48-R48-S58</f>
        <v>12120441.43</v>
      </c>
      <c r="T48" s="474" t="str">
        <f t="shared" si="5"/>
        <v>...</v>
      </c>
      <c r="W48" s="469"/>
      <c r="Y48" s="469"/>
    </row>
    <row r="49" spans="1:25">
      <c r="A49" s="135">
        <v>47</v>
      </c>
      <c r="B49" s="517" t="str">
        <f>+VLOOKUP($A49,Master!$D$30:$G$226,4,FALSE)</f>
        <v>Rezerve</v>
      </c>
      <c r="C49" s="518"/>
      <c r="D49" s="518"/>
      <c r="E49" s="518"/>
      <c r="F49" s="518"/>
      <c r="G49" s="148">
        <f>'2023'!S49</f>
        <v>18267919.309999999</v>
      </c>
      <c r="H49" s="148">
        <f>SUM('2023'!G125:S125)</f>
        <v>74181545.280000001</v>
      </c>
      <c r="I49" s="149">
        <f t="shared" ref="I49:I50" si="8">G49-H49</f>
        <v>-55913625.969999999</v>
      </c>
      <c r="J49" s="267">
        <f t="shared" si="1"/>
        <v>-0.75374037786558223</v>
      </c>
      <c r="K49" s="148">
        <f>SUM('2022'!G49:R49)</f>
        <v>24955729.25</v>
      </c>
      <c r="L49" s="264">
        <f t="shared" si="7"/>
        <v>-6687809.9400000013</v>
      </c>
      <c r="M49" s="475">
        <f t="shared" si="2"/>
        <v>-0.26798695694296337</v>
      </c>
      <c r="N49" s="148">
        <f>'2023'!R49</f>
        <v>0</v>
      </c>
      <c r="O49" s="148">
        <f>'2023'!R125</f>
        <v>0</v>
      </c>
      <c r="P49" s="149">
        <f t="shared" si="6"/>
        <v>0</v>
      </c>
      <c r="Q49" s="267" t="str">
        <f t="shared" si="3"/>
        <v>...</v>
      </c>
      <c r="R49" s="148">
        <f>'2022'!R49</f>
        <v>5259111.3499999996</v>
      </c>
      <c r="S49" s="264">
        <f t="shared" si="4"/>
        <v>-5259111.3499999996</v>
      </c>
      <c r="T49" s="475">
        <f t="shared" si="5"/>
        <v>-1</v>
      </c>
      <c r="W49" s="469"/>
      <c r="Y49" s="469"/>
    </row>
    <row r="50" spans="1:25" ht="15.75" thickBot="1">
      <c r="A50" s="135">
        <v>462</v>
      </c>
      <c r="B50" s="519" t="str">
        <f>+VLOOKUP($A50,Master!$D$30:$G$226,4,FALSE)</f>
        <v>Otplata garancija</v>
      </c>
      <c r="C50" s="520"/>
      <c r="D50" s="520"/>
      <c r="E50" s="520"/>
      <c r="F50" s="520"/>
      <c r="G50" s="148">
        <f>'2023'!S50</f>
        <v>2813572.16</v>
      </c>
      <c r="H50" s="148">
        <f>SUM('2023'!G126:S126)</f>
        <v>2</v>
      </c>
      <c r="I50" s="149">
        <f t="shared" si="8"/>
        <v>2813570.16</v>
      </c>
      <c r="J50" s="268" t="str">
        <f t="shared" si="1"/>
        <v>...</v>
      </c>
      <c r="K50" s="148">
        <f>SUM('2022'!G50:R50)</f>
        <v>500000</v>
      </c>
      <c r="L50" s="264">
        <f t="shared" si="7"/>
        <v>2313572.16</v>
      </c>
      <c r="M50" s="476" t="str">
        <f t="shared" si="2"/>
        <v>...</v>
      </c>
      <c r="N50" s="148">
        <f>'2023'!R50</f>
        <v>0</v>
      </c>
      <c r="O50" s="148">
        <f>'2023'!R126</f>
        <v>0</v>
      </c>
      <c r="P50" s="149">
        <f t="shared" si="6"/>
        <v>0</v>
      </c>
      <c r="Q50" s="268" t="str">
        <f t="shared" si="3"/>
        <v>...</v>
      </c>
      <c r="R50" s="148">
        <f>'2022'!R50</f>
        <v>0</v>
      </c>
      <c r="S50" s="264">
        <f t="shared" si="4"/>
        <v>0</v>
      </c>
      <c r="T50" s="476" t="str">
        <f t="shared" si="5"/>
        <v>...</v>
      </c>
      <c r="W50" s="469"/>
      <c r="Y50" s="469"/>
    </row>
    <row r="51" spans="1:25" ht="15" customHeight="1" thickBot="1">
      <c r="A51" s="129">
        <v>4630</v>
      </c>
      <c r="B51" s="519" t="str">
        <f>+VLOOKUP($A51,Master!$D$30:$G$226,4,FALSE)</f>
        <v>Otplata obaveza iz prethodnog perioda</v>
      </c>
      <c r="C51" s="520"/>
      <c r="D51" s="520"/>
      <c r="E51" s="520"/>
      <c r="F51" s="520"/>
      <c r="G51" s="295">
        <f>'2023'!S51</f>
        <v>17357730.27</v>
      </c>
      <c r="H51" s="295">
        <f>SUM('2023'!G127:S127)</f>
        <v>27952555.199999999</v>
      </c>
      <c r="I51" s="265">
        <f>G51-H51</f>
        <v>-10594824.93</v>
      </c>
      <c r="J51" s="269">
        <f t="shared" si="1"/>
        <v>-0.3790288527898158</v>
      </c>
      <c r="K51" s="295">
        <f>SUM('2022'!G51:R51)</f>
        <v>35376645.609999999</v>
      </c>
      <c r="L51" s="271">
        <f t="shared" si="7"/>
        <v>-18018915.34</v>
      </c>
      <c r="M51" s="477">
        <f t="shared" si="2"/>
        <v>-0.50934493729689712</v>
      </c>
      <c r="N51" s="295">
        <f>'2023'!R51</f>
        <v>0</v>
      </c>
      <c r="O51" s="295">
        <f>'2023'!R127</f>
        <v>0</v>
      </c>
      <c r="P51" s="265">
        <f>N51-O51</f>
        <v>0</v>
      </c>
      <c r="Q51" s="269" t="str">
        <f t="shared" si="3"/>
        <v>...</v>
      </c>
      <c r="R51" s="295">
        <f>'2022'!R51</f>
        <v>2171719.34</v>
      </c>
      <c r="S51" s="271">
        <f>+N51-R51</f>
        <v>-2171719.34</v>
      </c>
      <c r="T51" s="477">
        <f t="shared" si="5"/>
        <v>-1</v>
      </c>
      <c r="W51" s="469"/>
      <c r="Y51" s="469"/>
    </row>
    <row r="52" spans="1:25" ht="15.75" thickBot="1">
      <c r="A52" s="129">
        <v>1005</v>
      </c>
      <c r="B52" s="519" t="str">
        <f>+VLOOKUP($A52,Master!$D$30:$G$228,4,FALSE)</f>
        <v>Neto povećanje obaveza</v>
      </c>
      <c r="C52" s="520"/>
      <c r="D52" s="520"/>
      <c r="E52" s="520"/>
      <c r="F52" s="520"/>
      <c r="G52" s="148">
        <f>'2023'!S52</f>
        <v>0</v>
      </c>
      <c r="H52" s="148">
        <f>SUM('2023'!G128:S128)</f>
        <v>0</v>
      </c>
      <c r="I52" s="265">
        <f>G52-H52</f>
        <v>0</v>
      </c>
      <c r="J52" s="269" t="str">
        <f t="shared" si="1"/>
        <v>...</v>
      </c>
      <c r="K52" s="148">
        <f>SUM('2022'!G52:R52)</f>
        <v>0</v>
      </c>
      <c r="L52" s="271">
        <f t="shared" si="7"/>
        <v>0</v>
      </c>
      <c r="M52" s="477" t="str">
        <f t="shared" si="2"/>
        <v>...</v>
      </c>
      <c r="N52" s="148">
        <f>'2023'!R52</f>
        <v>0</v>
      </c>
      <c r="O52" s="148">
        <f>'2023'!R128</f>
        <v>0</v>
      </c>
      <c r="P52" s="265">
        <f>N52-O52</f>
        <v>0</v>
      </c>
      <c r="Q52" s="269" t="str">
        <f t="shared" si="3"/>
        <v>...</v>
      </c>
      <c r="R52" s="148">
        <f>'2022'!R52</f>
        <v>0</v>
      </c>
      <c r="S52" s="271">
        <f>+N52-R52</f>
        <v>0</v>
      </c>
      <c r="T52" s="477" t="str">
        <f t="shared" si="5"/>
        <v>...</v>
      </c>
      <c r="W52" s="469"/>
      <c r="Y52" s="469"/>
    </row>
    <row r="53" spans="1:25" ht="15.75" thickBot="1">
      <c r="A53" s="129">
        <v>1000</v>
      </c>
      <c r="B53" s="521" t="str">
        <f>+VLOOKUP($A53,Master!$D$30:$G$226,4,FALSE)</f>
        <v>Suficit / deficit</v>
      </c>
      <c r="C53" s="522"/>
      <c r="D53" s="522"/>
      <c r="E53" s="522"/>
      <c r="F53" s="522"/>
      <c r="G53" s="136">
        <f>'2023'!S53</f>
        <v>9958766.870000273</v>
      </c>
      <c r="H53" s="136">
        <f>SUM('2023'!G129:S129)</f>
        <v>-216312819.69499445</v>
      </c>
      <c r="I53" s="299">
        <f>+G53-H53</f>
        <v>226271586.56499472</v>
      </c>
      <c r="J53" s="270">
        <f t="shared" si="1"/>
        <v>-1.0460387270807265</v>
      </c>
      <c r="K53" s="136">
        <f>SUM('2022'!G53:R53)</f>
        <v>-250360402.64999998</v>
      </c>
      <c r="L53" s="272">
        <f t="shared" si="7"/>
        <v>260319169.52000025</v>
      </c>
      <c r="M53" s="478">
        <f t="shared" si="2"/>
        <v>-1.039777723492171</v>
      </c>
      <c r="N53" s="136">
        <f>'2023'!R53</f>
        <v>0</v>
      </c>
      <c r="O53" s="136">
        <f>'2023'!R129</f>
        <v>0</v>
      </c>
      <c r="P53" s="299">
        <f>N53-O53</f>
        <v>0</v>
      </c>
      <c r="Q53" s="270" t="str">
        <f t="shared" si="3"/>
        <v>...</v>
      </c>
      <c r="R53" s="136">
        <f>'2022'!R53</f>
        <v>-150955487.20000002</v>
      </c>
      <c r="S53" s="272">
        <f t="shared" si="4"/>
        <v>150955487.20000002</v>
      </c>
      <c r="T53" s="478">
        <f t="shared" si="5"/>
        <v>-1</v>
      </c>
      <c r="W53" s="469"/>
      <c r="Y53" s="469"/>
    </row>
    <row r="54" spans="1:25" ht="15.75" thickBot="1">
      <c r="A54" s="129">
        <v>1001</v>
      </c>
      <c r="B54" s="523" t="str">
        <f>+VLOOKUP($A54,Master!$D$30:$G$226,4,FALSE)</f>
        <v>Primarni suficit/deficit</v>
      </c>
      <c r="C54" s="524"/>
      <c r="D54" s="524"/>
      <c r="E54" s="524"/>
      <c r="F54" s="524"/>
      <c r="G54" s="136">
        <f>'2023'!S54</f>
        <v>133809675.93000025</v>
      </c>
      <c r="H54" s="136">
        <f>SUM('2023'!G130:S130)</f>
        <v>-106285010.30499445</v>
      </c>
      <c r="I54" s="191">
        <f t="shared" si="0"/>
        <v>240094686.23499471</v>
      </c>
      <c r="J54" s="193">
        <f t="shared" si="1"/>
        <v>-2.2589703434757289</v>
      </c>
      <c r="K54" s="136">
        <f>SUM('2022'!G54:R54)</f>
        <v>-158404442.75</v>
      </c>
      <c r="L54" s="191">
        <f t="shared" si="7"/>
        <v>292214118.68000025</v>
      </c>
      <c r="M54" s="195">
        <f t="shared" si="2"/>
        <v>-1.8447343622879557</v>
      </c>
      <c r="N54" s="136">
        <f>'2023'!R54</f>
        <v>0</v>
      </c>
      <c r="O54" s="136">
        <f>'2023'!R130</f>
        <v>0</v>
      </c>
      <c r="P54" s="191">
        <f t="shared" si="6"/>
        <v>0</v>
      </c>
      <c r="Q54" s="193" t="str">
        <f t="shared" si="3"/>
        <v>...</v>
      </c>
      <c r="R54" s="136">
        <f>'2022'!R54</f>
        <v>-127849878.23000002</v>
      </c>
      <c r="S54" s="191">
        <f t="shared" si="4"/>
        <v>127849878.23000002</v>
      </c>
      <c r="T54" s="195">
        <f t="shared" si="5"/>
        <v>-1</v>
      </c>
      <c r="W54" s="469"/>
      <c r="Y54" s="469"/>
    </row>
    <row r="55" spans="1:25">
      <c r="A55" s="129">
        <v>46</v>
      </c>
      <c r="B55" s="545" t="str">
        <f>+VLOOKUP($A55,Master!$D$30:$G$226,4,FALSE)</f>
        <v>Otplata dugova</v>
      </c>
      <c r="C55" s="546"/>
      <c r="D55" s="546"/>
      <c r="E55" s="546"/>
      <c r="F55" s="546"/>
      <c r="G55" s="459">
        <f>'2023'!S55</f>
        <v>301206013.87</v>
      </c>
      <c r="H55" s="459">
        <f>SUM('2023'!G131:S131)</f>
        <v>338085896.69</v>
      </c>
      <c r="I55" s="460">
        <f t="shared" si="0"/>
        <v>-36879882.819999993</v>
      </c>
      <c r="J55" s="461">
        <f t="shared" si="1"/>
        <v>-0.10908435749929002</v>
      </c>
      <c r="K55" s="459">
        <f>SUM('2022'!G55:R55)</f>
        <v>291576693.18000001</v>
      </c>
      <c r="L55" s="460">
        <f t="shared" si="7"/>
        <v>9629320.6899999976</v>
      </c>
      <c r="M55" s="479">
        <f t="shared" si="2"/>
        <v>3.3025001364068274E-2</v>
      </c>
      <c r="N55" s="459">
        <f>'2023'!R55</f>
        <v>0</v>
      </c>
      <c r="O55" s="459">
        <f>'2023'!R131</f>
        <v>0</v>
      </c>
      <c r="P55" s="460">
        <f t="shared" si="6"/>
        <v>0</v>
      </c>
      <c r="Q55" s="461" t="str">
        <f t="shared" si="3"/>
        <v>...</v>
      </c>
      <c r="R55" s="459">
        <f>'2022'!R55</f>
        <v>11425725.890000001</v>
      </c>
      <c r="S55" s="460">
        <f t="shared" si="4"/>
        <v>-11425725.890000001</v>
      </c>
      <c r="T55" s="479">
        <f t="shared" si="5"/>
        <v>-1</v>
      </c>
      <c r="W55" s="469"/>
      <c r="Y55" s="469"/>
    </row>
    <row r="56" spans="1:25">
      <c r="A56" s="129">
        <v>4611</v>
      </c>
      <c r="B56" s="517" t="str">
        <f>+VLOOKUP($A56,Master!$D$30:$G$226,4,FALSE)</f>
        <v>Otplata hartija od vrijednosti i kredita rezidentima</v>
      </c>
      <c r="C56" s="518"/>
      <c r="D56" s="518"/>
      <c r="E56" s="518"/>
      <c r="F56" s="518"/>
      <c r="G56" s="148">
        <f>'2023'!S56</f>
        <v>74535564.899999991</v>
      </c>
      <c r="H56" s="148">
        <f>SUM('2023'!G132:S132)</f>
        <v>96555896.689999998</v>
      </c>
      <c r="I56" s="197">
        <f t="shared" si="0"/>
        <v>-22020331.790000007</v>
      </c>
      <c r="J56" s="199">
        <f t="shared" si="1"/>
        <v>-0.22805786642630377</v>
      </c>
      <c r="K56" s="148">
        <f>SUM('2022'!G56:R56)</f>
        <v>40523363.729999997</v>
      </c>
      <c r="L56" s="197">
        <f t="shared" si="7"/>
        <v>34012201.169999994</v>
      </c>
      <c r="M56" s="201">
        <f t="shared" si="2"/>
        <v>0.83932324563719019</v>
      </c>
      <c r="N56" s="148">
        <f>'2023'!R56</f>
        <v>0</v>
      </c>
      <c r="O56" s="148">
        <f>'2023'!R132</f>
        <v>0</v>
      </c>
      <c r="P56" s="197">
        <f t="shared" si="6"/>
        <v>0</v>
      </c>
      <c r="Q56" s="199" t="str">
        <f t="shared" si="3"/>
        <v>...</v>
      </c>
      <c r="R56" s="148">
        <f>'2022'!R56</f>
        <v>1337203.54</v>
      </c>
      <c r="S56" s="197">
        <f t="shared" si="4"/>
        <v>-1337203.54</v>
      </c>
      <c r="T56" s="201">
        <f t="shared" si="5"/>
        <v>-1</v>
      </c>
      <c r="W56" s="469"/>
      <c r="Y56" s="469"/>
    </row>
    <row r="57" spans="1:25">
      <c r="A57" s="129">
        <v>4612</v>
      </c>
      <c r="B57" s="517" t="str">
        <f>+VLOOKUP($A57,Master!$D$30:$G$226,4,FALSE)</f>
        <v>Otplata hartija od vrijednosti i kredita nerezidentima</v>
      </c>
      <c r="C57" s="518"/>
      <c r="D57" s="518"/>
      <c r="E57" s="518"/>
      <c r="F57" s="518"/>
      <c r="G57" s="148">
        <f>'2023'!S57</f>
        <v>226670448.96999997</v>
      </c>
      <c r="H57" s="148">
        <f>SUM('2023'!G133:S133)</f>
        <v>241530000</v>
      </c>
      <c r="I57" s="197">
        <f t="shared" si="0"/>
        <v>-14859551.030000031</v>
      </c>
      <c r="J57" s="199">
        <f t="shared" si="1"/>
        <v>-6.1522589450585974E-2</v>
      </c>
      <c r="K57" s="148">
        <f>SUM('2022'!G57:R57)</f>
        <v>251053329.44999999</v>
      </c>
      <c r="L57" s="197">
        <f t="shared" si="7"/>
        <v>-24382880.480000019</v>
      </c>
      <c r="M57" s="201">
        <f t="shared" si="2"/>
        <v>-9.7122314742518201E-2</v>
      </c>
      <c r="N57" s="148">
        <f>'2023'!R57</f>
        <v>0</v>
      </c>
      <c r="O57" s="148">
        <f>'2023'!R133</f>
        <v>0</v>
      </c>
      <c r="P57" s="197">
        <f t="shared" si="6"/>
        <v>0</v>
      </c>
      <c r="Q57" s="199" t="str">
        <f t="shared" si="3"/>
        <v>...</v>
      </c>
      <c r="R57" s="148">
        <f>'2022'!R57</f>
        <v>10088522.35</v>
      </c>
      <c r="S57" s="197">
        <f t="shared" si="4"/>
        <v>-10088522.35</v>
      </c>
      <c r="T57" s="201">
        <f t="shared" si="5"/>
        <v>-1</v>
      </c>
      <c r="W57" s="469"/>
      <c r="Y57" s="469"/>
    </row>
    <row r="58" spans="1:25" ht="15.75" thickBot="1">
      <c r="A58" s="129">
        <v>4418</v>
      </c>
      <c r="B58" s="515" t="str">
        <f>+VLOOKUP($A58,Master!$D$30:$G$226,4,FALSE)</f>
        <v>Izdaci za kupovinu hartija od vrijednosti</v>
      </c>
      <c r="C58" s="516"/>
      <c r="D58" s="516"/>
      <c r="E58" s="516"/>
      <c r="F58" s="516"/>
      <c r="G58" s="313">
        <f>'2023'!S58</f>
        <v>859046.62</v>
      </c>
      <c r="H58" s="313">
        <f>SUM('2023'!G134:S134)</f>
        <v>779001</v>
      </c>
      <c r="I58" s="314">
        <f t="shared" ref="I58:I66" si="9">+G58-H58</f>
        <v>80045.62</v>
      </c>
      <c r="J58" s="315">
        <f t="shared" si="1"/>
        <v>0.10275419415379439</v>
      </c>
      <c r="K58" s="313">
        <f>SUM('2022'!G58:R58)</f>
        <v>27692761.82</v>
      </c>
      <c r="L58" s="314">
        <f t="shared" ref="L58:L66" si="10">+G58-K58</f>
        <v>-26833715.199999999</v>
      </c>
      <c r="M58" s="480">
        <f t="shared" si="2"/>
        <v>-0.96897938076441381</v>
      </c>
      <c r="N58" s="313">
        <f>'2023'!R58</f>
        <v>0</v>
      </c>
      <c r="O58" s="313">
        <f>'2023'!R134</f>
        <v>0</v>
      </c>
      <c r="P58" s="314">
        <f t="shared" ref="P58:P66" si="11">+N58-O58</f>
        <v>0</v>
      </c>
      <c r="Q58" s="315" t="str">
        <f t="shared" si="3"/>
        <v>...</v>
      </c>
      <c r="R58" s="313">
        <f>'2022'!R58</f>
        <v>12120441.43</v>
      </c>
      <c r="S58" s="314">
        <f t="shared" ref="S58:S66" si="12">+N58-R58</f>
        <v>-12120441.43</v>
      </c>
      <c r="T58" s="480">
        <f t="shared" si="5"/>
        <v>-1</v>
      </c>
      <c r="W58" s="469"/>
      <c r="Y58" s="469"/>
    </row>
    <row r="59" spans="1:25" ht="15.75" thickBot="1">
      <c r="A59" s="129">
        <v>451</v>
      </c>
      <c r="B59" s="509" t="str">
        <f>+VLOOKUP($A59,Master!$D$30:$G$226,4,FALSE)</f>
        <v>Pozajmice i krediti</v>
      </c>
      <c r="C59" s="510"/>
      <c r="D59" s="510"/>
      <c r="E59" s="510"/>
      <c r="F59" s="510"/>
      <c r="G59" s="313">
        <f>'2023'!S59</f>
        <v>10111595.669999998</v>
      </c>
      <c r="H59" s="313">
        <f>SUM('2023'!G135:S135)</f>
        <v>4524007</v>
      </c>
      <c r="I59" s="314">
        <f t="shared" si="9"/>
        <v>5587588.6699999981</v>
      </c>
      <c r="J59" s="315">
        <f t="shared" si="1"/>
        <v>1.2350972644383615</v>
      </c>
      <c r="K59" s="313">
        <f>SUM('2022'!G59:R59)</f>
        <v>23121894.740000002</v>
      </c>
      <c r="L59" s="314">
        <f t="shared" si="10"/>
        <v>-13010299.070000004</v>
      </c>
      <c r="M59" s="480">
        <f t="shared" si="2"/>
        <v>-0.5626830852876723</v>
      </c>
      <c r="N59" s="313">
        <f>'2023'!R59</f>
        <v>0</v>
      </c>
      <c r="O59" s="313">
        <f>'2023'!R135</f>
        <v>0</v>
      </c>
      <c r="P59" s="314">
        <f t="shared" si="11"/>
        <v>0</v>
      </c>
      <c r="Q59" s="315" t="str">
        <f t="shared" si="3"/>
        <v>...</v>
      </c>
      <c r="R59" s="313">
        <f>'2022'!R59</f>
        <v>516876.49</v>
      </c>
      <c r="S59" s="314">
        <f t="shared" si="12"/>
        <v>-516876.49</v>
      </c>
      <c r="T59" s="480">
        <f t="shared" si="5"/>
        <v>-1</v>
      </c>
      <c r="W59" s="469"/>
      <c r="Y59" s="469"/>
    </row>
    <row r="60" spans="1:25" ht="15.75" thickBot="1">
      <c r="A60" s="129">
        <v>1002</v>
      </c>
      <c r="B60" s="543" t="str">
        <f>+VLOOKUP($A60,Master!$D$30:$G$226,4,FALSE)</f>
        <v>Nedostajuća sredstva</v>
      </c>
      <c r="C60" s="544"/>
      <c r="D60" s="544"/>
      <c r="E60" s="544"/>
      <c r="F60" s="544"/>
      <c r="G60" s="298">
        <f>'2023'!S60</f>
        <v>-302217889.28999978</v>
      </c>
      <c r="H60" s="298">
        <f>SUM('2023'!G136:S136)</f>
        <v>-559701724.38499451</v>
      </c>
      <c r="I60" s="300">
        <f t="shared" si="9"/>
        <v>257483835.09499472</v>
      </c>
      <c r="J60" s="301">
        <f t="shared" si="1"/>
        <v>-0.46003759480627004</v>
      </c>
      <c r="K60" s="298">
        <f>SUM('2022'!G60:R60)</f>
        <v>-592751752.3900001</v>
      </c>
      <c r="L60" s="300">
        <f>+G60-K60</f>
        <v>290533863.10000032</v>
      </c>
      <c r="M60" s="481">
        <f t="shared" si="2"/>
        <v>-0.49014424998079809</v>
      </c>
      <c r="N60" s="298">
        <f>'2023'!R60</f>
        <v>0</v>
      </c>
      <c r="O60" s="298">
        <f>'2023'!R136</f>
        <v>0</v>
      </c>
      <c r="P60" s="300">
        <f t="shared" si="11"/>
        <v>0</v>
      </c>
      <c r="Q60" s="301" t="str">
        <f t="shared" si="3"/>
        <v>...</v>
      </c>
      <c r="R60" s="298">
        <f>'2022'!R60</f>
        <v>-175018531.01000005</v>
      </c>
      <c r="S60" s="300">
        <f t="shared" si="12"/>
        <v>175018531.01000005</v>
      </c>
      <c r="T60" s="481">
        <f t="shared" si="5"/>
        <v>-1</v>
      </c>
      <c r="W60" s="469"/>
      <c r="Y60" s="469"/>
    </row>
    <row r="61" spans="1:25" ht="15.75" thickBot="1">
      <c r="A61" s="129">
        <v>1003</v>
      </c>
      <c r="B61" s="507" t="str">
        <f>+VLOOKUP($A61,Master!$D$30:$G$226,4,FALSE)</f>
        <v>Finansiranje</v>
      </c>
      <c r="C61" s="508"/>
      <c r="D61" s="508"/>
      <c r="E61" s="508"/>
      <c r="F61" s="508"/>
      <c r="G61" s="136">
        <f>'2023'!S61</f>
        <v>302217889.28999972</v>
      </c>
      <c r="H61" s="136">
        <f>SUM('2023'!G137:S137)</f>
        <v>559701724.38499451</v>
      </c>
      <c r="I61" s="299">
        <f t="shared" si="9"/>
        <v>-257483835.09499478</v>
      </c>
      <c r="J61" s="302">
        <f t="shared" si="1"/>
        <v>-0.46003759480627016</v>
      </c>
      <c r="K61" s="136">
        <f>SUM('2022'!G61:R61)</f>
        <v>592751752.38999987</v>
      </c>
      <c r="L61" s="299">
        <f t="shared" si="10"/>
        <v>-290533863.10000014</v>
      </c>
      <c r="M61" s="482">
        <f t="shared" si="2"/>
        <v>-0.49014424998079797</v>
      </c>
      <c r="N61" s="136">
        <f>'2023'!R61</f>
        <v>0</v>
      </c>
      <c r="O61" s="136">
        <f>'2023'!R137</f>
        <v>0</v>
      </c>
      <c r="P61" s="300">
        <f t="shared" si="11"/>
        <v>0</v>
      </c>
      <c r="Q61" s="302" t="str">
        <f t="shared" si="3"/>
        <v>...</v>
      </c>
      <c r="R61" s="136">
        <f>'2022'!R61</f>
        <v>175018531.01000005</v>
      </c>
      <c r="S61" s="299">
        <f t="shared" si="12"/>
        <v>-175018531.01000005</v>
      </c>
      <c r="T61" s="482">
        <f t="shared" si="5"/>
        <v>-1</v>
      </c>
      <c r="W61" s="469"/>
      <c r="Y61" s="469"/>
    </row>
    <row r="62" spans="1:25">
      <c r="A62" s="129">
        <v>7511</v>
      </c>
      <c r="B62" s="541" t="str">
        <f>+VLOOKUP($A62,Master!$D$30:$G$226,4,FALSE)</f>
        <v>Pozajmice i krediti od domaćih izvora</v>
      </c>
      <c r="C62" s="542"/>
      <c r="D62" s="542"/>
      <c r="E62" s="542"/>
      <c r="F62" s="542"/>
      <c r="G62" s="148">
        <f>'2023'!S62</f>
        <v>159000000</v>
      </c>
      <c r="H62" s="148">
        <f>SUM('2023'!G138:S138)</f>
        <v>100000000</v>
      </c>
      <c r="I62" s="197">
        <f t="shared" si="9"/>
        <v>59000000</v>
      </c>
      <c r="J62" s="199">
        <f t="shared" si="1"/>
        <v>0.59000000000000008</v>
      </c>
      <c r="K62" s="148">
        <f>SUM('2022'!G62:R62)</f>
        <v>105000000</v>
      </c>
      <c r="L62" s="197">
        <f t="shared" si="10"/>
        <v>54000000</v>
      </c>
      <c r="M62" s="201">
        <f t="shared" si="2"/>
        <v>0.51428571428571423</v>
      </c>
      <c r="N62" s="148">
        <f>'2023'!R62</f>
        <v>0</v>
      </c>
      <c r="O62" s="148">
        <f>'2023'!R138</f>
        <v>0</v>
      </c>
      <c r="P62" s="197">
        <f t="shared" si="11"/>
        <v>0</v>
      </c>
      <c r="Q62" s="199" t="str">
        <f t="shared" si="3"/>
        <v>...</v>
      </c>
      <c r="R62" s="148">
        <f>'2022'!R62</f>
        <v>53000000</v>
      </c>
      <c r="S62" s="197">
        <f t="shared" si="12"/>
        <v>-53000000</v>
      </c>
      <c r="T62" s="201">
        <f t="shared" si="5"/>
        <v>-1</v>
      </c>
      <c r="W62" s="469"/>
      <c r="Y62" s="469"/>
    </row>
    <row r="63" spans="1:25">
      <c r="A63" s="129">
        <v>7512</v>
      </c>
      <c r="B63" s="517" t="str">
        <f>+VLOOKUP($A63,Master!$D$30:$G$226,4,FALSE)</f>
        <v>Pozajmice i krediti od inostranih izvora</v>
      </c>
      <c r="C63" s="518"/>
      <c r="D63" s="518"/>
      <c r="E63" s="518"/>
      <c r="F63" s="518"/>
      <c r="G63" s="148">
        <f>'2023'!S63</f>
        <v>156474242.11999997</v>
      </c>
      <c r="H63" s="148">
        <f>SUM('2023'!G139:S139)</f>
        <v>400953820.38499451</v>
      </c>
      <c r="I63" s="197">
        <f t="shared" si="9"/>
        <v>-244479578.26499453</v>
      </c>
      <c r="J63" s="199">
        <f t="shared" si="1"/>
        <v>-0.60974497768906666</v>
      </c>
      <c r="K63" s="148">
        <f>SUM('2022'!G63:R63)</f>
        <v>111187337.61000001</v>
      </c>
      <c r="L63" s="197">
        <f t="shared" si="10"/>
        <v>45286904.509999961</v>
      </c>
      <c r="M63" s="201">
        <f t="shared" si="2"/>
        <v>0.40730271525025641</v>
      </c>
      <c r="N63" s="148">
        <f>'2023'!R63</f>
        <v>0</v>
      </c>
      <c r="O63" s="148">
        <f>'2023'!R139</f>
        <v>0</v>
      </c>
      <c r="P63" s="197">
        <f t="shared" si="11"/>
        <v>0</v>
      </c>
      <c r="Q63" s="199" t="str">
        <f t="shared" si="3"/>
        <v>...</v>
      </c>
      <c r="R63" s="148">
        <f>'2022'!R63</f>
        <v>7590650.9500000002</v>
      </c>
      <c r="S63" s="197">
        <f t="shared" si="12"/>
        <v>-7590650.9500000002</v>
      </c>
      <c r="T63" s="201">
        <f t="shared" si="5"/>
        <v>-1</v>
      </c>
      <c r="W63" s="469"/>
      <c r="Y63" s="469"/>
    </row>
    <row r="64" spans="1:25">
      <c r="A64" s="129">
        <v>72</v>
      </c>
      <c r="B64" s="517" t="str">
        <f>+VLOOKUP($A64,Master!$D$30:$G$226,4,FALSE)</f>
        <v>Primici od prodaje imovine</v>
      </c>
      <c r="C64" s="518"/>
      <c r="D64" s="518"/>
      <c r="E64" s="518"/>
      <c r="F64" s="518"/>
      <c r="G64" s="148">
        <f>'2023'!S64</f>
        <v>2717869.5300000007</v>
      </c>
      <c r="H64" s="148">
        <f>SUM('2023'!G140:S140)</f>
        <v>6000000</v>
      </c>
      <c r="I64" s="197">
        <f t="shared" si="9"/>
        <v>-3282130.4699999993</v>
      </c>
      <c r="J64" s="199">
        <f t="shared" si="1"/>
        <v>-0.54702174499999989</v>
      </c>
      <c r="K64" s="148">
        <f>SUM('2022'!G64:R64)</f>
        <v>4515414.7</v>
      </c>
      <c r="L64" s="197">
        <f t="shared" si="10"/>
        <v>-1797545.1699999995</v>
      </c>
      <c r="M64" s="201">
        <f t="shared" si="2"/>
        <v>-0.3980908265192119</v>
      </c>
      <c r="N64" s="148">
        <f>'2023'!R64</f>
        <v>0</v>
      </c>
      <c r="O64" s="148">
        <f>'2023'!R140</f>
        <v>0</v>
      </c>
      <c r="P64" s="197">
        <f t="shared" si="11"/>
        <v>0</v>
      </c>
      <c r="Q64" s="199" t="str">
        <f t="shared" si="3"/>
        <v>...</v>
      </c>
      <c r="R64" s="148">
        <f>'2022'!R64</f>
        <v>148667.54</v>
      </c>
      <c r="S64" s="197">
        <f t="shared" si="12"/>
        <v>-148667.54</v>
      </c>
      <c r="T64" s="201">
        <f t="shared" si="5"/>
        <v>-1</v>
      </c>
      <c r="W64" s="469"/>
      <c r="Y64" s="469"/>
    </row>
    <row r="65" spans="1:25">
      <c r="A65" s="129">
        <v>73</v>
      </c>
      <c r="B65" s="517" t="str">
        <f>+VLOOKUP($A65,Master!$D$30:$G$226,4,FALSE)</f>
        <v>Primici od otplate kredita i sredstva prenesena iz prethodne godine</v>
      </c>
      <c r="C65" s="518"/>
      <c r="D65" s="518"/>
      <c r="E65" s="518"/>
      <c r="F65" s="518"/>
      <c r="G65" s="148">
        <f>'2023'!S65</f>
        <v>13797839.82</v>
      </c>
      <c r="H65" s="148">
        <f>SUM('2023'!G141:S141)</f>
        <v>9747904</v>
      </c>
      <c r="I65" s="197">
        <f t="shared" si="9"/>
        <v>4049935.8200000003</v>
      </c>
      <c r="J65" s="199">
        <f t="shared" si="1"/>
        <v>0.41546734764724813</v>
      </c>
      <c r="K65" s="148">
        <f>SUM('2022'!G65:R65)</f>
        <v>15044565.630000003</v>
      </c>
      <c r="L65" s="197">
        <f t="shared" si="10"/>
        <v>-1246725.8100000024</v>
      </c>
      <c r="M65" s="201">
        <f t="shared" si="2"/>
        <v>-8.2868847174553006E-2</v>
      </c>
      <c r="N65" s="148">
        <f>'2023'!R65</f>
        <v>0</v>
      </c>
      <c r="O65" s="148">
        <f>'2023'!R141</f>
        <v>0</v>
      </c>
      <c r="P65" s="197">
        <f t="shared" si="11"/>
        <v>0</v>
      </c>
      <c r="Q65" s="199" t="str">
        <f t="shared" si="3"/>
        <v>...</v>
      </c>
      <c r="R65" s="148">
        <f>'2022'!R65</f>
        <v>1811357.71</v>
      </c>
      <c r="S65" s="197">
        <f t="shared" si="12"/>
        <v>-1811357.71</v>
      </c>
      <c r="T65" s="201">
        <f t="shared" si="5"/>
        <v>-1</v>
      </c>
      <c r="W65" s="469"/>
      <c r="Y65" s="469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'2023'!S66</f>
        <v>-29772062.180000186</v>
      </c>
      <c r="H66" s="296">
        <f>SUM('2023'!G142:S142)</f>
        <v>43000000</v>
      </c>
      <c r="I66" s="211">
        <f t="shared" si="9"/>
        <v>-72772062.180000186</v>
      </c>
      <c r="J66" s="213">
        <f t="shared" si="1"/>
        <v>-1.6923735390697718</v>
      </c>
      <c r="K66" s="296">
        <f>SUM('2022'!G66:R66)</f>
        <v>357004434.45000005</v>
      </c>
      <c r="L66" s="211">
        <f t="shared" si="10"/>
        <v>-386776496.63000023</v>
      </c>
      <c r="M66" s="215">
        <f t="shared" si="2"/>
        <v>-1.0833940962830531</v>
      </c>
      <c r="N66" s="296">
        <f>'2023'!R66</f>
        <v>0</v>
      </c>
      <c r="O66" s="296">
        <f>'2023'!R142</f>
        <v>0</v>
      </c>
      <c r="P66" s="211">
        <f t="shared" si="11"/>
        <v>0</v>
      </c>
      <c r="Q66" s="213" t="str">
        <f t="shared" si="3"/>
        <v>...</v>
      </c>
      <c r="R66" s="296">
        <f>'2022'!R66</f>
        <v>112467854.81000005</v>
      </c>
      <c r="S66" s="211">
        <f t="shared" si="12"/>
        <v>-112467854.81000005</v>
      </c>
      <c r="T66" s="215">
        <f t="shared" si="5"/>
        <v>-1</v>
      </c>
      <c r="W66" s="469"/>
      <c r="Y66" s="469"/>
    </row>
    <row r="67" spans="1:25">
      <c r="G67" s="274"/>
    </row>
    <row r="68" spans="1:25">
      <c r="G68" s="4"/>
    </row>
    <row r="69" spans="1:25">
      <c r="F69" s="274"/>
      <c r="G69" s="4"/>
      <c r="H69" s="274"/>
      <c r="N69" s="469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MnbVuOP0pjKskq2DzlQr/sN0jN6PNf0tRp26ankCFrqhGuQnoxlOfmnA5zfCiPyU18VTL3XgwuG/RO70Da87kg==" saltValue="oeQaijNaACiIOPzWAPB0DQ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52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tabSelected="1" workbookViewId="0">
      <selection activeCell="U19" sqref="U19"/>
    </sheetView>
  </sheetViews>
  <sheetFormatPr defaultColWidth="9.140625" defaultRowHeight="12.75"/>
  <cols>
    <col min="1" max="1" width="5.42578125" style="61" customWidth="1"/>
    <col min="2" max="4" width="9.140625" style="243"/>
    <col min="5" max="5" width="27.28515625" style="243" customWidth="1"/>
    <col min="6" max="6" width="3.42578125" style="243" hidden="1" customWidth="1"/>
    <col min="7" max="7" width="12" style="243" hidden="1" customWidth="1"/>
    <col min="8" max="8" width="12.28515625" style="243" hidden="1" customWidth="1"/>
    <col min="9" max="9" width="10.7109375" style="243" hidden="1" customWidth="1"/>
    <col min="10" max="10" width="14.42578125" style="243" hidden="1" customWidth="1"/>
    <col min="11" max="11" width="10.7109375" style="243" hidden="1" customWidth="1"/>
    <col min="12" max="12" width="12.28515625" style="243" hidden="1" customWidth="1"/>
    <col min="13" max="14" width="10.7109375" style="243" hidden="1" customWidth="1"/>
    <col min="15" max="16" width="12.28515625" style="243" hidden="1" customWidth="1"/>
    <col min="17" max="17" width="15.42578125" style="243" hidden="1" customWidth="1"/>
    <col min="18" max="18" width="10.7109375" style="243" hidden="1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0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8"/>
      <c r="M2" s="113"/>
      <c r="N2" s="113"/>
      <c r="O2" s="113"/>
      <c r="P2" s="113"/>
      <c r="Q2" s="113"/>
      <c r="R2" s="113"/>
      <c r="S2" s="113"/>
      <c r="T2" s="113"/>
      <c r="U2" s="470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0"/>
    </row>
    <row r="4" spans="1:24" s="1" customFormat="1" ht="15">
      <c r="A4" s="216"/>
      <c r="B4" s="468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8"/>
      <c r="T4" s="334"/>
      <c r="U4" s="470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0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27" t="str">
        <f>+Master!G252</f>
        <v>Ostvarenje budžeta</v>
      </c>
      <c r="C7" s="528"/>
      <c r="D7" s="528"/>
      <c r="E7" s="528"/>
      <c r="F7" s="528"/>
      <c r="G7" s="536">
        <v>2023</v>
      </c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40"/>
      <c r="S7" s="220" t="str">
        <f>+Master!G249</f>
        <v>BDP</v>
      </c>
      <c r="T7" s="221">
        <v>6624300000</v>
      </c>
    </row>
    <row r="8" spans="1:24" ht="16.5" customHeight="1">
      <c r="A8" s="129"/>
      <c r="B8" s="529"/>
      <c r="C8" s="530"/>
      <c r="D8" s="530"/>
      <c r="E8" s="530"/>
      <c r="F8" s="531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6" t="str">
        <f>+Master!G247</f>
        <v>Jan - Dec</v>
      </c>
      <c r="T8" s="540"/>
    </row>
    <row r="9" spans="1:24" ht="13.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07" t="str">
        <f>+VLOOKUP($A10,Master!$D$30:$G$226,4,FALSE)</f>
        <v>Prihodi budžeta</v>
      </c>
      <c r="C10" s="508"/>
      <c r="D10" s="508"/>
      <c r="E10" s="508"/>
      <c r="F10" s="508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224">
        <v>2565337598.8699994</v>
      </c>
      <c r="T10" s="433">
        <f>+S10/$T$7*100</f>
        <v>38.726168785683008</v>
      </c>
      <c r="V10" s="492"/>
    </row>
    <row r="11" spans="1:24">
      <c r="A11" s="135">
        <v>711</v>
      </c>
      <c r="B11" s="497" t="str">
        <f>+VLOOKUP($A11,Master!$D$30:$G$226,4,FALSE)</f>
        <v>Porezi</v>
      </c>
      <c r="C11" s="498"/>
      <c r="D11" s="498"/>
      <c r="E11" s="498"/>
      <c r="F11" s="498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225"/>
      <c r="S11" s="226">
        <v>1664875352.5099998</v>
      </c>
      <c r="T11" s="434">
        <f t="shared" ref="T11:T66" si="2">+S11/$T$7*100</f>
        <v>25.13284954651812</v>
      </c>
      <c r="V11" s="276"/>
    </row>
    <row r="12" spans="1:24">
      <c r="A12" s="135">
        <v>7111</v>
      </c>
      <c r="B12" s="499" t="str">
        <f>+VLOOKUP($A12,Master!$D$30:$G$226,4,FALSE)</f>
        <v>Porez na dohodak fizičkih lica</v>
      </c>
      <c r="C12" s="500"/>
      <c r="D12" s="500"/>
      <c r="E12" s="500"/>
      <c r="F12" s="500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227">
        <v>66411591</v>
      </c>
      <c r="T12" s="435">
        <f t="shared" si="2"/>
        <v>1.0025450387210724</v>
      </c>
    </row>
    <row r="13" spans="1:24">
      <c r="A13" s="135">
        <v>7112</v>
      </c>
      <c r="B13" s="499" t="str">
        <f>+VLOOKUP($A13,Master!$D$30:$G$226,4,FALSE)</f>
        <v>Porez na dobit pravnih lica</v>
      </c>
      <c r="C13" s="500"/>
      <c r="D13" s="500"/>
      <c r="E13" s="500"/>
      <c r="F13" s="500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227">
        <v>151284476.47</v>
      </c>
      <c r="T13" s="435">
        <f t="shared" si="2"/>
        <v>2.2837805725888018</v>
      </c>
      <c r="V13" s="276"/>
      <c r="W13" s="276"/>
      <c r="X13" s="493"/>
    </row>
    <row r="14" spans="1:24">
      <c r="A14" s="135">
        <v>7113</v>
      </c>
      <c r="B14" s="499" t="str">
        <f>+VLOOKUP($A14,Master!$D$30:$G$226,4,FALSE)</f>
        <v>Porez na promet nepokretnosti</v>
      </c>
      <c r="C14" s="500"/>
      <c r="D14" s="500"/>
      <c r="E14" s="500"/>
      <c r="F14" s="500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227">
        <v>0</v>
      </c>
      <c r="T14" s="435">
        <f t="shared" si="2"/>
        <v>0</v>
      </c>
      <c r="V14" s="276"/>
      <c r="W14" s="276"/>
      <c r="X14" s="493"/>
    </row>
    <row r="15" spans="1:24">
      <c r="A15" s="135">
        <v>7114</v>
      </c>
      <c r="B15" s="499" t="str">
        <f>+VLOOKUP($A15,Master!$D$30:$G$226,4,FALSE)</f>
        <v>Porez na dodatu vrijednost</v>
      </c>
      <c r="C15" s="500"/>
      <c r="D15" s="500"/>
      <c r="E15" s="500"/>
      <c r="F15" s="500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227">
        <v>1059267077.4700001</v>
      </c>
      <c r="T15" s="435">
        <f t="shared" si="2"/>
        <v>15.990626594055223</v>
      </c>
      <c r="V15" s="276"/>
      <c r="W15" s="276"/>
      <c r="X15" s="493"/>
    </row>
    <row r="16" spans="1:24">
      <c r="A16" s="135">
        <v>7115</v>
      </c>
      <c r="B16" s="499" t="str">
        <f>+VLOOKUP($A16,Master!$D$30:$G$226,4,FALSE)</f>
        <v>Akcize</v>
      </c>
      <c r="C16" s="500"/>
      <c r="D16" s="500"/>
      <c r="E16" s="500"/>
      <c r="F16" s="500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227">
        <v>323121644.95999998</v>
      </c>
      <c r="T16" s="435">
        <f t="shared" si="2"/>
        <v>4.8778232410971718</v>
      </c>
      <c r="V16" s="276"/>
      <c r="W16" s="276"/>
      <c r="X16" s="493"/>
    </row>
    <row r="17" spans="1:24">
      <c r="A17" s="135">
        <v>7116</v>
      </c>
      <c r="B17" s="499" t="str">
        <f>+VLOOKUP($A17,Master!$D$30:$G$226,4,FALSE)</f>
        <v>Porez na međunarodnu trgovinu i transakcije</v>
      </c>
      <c r="C17" s="500"/>
      <c r="D17" s="500"/>
      <c r="E17" s="500"/>
      <c r="F17" s="500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227">
        <v>52191310.710000001</v>
      </c>
      <c r="T17" s="435">
        <f t="shared" si="2"/>
        <v>0.78787661654816354</v>
      </c>
      <c r="V17" s="276"/>
      <c r="W17" s="276"/>
      <c r="X17" s="493"/>
    </row>
    <row r="18" spans="1:24">
      <c r="A18" s="135">
        <v>7118</v>
      </c>
      <c r="B18" s="499" t="str">
        <f>+VLOOKUP($A18,Master!$D$30:$G$226,4,FALSE)</f>
        <v>Ostali državni porezi</v>
      </c>
      <c r="C18" s="500"/>
      <c r="D18" s="500"/>
      <c r="E18" s="500"/>
      <c r="F18" s="500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227">
        <v>12599251.9</v>
      </c>
      <c r="T18" s="435">
        <f t="shared" si="2"/>
        <v>0.19019748350769139</v>
      </c>
      <c r="V18" s="276"/>
      <c r="W18" s="276"/>
      <c r="X18" s="493"/>
    </row>
    <row r="19" spans="1:24">
      <c r="A19" s="135">
        <v>712</v>
      </c>
      <c r="B19" s="501" t="str">
        <f>+VLOOKUP($A19,Master!$D$30:$G$226,4,FALSE)</f>
        <v>Doprinosi</v>
      </c>
      <c r="C19" s="502"/>
      <c r="D19" s="502"/>
      <c r="E19" s="502"/>
      <c r="F19" s="502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228">
        <v>575730590.25</v>
      </c>
      <c r="T19" s="436">
        <f t="shared" si="2"/>
        <v>8.6911913749377288</v>
      </c>
      <c r="V19" s="276"/>
      <c r="W19" s="276"/>
      <c r="X19" s="493"/>
    </row>
    <row r="20" spans="1:24">
      <c r="A20" s="135">
        <v>7121</v>
      </c>
      <c r="B20" s="499" t="str">
        <f>+VLOOKUP($A20,Master!$D$30:$G$226,4,FALSE)</f>
        <v>Doprinosi za penzijsko i invalidsko osiguranje</v>
      </c>
      <c r="C20" s="500"/>
      <c r="D20" s="500"/>
      <c r="E20" s="500"/>
      <c r="F20" s="500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27">
        <v>526512246.37</v>
      </c>
      <c r="T20" s="435">
        <f t="shared" si="2"/>
        <v>7.9481944714158477</v>
      </c>
      <c r="V20" s="276"/>
      <c r="W20" s="276"/>
      <c r="X20" s="493"/>
    </row>
    <row r="21" spans="1:24">
      <c r="A21" s="135">
        <v>7122</v>
      </c>
      <c r="B21" s="499" t="str">
        <f>+VLOOKUP($A21,Master!$D$30:$G$226,4,FALSE)</f>
        <v>Doprinosi za zdravstveno osiguranje</v>
      </c>
      <c r="C21" s="500"/>
      <c r="D21" s="500"/>
      <c r="E21" s="500"/>
      <c r="F21" s="500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227">
        <v>7030542.8399999989</v>
      </c>
      <c r="T21" s="435">
        <f t="shared" si="2"/>
        <v>0.10613261537068067</v>
      </c>
      <c r="V21" s="276"/>
      <c r="W21" s="276"/>
      <c r="X21" s="493"/>
    </row>
    <row r="22" spans="1:24">
      <c r="A22" s="135">
        <v>7123</v>
      </c>
      <c r="B22" s="499" t="str">
        <f>+VLOOKUP($A22,Master!$D$30:$G$226,4,FALSE)</f>
        <v>Doprinosi za osiguranje od nezaposlenosti</v>
      </c>
      <c r="C22" s="500"/>
      <c r="D22" s="500"/>
      <c r="E22" s="500"/>
      <c r="F22" s="500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27">
        <v>24220167.09</v>
      </c>
      <c r="T22" s="435">
        <f t="shared" si="2"/>
        <v>0.36562605996105252</v>
      </c>
    </row>
    <row r="23" spans="1:24">
      <c r="A23" s="135">
        <v>7124</v>
      </c>
      <c r="B23" s="499" t="str">
        <f>+VLOOKUP($A23,Master!$D$30:$G$226,4,FALSE)</f>
        <v>Ostali doprinosi</v>
      </c>
      <c r="C23" s="500"/>
      <c r="D23" s="500"/>
      <c r="E23" s="500"/>
      <c r="F23" s="500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27">
        <v>17967633.949999999</v>
      </c>
      <c r="T23" s="435">
        <f t="shared" si="2"/>
        <v>0.27123822819014837</v>
      </c>
      <c r="V23" s="494"/>
      <c r="W23" s="494"/>
      <c r="X23" s="493"/>
    </row>
    <row r="24" spans="1:24">
      <c r="A24" s="135">
        <v>713</v>
      </c>
      <c r="B24" s="501" t="str">
        <f>+VLOOKUP($A24,Master!$D$30:$G$226,4,FALSE)</f>
        <v>Takse</v>
      </c>
      <c r="C24" s="502"/>
      <c r="D24" s="502"/>
      <c r="E24" s="502"/>
      <c r="F24" s="502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228">
        <v>15958058.43</v>
      </c>
      <c r="T24" s="436">
        <f t="shared" si="2"/>
        <v>0.24090180743625739</v>
      </c>
    </row>
    <row r="25" spans="1:24">
      <c r="A25" s="135">
        <v>714</v>
      </c>
      <c r="B25" s="501" t="str">
        <f>+VLOOKUP($A25,Master!$D$30:$G$226,4,FALSE)</f>
        <v>Naknade</v>
      </c>
      <c r="C25" s="502"/>
      <c r="D25" s="502"/>
      <c r="E25" s="502"/>
      <c r="F25" s="502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228">
        <v>55717585.719999999</v>
      </c>
      <c r="T25" s="436">
        <f t="shared" si="2"/>
        <v>0.84110903370922219</v>
      </c>
    </row>
    <row r="26" spans="1:24">
      <c r="A26" s="135">
        <v>715</v>
      </c>
      <c r="B26" s="501" t="str">
        <f>+VLOOKUP($A26,Master!$D$30:$G$226,4,FALSE)</f>
        <v>Ostali prihodi</v>
      </c>
      <c r="C26" s="502"/>
      <c r="D26" s="502"/>
      <c r="E26" s="502"/>
      <c r="F26" s="502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228">
        <v>181791143.25999999</v>
      </c>
      <c r="T26" s="436">
        <f t="shared" si="2"/>
        <v>2.7443072212913062</v>
      </c>
    </row>
    <row r="27" spans="1:24">
      <c r="A27" s="135">
        <v>73</v>
      </c>
      <c r="B27" s="501" t="str">
        <f>+VLOOKUP($A27,Master!$D$30:$G$226,4,FALSE)</f>
        <v>Primici od otplate kredita i sredstva prenesena iz prethodne godine</v>
      </c>
      <c r="C27" s="502"/>
      <c r="D27" s="502"/>
      <c r="E27" s="502"/>
      <c r="F27" s="502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228">
        <v>0</v>
      </c>
      <c r="T27" s="436">
        <f t="shared" si="2"/>
        <v>0</v>
      </c>
    </row>
    <row r="28" spans="1:24" ht="13.5" thickBot="1">
      <c r="A28" s="135">
        <v>74</v>
      </c>
      <c r="B28" s="505" t="str">
        <f>+VLOOKUP($A28,Master!$D$30:$G$226,4,FALSE)</f>
        <v>Donacije i transferi</v>
      </c>
      <c r="C28" s="506"/>
      <c r="D28" s="506"/>
      <c r="E28" s="506"/>
      <c r="F28" s="506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228">
        <v>71264868.700000018</v>
      </c>
      <c r="T28" s="437">
        <f t="shared" si="2"/>
        <v>1.0758098017903781</v>
      </c>
    </row>
    <row r="29" spans="1:24" ht="13.5" thickBot="1">
      <c r="A29" s="135">
        <v>4</v>
      </c>
      <c r="B29" s="507" t="str">
        <f>+VLOOKUP($A29,Master!$D$30:$G$226,4,FALSE)</f>
        <v>Izdaci budžeta</v>
      </c>
      <c r="C29" s="508"/>
      <c r="D29" s="508"/>
      <c r="E29" s="508"/>
      <c r="F29" s="508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230">
        <v>2555378831.9999995</v>
      </c>
      <c r="T29" s="438">
        <f t="shared" si="2"/>
        <v>38.575831891671562</v>
      </c>
    </row>
    <row r="30" spans="1:24">
      <c r="A30" s="135">
        <v>41</v>
      </c>
      <c r="B30" s="511" t="str">
        <f>+VLOOKUP($A30,Master!$D$30:$G$226,4,FALSE)</f>
        <v>Tekući izdaci</v>
      </c>
      <c r="C30" s="512"/>
      <c r="D30" s="512"/>
      <c r="E30" s="512"/>
      <c r="F30" s="51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231"/>
      <c r="S30" s="396">
        <v>1072283965.9199998</v>
      </c>
      <c r="T30" s="434">
        <f t="shared" si="2"/>
        <v>16.187128691635341</v>
      </c>
      <c r="U30" s="471"/>
    </row>
    <row r="31" spans="1:24">
      <c r="A31" s="135">
        <v>411</v>
      </c>
      <c r="B31" s="499" t="str">
        <f>+VLOOKUP($A31,Master!$D$30:$G$226,4,FALSE)</f>
        <v>Bruto zarade i doprinosi na teret poslodavca</v>
      </c>
      <c r="C31" s="500"/>
      <c r="D31" s="500"/>
      <c r="E31" s="500"/>
      <c r="F31" s="500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227">
        <v>642971390.56000006</v>
      </c>
      <c r="T31" s="435">
        <f t="shared" si="2"/>
        <v>9.7062541032260015</v>
      </c>
      <c r="U31" s="471"/>
    </row>
    <row r="32" spans="1:24">
      <c r="A32" s="135">
        <v>412</v>
      </c>
      <c r="B32" s="499" t="str">
        <f>+VLOOKUP($A32,Master!$D$30:$G$226,4,FALSE)</f>
        <v>Ostala lična primanja</v>
      </c>
      <c r="C32" s="500"/>
      <c r="D32" s="500"/>
      <c r="E32" s="500"/>
      <c r="F32" s="500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227">
        <v>18419755.229999997</v>
      </c>
      <c r="T32" s="435">
        <f t="shared" si="2"/>
        <v>0.27806342149359176</v>
      </c>
      <c r="U32" s="471"/>
      <c r="V32" s="275"/>
    </row>
    <row r="33" spans="1:24">
      <c r="A33" s="135">
        <v>413</v>
      </c>
      <c r="B33" s="499" t="str">
        <f>+VLOOKUP($A33,Master!$D$30:$G$226,4,FALSE)</f>
        <v>Rashodi za materijal</v>
      </c>
      <c r="C33" s="500"/>
      <c r="D33" s="500"/>
      <c r="E33" s="500"/>
      <c r="F33" s="500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227">
        <v>45738707.160000004</v>
      </c>
      <c r="T33" s="435">
        <f t="shared" si="2"/>
        <v>0.69046853493954086</v>
      </c>
      <c r="U33" s="471"/>
    </row>
    <row r="34" spans="1:24" s="333" customFormat="1">
      <c r="A34" s="332">
        <v>414</v>
      </c>
      <c r="B34" s="594" t="str">
        <f>+VLOOKUP($A34,Master!$D$30:$G$226,4,FALSE)</f>
        <v>Rashodi za usluge</v>
      </c>
      <c r="C34" s="595"/>
      <c r="D34" s="595"/>
      <c r="E34" s="595"/>
      <c r="F34" s="595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227">
        <v>72361501.770000011</v>
      </c>
      <c r="T34" s="435">
        <f t="shared" si="2"/>
        <v>1.0923645029663513</v>
      </c>
      <c r="U34" s="471"/>
    </row>
    <row r="35" spans="1:24">
      <c r="A35" s="135">
        <v>415</v>
      </c>
      <c r="B35" s="499" t="str">
        <f>+VLOOKUP($A35,Master!$D$30:$G$226,4,FALSE)</f>
        <v>Rashodi za tekuće održavanje</v>
      </c>
      <c r="C35" s="500"/>
      <c r="D35" s="500"/>
      <c r="E35" s="500"/>
      <c r="F35" s="500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227">
        <v>30173825.100000001</v>
      </c>
      <c r="T35" s="435">
        <f t="shared" si="2"/>
        <v>0.45550209229654454</v>
      </c>
      <c r="U35" s="471"/>
    </row>
    <row r="36" spans="1:24">
      <c r="A36" s="135">
        <v>416</v>
      </c>
      <c r="B36" s="499" t="str">
        <f>+VLOOKUP($A36,Master!$D$30:$G$226,4,FALSE)</f>
        <v>Kamate</v>
      </c>
      <c r="C36" s="500"/>
      <c r="D36" s="500"/>
      <c r="E36" s="500"/>
      <c r="F36" s="500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227">
        <v>123850909.06</v>
      </c>
      <c r="T36" s="435">
        <f t="shared" si="2"/>
        <v>1.8696452313451988</v>
      </c>
      <c r="U36" s="471"/>
      <c r="V36" s="275"/>
    </row>
    <row r="37" spans="1:24">
      <c r="A37" s="135">
        <v>417</v>
      </c>
      <c r="B37" s="499" t="str">
        <f>+VLOOKUP($A37,Master!$D$30:$G$226,4,FALSE)</f>
        <v>Renta</v>
      </c>
      <c r="C37" s="500"/>
      <c r="D37" s="500"/>
      <c r="E37" s="500"/>
      <c r="F37" s="500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227">
        <v>11698322.590000004</v>
      </c>
      <c r="T37" s="435">
        <f t="shared" si="2"/>
        <v>0.17659711350633281</v>
      </c>
      <c r="U37" s="471"/>
      <c r="V37" s="275"/>
    </row>
    <row r="38" spans="1:24">
      <c r="A38" s="135">
        <v>418</v>
      </c>
      <c r="B38" s="499" t="str">
        <f>+VLOOKUP($A38,Master!$D$30:$G$226,4,FALSE)</f>
        <v>Subvencije</v>
      </c>
      <c r="C38" s="500"/>
      <c r="D38" s="500"/>
      <c r="E38" s="500"/>
      <c r="F38" s="500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227">
        <v>74379966.019999996</v>
      </c>
      <c r="T38" s="435">
        <f t="shared" si="2"/>
        <v>1.1228351074075751</v>
      </c>
      <c r="U38" s="471"/>
    </row>
    <row r="39" spans="1:24">
      <c r="A39" s="135">
        <v>419</v>
      </c>
      <c r="B39" s="499" t="str">
        <f>+VLOOKUP($A39,Master!$D$30:$G$226,4,FALSE)</f>
        <v>Ostali izdaci</v>
      </c>
      <c r="C39" s="500"/>
      <c r="D39" s="500"/>
      <c r="E39" s="500"/>
      <c r="F39" s="500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227">
        <v>52689588.43</v>
      </c>
      <c r="T39" s="435">
        <f t="shared" si="2"/>
        <v>0.79539858445420653</v>
      </c>
      <c r="U39" s="471"/>
      <c r="V39" s="275"/>
    </row>
    <row r="40" spans="1:24">
      <c r="A40" s="135">
        <v>42</v>
      </c>
      <c r="B40" s="515" t="str">
        <f>+VLOOKUP($A40,Master!$D$30:$G$226,4,FALSE)</f>
        <v>Transferi za socijalnu zaštitu</v>
      </c>
      <c r="C40" s="516"/>
      <c r="D40" s="516"/>
      <c r="E40" s="516"/>
      <c r="F40" s="516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457">
        <v>825103858.23999977</v>
      </c>
      <c r="T40" s="458">
        <f t="shared" si="2"/>
        <v>12.455713935661123</v>
      </c>
      <c r="U40" s="471"/>
    </row>
    <row r="41" spans="1:24">
      <c r="A41" s="135">
        <v>421</v>
      </c>
      <c r="B41" s="499" t="str">
        <f>+VLOOKUP($A41,Master!$D$30:$G$226,4,FALSE)</f>
        <v>Prava iz oblasti socijalne zaštite</v>
      </c>
      <c r="C41" s="500"/>
      <c r="D41" s="500"/>
      <c r="E41" s="500"/>
      <c r="F41" s="500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227">
        <v>209887201.35000002</v>
      </c>
      <c r="T41" s="435">
        <f t="shared" si="2"/>
        <v>3.1684434785562252</v>
      </c>
      <c r="U41" s="471"/>
    </row>
    <row r="42" spans="1:24">
      <c r="A42" s="135">
        <v>422</v>
      </c>
      <c r="B42" s="499" t="str">
        <f>+VLOOKUP($A42,Master!$D$30:$G$226,4,FALSE)</f>
        <v>Sredstva za tehnološke viškove</v>
      </c>
      <c r="C42" s="500"/>
      <c r="D42" s="500"/>
      <c r="E42" s="500"/>
      <c r="F42" s="500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227">
        <v>24251935.379999999</v>
      </c>
      <c r="T42" s="435">
        <f t="shared" si="2"/>
        <v>0.36610563199130475</v>
      </c>
      <c r="U42" s="471"/>
      <c r="V42" s="275"/>
    </row>
    <row r="43" spans="1:24">
      <c r="A43" s="135">
        <v>423</v>
      </c>
      <c r="B43" s="499" t="str">
        <f>+VLOOKUP($A43,Master!$D$30:$G$226,4,FALSE)</f>
        <v>Prava iz oblasti penzijskog i invalidskog osiguranja</v>
      </c>
      <c r="C43" s="500"/>
      <c r="D43" s="500"/>
      <c r="E43" s="500"/>
      <c r="F43" s="500"/>
      <c r="G43" s="148"/>
      <c r="H43" s="148"/>
      <c r="I43" s="148"/>
      <c r="J43" s="148"/>
      <c r="K43" s="148"/>
      <c r="L43" s="148"/>
      <c r="M43" s="485"/>
      <c r="N43" s="148"/>
      <c r="O43" s="148"/>
      <c r="P43" s="148"/>
      <c r="Q43" s="148"/>
      <c r="R43" s="148"/>
      <c r="S43" s="227">
        <v>553808878.5999999</v>
      </c>
      <c r="T43" s="435">
        <f t="shared" si="2"/>
        <v>8.3602626481288578</v>
      </c>
      <c r="U43" s="471"/>
    </row>
    <row r="44" spans="1:24">
      <c r="A44" s="135">
        <v>424</v>
      </c>
      <c r="B44" s="499" t="str">
        <f>+VLOOKUP($A44,Master!$D$30:$G$226,4,FALSE)</f>
        <v>Ostala prava iz oblasti zdravstvene zaštite</v>
      </c>
      <c r="C44" s="500"/>
      <c r="D44" s="500"/>
      <c r="E44" s="500"/>
      <c r="F44" s="500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227">
        <v>20559593.510000002</v>
      </c>
      <c r="T44" s="435">
        <f t="shared" si="2"/>
        <v>0.31036628036169861</v>
      </c>
      <c r="U44" s="471"/>
    </row>
    <row r="45" spans="1:24" s="333" customFormat="1">
      <c r="A45" s="332">
        <v>425</v>
      </c>
      <c r="B45" s="590" t="str">
        <f>+VLOOKUP($A45,Master!$D$30:$G$226,4,FALSE)</f>
        <v>Ostala prava iz zdravstvenog osiguranja</v>
      </c>
      <c r="C45" s="591"/>
      <c r="D45" s="591"/>
      <c r="E45" s="591"/>
      <c r="F45" s="591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227">
        <v>16596249.4</v>
      </c>
      <c r="T45" s="435">
        <f t="shared" si="2"/>
        <v>0.25053589662303943</v>
      </c>
      <c r="U45" s="471"/>
    </row>
    <row r="46" spans="1:24">
      <c r="A46" s="135">
        <v>43</v>
      </c>
      <c r="B46" s="513" t="str">
        <f>+VLOOKUP($A46,Master!$D$30:$G$226,4,FALSE)</f>
        <v xml:space="preserve">Transferi institucijama, pojedincima, nevladinom i javnom sektoru </v>
      </c>
      <c r="C46" s="514"/>
      <c r="D46" s="514"/>
      <c r="E46" s="514"/>
      <c r="F46" s="514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457">
        <v>380730194.92000002</v>
      </c>
      <c r="T46" s="436">
        <f t="shared" si="2"/>
        <v>5.7474781474268983</v>
      </c>
      <c r="U46" s="471"/>
    </row>
    <row r="47" spans="1:24">
      <c r="A47" s="135">
        <v>44</v>
      </c>
      <c r="B47" s="513" t="str">
        <f>+VLOOKUP($A47,Master!$D$30:$G$226,4,FALSE)</f>
        <v>Kapitalni izdaci</v>
      </c>
      <c r="C47" s="514"/>
      <c r="D47" s="514"/>
      <c r="E47" s="514"/>
      <c r="F47" s="514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457">
        <v>238821591.17999998</v>
      </c>
      <c r="T47" s="436">
        <f t="shared" si="2"/>
        <v>3.6052351369956068</v>
      </c>
      <c r="U47" s="471"/>
      <c r="V47" s="275"/>
      <c r="W47" s="292"/>
      <c r="X47" s="292"/>
    </row>
    <row r="48" spans="1:24">
      <c r="A48" s="135">
        <v>451</v>
      </c>
      <c r="B48" s="592" t="str">
        <f>+VLOOKUP($A48,Master!$D$30:$G$226,4,FALSE)</f>
        <v>Pozajmice i krediti</v>
      </c>
      <c r="C48" s="593"/>
      <c r="D48" s="593"/>
      <c r="E48" s="593"/>
      <c r="F48" s="593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227">
        <v>0</v>
      </c>
      <c r="T48" s="435">
        <f t="shared" si="2"/>
        <v>0</v>
      </c>
      <c r="U48" s="471"/>
      <c r="V48" s="292"/>
    </row>
    <row r="49" spans="1:21" s="333" customFormat="1">
      <c r="A49" s="332">
        <v>47</v>
      </c>
      <c r="B49" s="584" t="str">
        <f>+VLOOKUP($A49,Master!$D$30:$G$226,4,FALSE)</f>
        <v>Rezerve</v>
      </c>
      <c r="C49" s="585"/>
      <c r="D49" s="585"/>
      <c r="E49" s="585"/>
      <c r="F49" s="585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227">
        <v>18267919.309999999</v>
      </c>
      <c r="T49" s="435">
        <f t="shared" si="2"/>
        <v>0.27577131636550278</v>
      </c>
      <c r="U49" s="471"/>
    </row>
    <row r="50" spans="1:21" ht="13.5" thickBot="1">
      <c r="A50" s="135">
        <v>462</v>
      </c>
      <c r="B50" s="519" t="str">
        <f>+VLOOKUP($A50,Master!$D$30:$G$226,4,FALSE)</f>
        <v>Otplata garancija</v>
      </c>
      <c r="C50" s="520"/>
      <c r="D50" s="520"/>
      <c r="E50" s="520"/>
      <c r="F50" s="520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227">
        <v>2813572.16</v>
      </c>
      <c r="T50" s="435">
        <f t="shared" si="2"/>
        <v>4.2473501502045499E-2</v>
      </c>
      <c r="U50" s="471"/>
    </row>
    <row r="51" spans="1:21" ht="13.5" thickBot="1">
      <c r="A51" s="129">
        <v>4630</v>
      </c>
      <c r="B51" s="586" t="str">
        <f>+VLOOKUP($A51,Master!$D$30:$G$226,4,TRUE)</f>
        <v>Otplata obaveza iz prethodnog perioda</v>
      </c>
      <c r="C51" s="587"/>
      <c r="D51" s="587"/>
      <c r="E51" s="587"/>
      <c r="F51" s="587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397">
        <v>17357730.27</v>
      </c>
      <c r="T51" s="439">
        <f t="shared" si="2"/>
        <v>0.26203116208505051</v>
      </c>
      <c r="U51" s="471"/>
    </row>
    <row r="52" spans="1:21" ht="13.5" thickBot="1">
      <c r="A52" s="61">
        <v>1005</v>
      </c>
      <c r="B52" s="588" t="str">
        <f>+VLOOKUP($A52,Master!$D$30:$G$228,4,FALSE)</f>
        <v>Neto povećanje obaveza</v>
      </c>
      <c r="C52" s="589"/>
      <c r="D52" s="589"/>
      <c r="E52" s="589"/>
      <c r="F52" s="589"/>
      <c r="G52" s="84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485"/>
      <c r="S52" s="104">
        <v>0</v>
      </c>
      <c r="T52" s="440">
        <f t="shared" si="2"/>
        <v>0</v>
      </c>
    </row>
    <row r="53" spans="1:21" ht="13.5" thickBot="1">
      <c r="A53" s="129">
        <v>1000</v>
      </c>
      <c r="B53" s="521" t="str">
        <f>+VLOOKUP($A53,Master!$D$30:$G$226,4,FALSE)</f>
        <v>Suficit / deficit</v>
      </c>
      <c r="C53" s="522"/>
      <c r="D53" s="522"/>
      <c r="E53" s="522"/>
      <c r="F53" s="522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233">
        <v>9958766.870000273</v>
      </c>
      <c r="T53" s="441">
        <f t="shared" si="2"/>
        <v>0.15033689401144684</v>
      </c>
    </row>
    <row r="54" spans="1:21" ht="13.5" thickBot="1">
      <c r="A54" s="129">
        <v>1001</v>
      </c>
      <c r="B54" s="523" t="str">
        <f>+VLOOKUP($A54,Master!$D$30:$G$226,4,FALSE)</f>
        <v>Primarni suficit/deficit</v>
      </c>
      <c r="C54" s="524"/>
      <c r="D54" s="524"/>
      <c r="E54" s="524"/>
      <c r="F54" s="524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233">
        <v>133809675.93000025</v>
      </c>
      <c r="T54" s="441">
        <f t="shared" si="2"/>
        <v>2.0199821253566452</v>
      </c>
    </row>
    <row r="55" spans="1:21">
      <c r="A55" s="129">
        <v>46</v>
      </c>
      <c r="B55" s="545" t="str">
        <f>+VLOOKUP($A55,Master!$D$30:$G$226,4,FALSE)</f>
        <v>Otplata dugova</v>
      </c>
      <c r="C55" s="546"/>
      <c r="D55" s="546"/>
      <c r="E55" s="546"/>
      <c r="F55" s="546"/>
      <c r="G55" s="178"/>
      <c r="H55" s="178"/>
      <c r="I55" s="178"/>
      <c r="J55" s="160"/>
      <c r="K55" s="178"/>
      <c r="L55" s="178"/>
      <c r="M55" s="178"/>
      <c r="N55" s="178"/>
      <c r="O55" s="178"/>
      <c r="P55" s="178"/>
      <c r="Q55" s="178"/>
      <c r="R55" s="178"/>
      <c r="S55" s="234">
        <v>301206013.87</v>
      </c>
      <c r="T55" s="442">
        <f t="shared" si="2"/>
        <v>4.5469863060247873</v>
      </c>
    </row>
    <row r="56" spans="1:21">
      <c r="A56" s="129">
        <v>4611</v>
      </c>
      <c r="B56" s="541" t="str">
        <f>+VLOOKUP($A56,Master!$D$30:$G$226,4,FALSE)</f>
        <v>Otplata hartija od vrijednosti i kredita rezidentima</v>
      </c>
      <c r="C56" s="542"/>
      <c r="D56" s="542"/>
      <c r="E56" s="542"/>
      <c r="F56" s="542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235">
        <v>74535564.899999991</v>
      </c>
      <c r="T56" s="443">
        <f t="shared" si="2"/>
        <v>1.1251840179339703</v>
      </c>
    </row>
    <row r="57" spans="1:21" ht="13.5" thickBot="1">
      <c r="A57" s="129">
        <v>4612</v>
      </c>
      <c r="B57" s="517" t="str">
        <f>+VLOOKUP($A57,Master!$D$30:$G$226,4,FALSE)</f>
        <v>Otplata hartija od vrijednosti i kredita nerezidentima</v>
      </c>
      <c r="C57" s="518"/>
      <c r="D57" s="518"/>
      <c r="E57" s="518"/>
      <c r="F57" s="518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235">
        <v>226670448.96999997</v>
      </c>
      <c r="T57" s="443">
        <f t="shared" si="2"/>
        <v>3.4218022880908165</v>
      </c>
    </row>
    <row r="58" spans="1:21" ht="13.5" thickBot="1">
      <c r="A58" s="129">
        <v>4418</v>
      </c>
      <c r="B58" s="509" t="str">
        <f>+VLOOKUP($A58,Master!$D$30:$G$226,4,FALSE)</f>
        <v>Izdaci za kupovinu hartija od vrijednosti</v>
      </c>
      <c r="C58" s="510"/>
      <c r="D58" s="510"/>
      <c r="E58" s="510"/>
      <c r="F58" s="510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234">
        <v>859046.62</v>
      </c>
      <c r="T58" s="444">
        <f t="shared" si="2"/>
        <v>1.2968111649532779E-2</v>
      </c>
    </row>
    <row r="59" spans="1:21" ht="13.5" thickBot="1">
      <c r="A59" s="135">
        <v>451</v>
      </c>
      <c r="B59" s="509" t="str">
        <f>+VLOOKUP($A59,Master!$D$30:$G$226,4,FALSE)</f>
        <v>Pozajmice i krediti</v>
      </c>
      <c r="C59" s="510"/>
      <c r="D59" s="510"/>
      <c r="E59" s="510"/>
      <c r="F59" s="510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234">
        <v>10111595.669999998</v>
      </c>
      <c r="T59" s="444">
        <f t="shared" si="2"/>
        <v>0.15264398759114167</v>
      </c>
    </row>
    <row r="60" spans="1:21" ht="13.5" thickBot="1">
      <c r="A60" s="129">
        <v>1002</v>
      </c>
      <c r="B60" s="543" t="str">
        <f>+VLOOKUP($A60,Master!$D$30:$G$226,4,FALSE)</f>
        <v>Nedostajuća sredstva</v>
      </c>
      <c r="C60" s="544"/>
      <c r="D60" s="544"/>
      <c r="E60" s="544"/>
      <c r="F60" s="544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34">
        <v>-302217889.28999978</v>
      </c>
      <c r="T60" s="445">
        <f t="shared" si="2"/>
        <v>-4.5622615112540164</v>
      </c>
    </row>
    <row r="61" spans="1:21" ht="13.5" thickBot="1">
      <c r="A61" s="129">
        <v>1003</v>
      </c>
      <c r="B61" s="507" t="str">
        <f>+VLOOKUP($A61,Master!$D$30:$G$226,4,FALSE)</f>
        <v>Finansiranje</v>
      </c>
      <c r="C61" s="508"/>
      <c r="D61" s="508"/>
      <c r="E61" s="508"/>
      <c r="F61" s="508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237">
        <v>302217889.28999972</v>
      </c>
      <c r="T61" s="446">
        <f t="shared" si="2"/>
        <v>4.5622615112540146</v>
      </c>
    </row>
    <row r="62" spans="1:21">
      <c r="A62" s="129">
        <v>7511</v>
      </c>
      <c r="B62" s="541" t="str">
        <f>+VLOOKUP($A62,Master!$D$30:$G$226,4,FALSE)</f>
        <v>Pozajmice i krediti od domaćih izvora</v>
      </c>
      <c r="C62" s="542"/>
      <c r="D62" s="542"/>
      <c r="E62" s="542"/>
      <c r="F62" s="542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35">
        <v>159000000</v>
      </c>
      <c r="T62" s="443">
        <f t="shared" si="2"/>
        <v>2.4002536117023685</v>
      </c>
    </row>
    <row r="63" spans="1:21">
      <c r="A63" s="129">
        <v>7512</v>
      </c>
      <c r="B63" s="517" t="str">
        <f>+VLOOKUP($A63,Master!$D$30:$G$226,4,FALSE)</f>
        <v>Pozajmice i krediti od inostranih izvora</v>
      </c>
      <c r="C63" s="518"/>
      <c r="D63" s="518"/>
      <c r="E63" s="518"/>
      <c r="F63" s="518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235">
        <v>156474242.11999997</v>
      </c>
      <c r="T63" s="443">
        <f t="shared" si="2"/>
        <v>2.3621249357667975</v>
      </c>
    </row>
    <row r="64" spans="1:21">
      <c r="A64" s="129">
        <v>72</v>
      </c>
      <c r="B64" s="517" t="str">
        <f>+VLOOKUP($A64,Master!$D$30:$G$226,4,FALSE)</f>
        <v>Primici od prodaje imovine</v>
      </c>
      <c r="C64" s="518"/>
      <c r="D64" s="518"/>
      <c r="E64" s="518"/>
      <c r="F64" s="518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235">
        <v>2717869.5300000007</v>
      </c>
      <c r="T64" s="443">
        <f t="shared" si="2"/>
        <v>4.1028780852316482E-2</v>
      </c>
    </row>
    <row r="65" spans="1:20">
      <c r="A65" s="129">
        <v>73</v>
      </c>
      <c r="B65" s="517" t="s">
        <v>101</v>
      </c>
      <c r="C65" s="518"/>
      <c r="D65" s="518"/>
      <c r="E65" s="518"/>
      <c r="F65" s="518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235">
        <v>13797839.82</v>
      </c>
      <c r="T65" s="443">
        <f t="shared" si="2"/>
        <v>0.20829128843802364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489">
        <v>-29772062.180000186</v>
      </c>
      <c r="T66" s="447">
        <f t="shared" si="2"/>
        <v>-0.44943710550549021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26" ht="15.75" customHeight="1" thickBot="1">
      <c r="B83" s="573" t="str">
        <f>+Master!G253</f>
        <v>Plan ostvarenja budžeta</v>
      </c>
      <c r="C83" s="574"/>
      <c r="D83" s="574"/>
      <c r="E83" s="574"/>
      <c r="F83" s="574"/>
      <c r="G83" s="581"/>
      <c r="H83" s="582"/>
      <c r="I83" s="582"/>
      <c r="J83" s="582"/>
      <c r="K83" s="582"/>
      <c r="L83" s="582"/>
      <c r="M83" s="582"/>
      <c r="N83" s="582"/>
      <c r="O83" s="582"/>
      <c r="P83" s="582"/>
      <c r="Q83" s="582"/>
      <c r="R83" s="583"/>
      <c r="S83" s="96" t="str">
        <f>+S7</f>
        <v>BDP</v>
      </c>
      <c r="T83" s="221">
        <v>6624300000</v>
      </c>
    </row>
    <row r="84" spans="1:26" ht="15.75" customHeight="1">
      <c r="B84" s="575"/>
      <c r="C84" s="576"/>
      <c r="D84" s="576"/>
      <c r="E84" s="576"/>
      <c r="F84" s="577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581" t="str">
        <f>+Master!G247</f>
        <v>Jan - Dec</v>
      </c>
      <c r="T84" s="583">
        <f>+T8</f>
        <v>0</v>
      </c>
    </row>
    <row r="85" spans="1:26" ht="13.5" thickBot="1">
      <c r="B85" s="578"/>
      <c r="C85" s="579"/>
      <c r="D85" s="579"/>
      <c r="E85" s="579"/>
      <c r="F85" s="580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3">+CONCATENATE(A10,"p")</f>
        <v>7p</v>
      </c>
      <c r="B86" s="547" t="str">
        <f>+VLOOKUP(LEFT($A86,LEN(A86)-1)*1,Master!$D$30:$G$226,4,FALSE)</f>
        <v>Prihodi budžeta</v>
      </c>
      <c r="C86" s="548"/>
      <c r="D86" s="548"/>
      <c r="E86" s="548"/>
      <c r="F86" s="548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424">
        <f t="shared" ref="S86" si="4">+S87+S95+SUM(S100:S104)</f>
        <v>2422783971.703506</v>
      </c>
      <c r="T86" s="448">
        <f>+S86/$T$83*100</f>
        <v>36.574188543748107</v>
      </c>
      <c r="U86" s="243"/>
    </row>
    <row r="87" spans="1:26">
      <c r="A87" s="105" t="str">
        <f t="shared" si="3"/>
        <v>711p</v>
      </c>
      <c r="B87" s="571" t="str">
        <f>+VLOOKUP(LEFT($A87,LEN(A87)-1)*1,Master!$D$30:$G$226,4,FALSE)</f>
        <v>Porezi</v>
      </c>
      <c r="C87" s="572"/>
      <c r="D87" s="572"/>
      <c r="E87" s="572"/>
      <c r="F87" s="572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70"/>
      <c r="S87" s="100">
        <f t="shared" ref="S87" si="5">+SUM(S88:S94)</f>
        <v>1581306556.7265537</v>
      </c>
      <c r="T87" s="434">
        <f t="shared" ref="T87:T142" si="6">+S87/$T$83*100</f>
        <v>23.871300465355642</v>
      </c>
      <c r="V87" s="292"/>
    </row>
    <row r="88" spans="1:26">
      <c r="A88" s="105" t="str">
        <f t="shared" si="3"/>
        <v>7111p</v>
      </c>
      <c r="B88" s="563" t="str">
        <f>+VLOOKUP(LEFT($A88,LEN(A88)-1)*1,Master!$D$30:$G$229,4,FALSE)</f>
        <v>Porez na dohodak fizičkih lica</v>
      </c>
      <c r="C88" s="564"/>
      <c r="D88" s="564"/>
      <c r="E88" s="564"/>
      <c r="F88" s="564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101">
        <v>62298253.663200013</v>
      </c>
      <c r="T88" s="435">
        <f t="shared" si="6"/>
        <v>0.94045036703047891</v>
      </c>
      <c r="V88" s="292"/>
    </row>
    <row r="89" spans="1:26">
      <c r="A89" s="105" t="str">
        <f t="shared" si="3"/>
        <v>7112p</v>
      </c>
      <c r="B89" s="563" t="str">
        <f>+VLOOKUP(LEFT($A89,LEN(A89)-1)*1,Master!$D$30:$G$229,4,FALSE)</f>
        <v>Porez na dobit pravnih lica</v>
      </c>
      <c r="C89" s="564"/>
      <c r="D89" s="564"/>
      <c r="E89" s="564"/>
      <c r="F89" s="564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101">
        <v>134648421.1653218</v>
      </c>
      <c r="T89" s="435">
        <f t="shared" si="6"/>
        <v>2.0326437686294674</v>
      </c>
      <c r="V89" s="292"/>
    </row>
    <row r="90" spans="1:26">
      <c r="A90" s="105" t="str">
        <f t="shared" si="3"/>
        <v>7113p</v>
      </c>
      <c r="B90" s="563" t="str">
        <f>+VLOOKUP(LEFT($A90,LEN(A90)-1)*1,Master!$D$30:$G$229,4,FALSE)</f>
        <v>Porez na promet nepokretnosti</v>
      </c>
      <c r="C90" s="564"/>
      <c r="D90" s="564"/>
      <c r="E90" s="564"/>
      <c r="F90" s="564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101">
        <v>0</v>
      </c>
      <c r="T90" s="435">
        <f t="shared" si="6"/>
        <v>0</v>
      </c>
      <c r="V90" s="292"/>
    </row>
    <row r="91" spans="1:26">
      <c r="A91" s="105" t="str">
        <f t="shared" si="3"/>
        <v>7114p</v>
      </c>
      <c r="B91" s="563" t="str">
        <f>+VLOOKUP(LEFT($A91,LEN(A91)-1)*1,Master!$D$30:$G$229,4,FALSE)</f>
        <v>Porez na dodatu vrijednost</v>
      </c>
      <c r="C91" s="564"/>
      <c r="D91" s="564"/>
      <c r="E91" s="564"/>
      <c r="F91" s="564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101">
        <v>1028042967.1590319</v>
      </c>
      <c r="T91" s="435">
        <f t="shared" si="6"/>
        <v>15.519269464834501</v>
      </c>
      <c r="V91" s="292"/>
    </row>
    <row r="92" spans="1:26">
      <c r="A92" s="105" t="str">
        <f t="shared" si="3"/>
        <v>7115p</v>
      </c>
      <c r="B92" s="563" t="str">
        <f>+VLOOKUP(LEFT($A92,LEN(A92)-1)*1,Master!$D$30:$G$229,4,FALSE)</f>
        <v>Akcize</v>
      </c>
      <c r="C92" s="564"/>
      <c r="D92" s="564"/>
      <c r="E92" s="564"/>
      <c r="F92" s="564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101">
        <v>296409200</v>
      </c>
      <c r="T92" s="435">
        <f t="shared" si="6"/>
        <v>4.4745739172440864</v>
      </c>
      <c r="V92" s="292"/>
      <c r="X92" s="242"/>
      <c r="Y92" s="242"/>
      <c r="Z92" s="242"/>
    </row>
    <row r="93" spans="1:26">
      <c r="A93" s="105" t="str">
        <f t="shared" si="3"/>
        <v>7116p</v>
      </c>
      <c r="B93" s="563" t="str">
        <f>+VLOOKUP(LEFT($A93,LEN(A93)-1)*1,Master!$D$30:$G$229,4,FALSE)</f>
        <v>Porez na međunarodnu trgovinu i transakcije</v>
      </c>
      <c r="C93" s="564"/>
      <c r="D93" s="564"/>
      <c r="E93" s="564"/>
      <c r="F93" s="564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101">
        <v>47650000</v>
      </c>
      <c r="T93" s="435">
        <f t="shared" si="6"/>
        <v>0.71932128677747076</v>
      </c>
      <c r="V93" s="292"/>
    </row>
    <row r="94" spans="1:26">
      <c r="A94" s="105" t="str">
        <f t="shared" si="3"/>
        <v>7118p</v>
      </c>
      <c r="B94" s="563" t="str">
        <f>+VLOOKUP(LEFT($A94,LEN(A94)-1)*1,Master!$D$30:$G$229,4,FALSE)</f>
        <v>Ostali državni porezi</v>
      </c>
      <c r="C94" s="564"/>
      <c r="D94" s="564"/>
      <c r="E94" s="564"/>
      <c r="F94" s="564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101">
        <v>12257714.739000088</v>
      </c>
      <c r="T94" s="435">
        <f t="shared" si="6"/>
        <v>0.18504166083963719</v>
      </c>
      <c r="V94" s="292"/>
    </row>
    <row r="95" spans="1:26">
      <c r="A95" s="105" t="str">
        <f t="shared" si="3"/>
        <v>712p</v>
      </c>
      <c r="B95" s="569" t="str">
        <f>+VLOOKUP(LEFT($A95,LEN(A95)-1)*1,Master!$D$30:$G$229,4,FALSE)</f>
        <v>Doprinosi</v>
      </c>
      <c r="C95" s="570"/>
      <c r="D95" s="570"/>
      <c r="E95" s="570"/>
      <c r="F95" s="570"/>
      <c r="G95" s="71"/>
      <c r="H95" s="71"/>
      <c r="I95" s="451"/>
      <c r="J95" s="71"/>
      <c r="K95" s="71"/>
      <c r="L95" s="71"/>
      <c r="M95" s="71"/>
      <c r="N95" s="71"/>
      <c r="O95" s="71"/>
      <c r="P95" s="71"/>
      <c r="Q95" s="71"/>
      <c r="R95" s="72"/>
      <c r="S95" s="102">
        <f>SUM(S96:S99)</f>
        <v>512225546.84560192</v>
      </c>
      <c r="T95" s="436">
        <f t="shared" si="6"/>
        <v>7.7325233888199802</v>
      </c>
      <c r="V95" s="292"/>
    </row>
    <row r="96" spans="1:26">
      <c r="A96" s="105" t="str">
        <f t="shared" si="3"/>
        <v>7121p</v>
      </c>
      <c r="B96" s="563" t="str">
        <f>+VLOOKUP(LEFT($A96,LEN(A96)-1)*1,Master!$D$30:$G$229,4,FALSE)</f>
        <v>Doprinosi za penzijsko i invalidsko osiguranje</v>
      </c>
      <c r="C96" s="564"/>
      <c r="D96" s="564"/>
      <c r="E96" s="564"/>
      <c r="F96" s="564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101">
        <v>473725546.84560192</v>
      </c>
      <c r="T96" s="435">
        <f t="shared" si="6"/>
        <v>7.1513299042253813</v>
      </c>
      <c r="V96" s="292"/>
      <c r="W96" s="292"/>
    </row>
    <row r="97" spans="1:23">
      <c r="A97" s="105" t="str">
        <f t="shared" si="3"/>
        <v>7122p</v>
      </c>
      <c r="B97" s="563" t="str">
        <f>+VLOOKUP(LEFT($A97,LEN(A97)-1)*1,Master!$D$30:$G$229,4,FALSE)</f>
        <v>Doprinosi za zdravstveno osiguranje</v>
      </c>
      <c r="C97" s="564"/>
      <c r="D97" s="564"/>
      <c r="E97" s="564"/>
      <c r="F97" s="564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101">
        <v>1500000</v>
      </c>
      <c r="T97" s="435">
        <f t="shared" si="6"/>
        <v>2.2643901997192156E-2</v>
      </c>
      <c r="V97" s="292"/>
    </row>
    <row r="98" spans="1:23">
      <c r="A98" s="105" t="str">
        <f t="shared" si="3"/>
        <v>7123p</v>
      </c>
      <c r="B98" s="563" t="str">
        <f>+VLOOKUP(LEFT($A98,LEN(A98)-1)*1,Master!$D$30:$G$229,4,FALSE)</f>
        <v>Doprinosi za osiguranje od nezaposlenosti</v>
      </c>
      <c r="C98" s="564"/>
      <c r="D98" s="564"/>
      <c r="E98" s="564"/>
      <c r="F98" s="564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101">
        <v>22000000</v>
      </c>
      <c r="T98" s="435">
        <f t="shared" si="6"/>
        <v>0.33211056262548494</v>
      </c>
      <c r="V98" s="292"/>
    </row>
    <row r="99" spans="1:23">
      <c r="A99" s="105" t="str">
        <f t="shared" si="3"/>
        <v>7124p</v>
      </c>
      <c r="B99" s="563" t="str">
        <f>+VLOOKUP(LEFT($A99,LEN(A99)-1)*1,Master!$D$30:$G$229,4,FALSE)</f>
        <v>Ostali doprinosi</v>
      </c>
      <c r="C99" s="564"/>
      <c r="D99" s="564"/>
      <c r="E99" s="564"/>
      <c r="F99" s="564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101">
        <v>15000000</v>
      </c>
      <c r="T99" s="435">
        <f t="shared" si="6"/>
        <v>0.22643901997192159</v>
      </c>
      <c r="V99" s="292"/>
    </row>
    <row r="100" spans="1:23">
      <c r="A100" s="105" t="str">
        <f t="shared" si="3"/>
        <v>713p</v>
      </c>
      <c r="B100" s="569" t="str">
        <f>+VLOOKUP(LEFT($A100,LEN(A100)-1)*1,Master!$D$30:$G$229,4,FALSE)</f>
        <v>Takse</v>
      </c>
      <c r="C100" s="570"/>
      <c r="D100" s="570"/>
      <c r="E100" s="570"/>
      <c r="F100" s="570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102">
        <v>14498595.505600002</v>
      </c>
      <c r="T100" s="436">
        <f t="shared" si="6"/>
        <v>0.21886985048382473</v>
      </c>
      <c r="V100" s="292"/>
    </row>
    <row r="101" spans="1:23">
      <c r="A101" s="105" t="str">
        <f t="shared" si="3"/>
        <v>714p</v>
      </c>
      <c r="B101" s="569" t="str">
        <f>+VLOOKUP(LEFT($A101,LEN(A101)-1)*1,Master!$D$30:$G$229,4,FALSE)</f>
        <v>Naknade</v>
      </c>
      <c r="C101" s="570"/>
      <c r="D101" s="570"/>
      <c r="E101" s="570"/>
      <c r="F101" s="570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102">
        <v>45959207.071750499</v>
      </c>
      <c r="T101" s="436">
        <f t="shared" si="6"/>
        <v>0.69379718720091932</v>
      </c>
      <c r="V101" s="292"/>
    </row>
    <row r="102" spans="1:23">
      <c r="A102" s="105" t="str">
        <f t="shared" si="3"/>
        <v>715p</v>
      </c>
      <c r="B102" s="569" t="str">
        <f>+VLOOKUP(LEFT($A102,LEN(A102)-1)*1,Master!$D$30:$G$229,4,FALSE)</f>
        <v>Ostali prihodi</v>
      </c>
      <c r="C102" s="570"/>
      <c r="D102" s="570"/>
      <c r="E102" s="570"/>
      <c r="F102" s="570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102">
        <v>200410680.97400001</v>
      </c>
      <c r="T102" s="436">
        <f t="shared" si="6"/>
        <v>3.0253865461105325</v>
      </c>
      <c r="V102" s="292"/>
    </row>
    <row r="103" spans="1:23">
      <c r="A103" s="105" t="str">
        <f t="shared" si="3"/>
        <v>73p</v>
      </c>
      <c r="B103" s="569" t="str">
        <f>+VLOOKUP(LEFT($A103,LEN(A103)-1)*1,Master!$D$30:$G$229,4,FALSE)</f>
        <v>Primici od otplate kredita i sredstva prenesena iz prethodne godine</v>
      </c>
      <c r="C103" s="570"/>
      <c r="D103" s="570"/>
      <c r="E103" s="570"/>
      <c r="F103" s="570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102">
        <f t="shared" ref="S103" si="7">+SUM(G103:R103)</f>
        <v>0</v>
      </c>
      <c r="T103" s="436">
        <f t="shared" si="6"/>
        <v>0</v>
      </c>
      <c r="V103" s="292"/>
      <c r="W103" s="292"/>
    </row>
    <row r="104" spans="1:23" ht="13.5" thickBot="1">
      <c r="A104" s="105" t="str">
        <f t="shared" si="3"/>
        <v>74p</v>
      </c>
      <c r="B104" s="565" t="str">
        <f>+VLOOKUP(LEFT($A104,LEN(A104)-1)*1,Master!$D$30:$G$229,4,FALSE)</f>
        <v>Donacije i transferi</v>
      </c>
      <c r="C104" s="566"/>
      <c r="D104" s="566"/>
      <c r="E104" s="566"/>
      <c r="F104" s="566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103">
        <v>68383384.579999998</v>
      </c>
      <c r="T104" s="437">
        <f t="shared" si="6"/>
        <v>1.0323111057772143</v>
      </c>
      <c r="V104" s="292"/>
    </row>
    <row r="105" spans="1:23" ht="13.5" thickBot="1">
      <c r="A105" s="105" t="str">
        <f t="shared" si="3"/>
        <v>4p</v>
      </c>
      <c r="B105" s="547" t="str">
        <f>+VLOOKUP(LEFT($A105,LEN(A105)-1)*1,Master!$D$30:$G$229,4,FALSE)</f>
        <v>Izdaci budžeta</v>
      </c>
      <c r="C105" s="548"/>
      <c r="D105" s="548"/>
      <c r="E105" s="548"/>
      <c r="F105" s="548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422">
        <f t="shared" ref="S105" si="8">+S106+S116+S122+SUM(S123:S127)</f>
        <v>2639096791.3985004</v>
      </c>
      <c r="T105" s="449">
        <f t="shared" si="6"/>
        <v>39.839632737021276</v>
      </c>
      <c r="V105" s="275"/>
    </row>
    <row r="106" spans="1:23">
      <c r="A106" s="105" t="str">
        <f t="shared" si="3"/>
        <v>41p</v>
      </c>
      <c r="B106" s="567" t="str">
        <f>+VLOOKUP(LEFT($A106,LEN(A106)-1)*1,Master!$D$30:$G$229,4,FALSE)</f>
        <v>Tekući izdaci</v>
      </c>
      <c r="C106" s="568"/>
      <c r="D106" s="568"/>
      <c r="E106" s="568"/>
      <c r="F106" s="568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S106" s="100">
        <f t="shared" ref="S106" si="9">+SUM(S107:S115)</f>
        <v>1080322097.4785001</v>
      </c>
      <c r="T106" s="434">
        <f t="shared" si="6"/>
        <v>16.308471800469484</v>
      </c>
      <c r="V106" s="275"/>
      <c r="W106" s="275"/>
    </row>
    <row r="107" spans="1:23">
      <c r="A107" s="105" t="str">
        <f t="shared" si="3"/>
        <v>411p</v>
      </c>
      <c r="B107" s="563" t="str">
        <f>+VLOOKUP(LEFT($A107,LEN(A107)-1)*1,Master!$D$30:$G$229,4,FALSE)</f>
        <v>Bruto zarade i doprinosi na teret poslodavca</v>
      </c>
      <c r="C107" s="564"/>
      <c r="D107" s="564"/>
      <c r="E107" s="564"/>
      <c r="F107" s="564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101">
        <v>635224458.56850004</v>
      </c>
      <c r="T107" s="435">
        <f t="shared" si="6"/>
        <v>9.5893069240297102</v>
      </c>
      <c r="V107" s="487"/>
    </row>
    <row r="108" spans="1:23">
      <c r="A108" s="105" t="str">
        <f t="shared" si="3"/>
        <v>412p</v>
      </c>
      <c r="B108" s="563" t="str">
        <f>+VLOOKUP(LEFT($A108,LEN(A108)-1)*1,Master!$D$30:$G$229,4,FALSE)</f>
        <v>Ostala lična primanja</v>
      </c>
      <c r="C108" s="564"/>
      <c r="D108" s="564"/>
      <c r="E108" s="564"/>
      <c r="F108" s="564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101">
        <v>19612384.860000003</v>
      </c>
      <c r="T108" s="435">
        <f t="shared" si="6"/>
        <v>0.29606728046737019</v>
      </c>
      <c r="V108" s="487"/>
    </row>
    <row r="109" spans="1:23">
      <c r="A109" s="105" t="str">
        <f t="shared" si="3"/>
        <v>413p</v>
      </c>
      <c r="B109" s="563" t="str">
        <f>+VLOOKUP(LEFT($A109,LEN(A109)-1)*1,Master!$D$30:$G$229,4,FALSE)</f>
        <v>Rashodi za materijal</v>
      </c>
      <c r="C109" s="564"/>
      <c r="D109" s="564"/>
      <c r="E109" s="564"/>
      <c r="F109" s="564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101">
        <v>56710723.900000006</v>
      </c>
      <c r="T109" s="435">
        <f t="shared" si="6"/>
        <v>0.85610138278761538</v>
      </c>
      <c r="V109" s="487"/>
    </row>
    <row r="110" spans="1:23">
      <c r="A110" s="105" t="str">
        <f t="shared" si="3"/>
        <v>414p</v>
      </c>
      <c r="B110" s="563" t="str">
        <f>+VLOOKUP(LEFT($A110,LEN(A110)-1)*1,Master!$D$30:$G$229,4,FALSE)</f>
        <v>Rashodi za usluge</v>
      </c>
      <c r="C110" s="564"/>
      <c r="D110" s="564"/>
      <c r="E110" s="564"/>
      <c r="F110" s="564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101">
        <v>71054582.26000002</v>
      </c>
      <c r="T110" s="435">
        <f t="shared" si="6"/>
        <v>1.072635331431246</v>
      </c>
      <c r="V110" s="487"/>
    </row>
    <row r="111" spans="1:23">
      <c r="A111" s="105" t="str">
        <f t="shared" si="3"/>
        <v>415p</v>
      </c>
      <c r="B111" s="563" t="str">
        <f>+VLOOKUP(LEFT($A111,LEN(A111)-1)*1,Master!$D$30:$G$229,4,FALSE)</f>
        <v>Rashodi za tekuće održavanje</v>
      </c>
      <c r="C111" s="564"/>
      <c r="D111" s="564"/>
      <c r="E111" s="564"/>
      <c r="F111" s="564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101">
        <v>34835684.359999999</v>
      </c>
      <c r="T111" s="435">
        <f t="shared" si="6"/>
        <v>0.52587721510197305</v>
      </c>
      <c r="V111" s="487"/>
    </row>
    <row r="112" spans="1:23">
      <c r="A112" s="105" t="str">
        <f t="shared" si="3"/>
        <v>416p</v>
      </c>
      <c r="B112" s="563" t="str">
        <f>+VLOOKUP(LEFT($A112,LEN(A112)-1)*1,Master!$D$30:$G$229,4,FALSE)</f>
        <v>Kamate</v>
      </c>
      <c r="C112" s="564"/>
      <c r="D112" s="564"/>
      <c r="E112" s="564"/>
      <c r="F112" s="564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101">
        <v>110027809.39</v>
      </c>
      <c r="T112" s="435">
        <f t="shared" si="6"/>
        <v>1.6609726218619325</v>
      </c>
      <c r="V112" s="487"/>
    </row>
    <row r="113" spans="1:22">
      <c r="A113" s="105" t="str">
        <f t="shared" si="3"/>
        <v>417p</v>
      </c>
      <c r="B113" s="563" t="str">
        <f>+VLOOKUP(LEFT($A113,LEN(A113)-1)*1,Master!$D$30:$G$229,4,FALSE)</f>
        <v>Renta</v>
      </c>
      <c r="C113" s="564"/>
      <c r="D113" s="564"/>
      <c r="E113" s="564"/>
      <c r="F113" s="564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101">
        <v>12241037.409999998</v>
      </c>
      <c r="T113" s="435">
        <f t="shared" si="6"/>
        <v>0.18478990097066858</v>
      </c>
      <c r="V113" s="487"/>
    </row>
    <row r="114" spans="1:22">
      <c r="A114" s="105" t="str">
        <f t="shared" si="3"/>
        <v>418p</v>
      </c>
      <c r="B114" s="563" t="str">
        <f>+VLOOKUP(LEFT($A114,LEN(A114)-1)*1,Master!$D$30:$G$229,4,FALSE)</f>
        <v>Subvencije</v>
      </c>
      <c r="C114" s="564"/>
      <c r="D114" s="564"/>
      <c r="E114" s="564"/>
      <c r="F114" s="564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101">
        <v>72823266.960000008</v>
      </c>
      <c r="T114" s="435">
        <f t="shared" si="6"/>
        <v>1.0993352801050678</v>
      </c>
      <c r="V114" s="487"/>
    </row>
    <row r="115" spans="1:22">
      <c r="A115" s="105" t="str">
        <f t="shared" si="3"/>
        <v>419p</v>
      </c>
      <c r="B115" s="563" t="str">
        <f>+VLOOKUP(LEFT($A115,LEN(A115)-1)*1,Master!$D$30:$G$229,4,FALSE)</f>
        <v>Ostali izdaci</v>
      </c>
      <c r="C115" s="564"/>
      <c r="D115" s="564"/>
      <c r="E115" s="564"/>
      <c r="F115" s="564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101">
        <v>67792149.769999996</v>
      </c>
      <c r="T115" s="435">
        <f t="shared" si="6"/>
        <v>1.0233858637139017</v>
      </c>
      <c r="V115" s="487"/>
    </row>
    <row r="116" spans="1:22">
      <c r="A116" s="105" t="str">
        <f t="shared" si="3"/>
        <v>42p</v>
      </c>
      <c r="B116" s="559" t="str">
        <f>+VLOOKUP(LEFT($A116,LEN(A116)-1)*1,Master!$D$30:$G$229,4,FALSE)</f>
        <v>Transferi za socijalnu zaštitu</v>
      </c>
      <c r="C116" s="560"/>
      <c r="D116" s="560"/>
      <c r="E116" s="560"/>
      <c r="F116" s="560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102">
        <f>+SUM(S117:S121)</f>
        <v>840813872.81000006</v>
      </c>
      <c r="T116" s="436">
        <f t="shared" si="6"/>
        <v>12.692871289192823</v>
      </c>
      <c r="V116" s="292"/>
    </row>
    <row r="117" spans="1:22">
      <c r="A117" s="105" t="str">
        <f t="shared" si="3"/>
        <v>421p</v>
      </c>
      <c r="B117" s="563" t="str">
        <f>+VLOOKUP(LEFT($A117,LEN(A117)-1)*1,Master!$D$30:$G$229,4,FALSE)</f>
        <v>Prava iz oblasti socijalne zaštite</v>
      </c>
      <c r="C117" s="564"/>
      <c r="D117" s="564"/>
      <c r="E117" s="564"/>
      <c r="F117" s="564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101">
        <v>207352800.30999997</v>
      </c>
      <c r="T117" s="435">
        <f t="shared" si="6"/>
        <v>3.1301843260419968</v>
      </c>
      <c r="V117" s="487"/>
    </row>
    <row r="118" spans="1:22">
      <c r="A118" s="105" t="str">
        <f t="shared" ref="A118:A134" si="10">+CONCATENATE(A42,"p")</f>
        <v>422p</v>
      </c>
      <c r="B118" s="563" t="str">
        <f>+VLOOKUP(LEFT($A118,LEN(A118)-1)*1,Master!$D$30:$G$229,4,FALSE)</f>
        <v>Sredstva za tehnološke viškove</v>
      </c>
      <c r="C118" s="564"/>
      <c r="D118" s="564"/>
      <c r="E118" s="564"/>
      <c r="F118" s="564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101">
        <v>28611076</v>
      </c>
      <c r="T118" s="435">
        <f t="shared" si="6"/>
        <v>0.4319109339854777</v>
      </c>
      <c r="V118" s="487"/>
    </row>
    <row r="119" spans="1:22">
      <c r="A119" s="105" t="str">
        <f t="shared" si="10"/>
        <v>423p</v>
      </c>
      <c r="B119" s="563" t="str">
        <f>+VLOOKUP(LEFT($A119,LEN(A119)-1)*1,Master!$D$30:$G$229,4,FALSE)</f>
        <v>Prava iz oblasti penzijskog i invalidskog osiguranja</v>
      </c>
      <c r="C119" s="564"/>
      <c r="D119" s="564"/>
      <c r="E119" s="564"/>
      <c r="F119" s="564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101">
        <v>567395838.01000011</v>
      </c>
      <c r="T119" s="435">
        <f t="shared" si="6"/>
        <v>8.5653704996754385</v>
      </c>
      <c r="V119" s="487"/>
    </row>
    <row r="120" spans="1:22">
      <c r="A120" s="105" t="str">
        <f t="shared" si="10"/>
        <v>424p</v>
      </c>
      <c r="B120" s="563" t="str">
        <f>+VLOOKUP(LEFT($A120,LEN(A120)-1)*1,Master!$D$30:$G$229,4,FALSE)</f>
        <v>Ostala prava iz oblasti zdravstvene zaštite</v>
      </c>
      <c r="C120" s="564"/>
      <c r="D120" s="564"/>
      <c r="E120" s="564"/>
      <c r="F120" s="564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101">
        <v>21854158.490000002</v>
      </c>
      <c r="T120" s="435">
        <f t="shared" si="6"/>
        <v>0.32990894871910997</v>
      </c>
      <c r="V120" s="487"/>
    </row>
    <row r="121" spans="1:22">
      <c r="A121" s="105" t="str">
        <f t="shared" si="10"/>
        <v>425p</v>
      </c>
      <c r="B121" s="563" t="str">
        <f>+VLOOKUP(LEFT($A121,LEN(A121)-1)*1,Master!$D$30:$G$229,4,FALSE)</f>
        <v>Ostala prava iz zdravstvenog osiguranja</v>
      </c>
      <c r="C121" s="564"/>
      <c r="D121" s="564"/>
      <c r="E121" s="564"/>
      <c r="F121" s="564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101">
        <v>15600000</v>
      </c>
      <c r="T121" s="435">
        <f t="shared" si="6"/>
        <v>0.23549658077079844</v>
      </c>
      <c r="V121" s="487"/>
    </row>
    <row r="122" spans="1:22">
      <c r="A122" s="105" t="str">
        <f t="shared" si="10"/>
        <v>43p</v>
      </c>
      <c r="B122" s="561" t="str">
        <f>+VLOOKUP(LEFT($A122,LEN(A122)-1)*1,Master!$D$30:$G$229,4,FALSE)</f>
        <v xml:space="preserve">Transferi institucijama, pojedincima, nevladinom i javnom sektoru </v>
      </c>
      <c r="C122" s="562"/>
      <c r="D122" s="562"/>
      <c r="E122" s="562"/>
      <c r="F122" s="562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102">
        <v>367655686.27999997</v>
      </c>
      <c r="T122" s="436">
        <f t="shared" si="6"/>
        <v>5.5501062192231627</v>
      </c>
      <c r="V122" s="487"/>
    </row>
    <row r="123" spans="1:22">
      <c r="A123" s="105" t="str">
        <f t="shared" si="10"/>
        <v>44p</v>
      </c>
      <c r="B123" s="561" t="str">
        <f>+VLOOKUP(LEFT($A123,LEN(A123)-1)*1,Master!$D$30:$G$229,4,FALSE)</f>
        <v>Kapitalni izdaci</v>
      </c>
      <c r="C123" s="562"/>
      <c r="D123" s="562"/>
      <c r="E123" s="562"/>
      <c r="F123" s="562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102">
        <f>248950033.35-S134</f>
        <v>248171032.34999999</v>
      </c>
      <c r="T123" s="436">
        <f t="shared" si="6"/>
        <v>3.7463736900502691</v>
      </c>
      <c r="U123" s="292"/>
      <c r="V123" s="487"/>
    </row>
    <row r="124" spans="1:22">
      <c r="A124" s="105" t="str">
        <f t="shared" si="10"/>
        <v>451p</v>
      </c>
      <c r="B124" s="553" t="str">
        <f>+VLOOKUP(LEFT($A124,LEN(A124)-1)*1,Master!$D$30:$G$229,4,FALSE)</f>
        <v>Pozajmice i krediti</v>
      </c>
      <c r="C124" s="554"/>
      <c r="D124" s="554"/>
      <c r="E124" s="554"/>
      <c r="F124" s="554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101">
        <v>0</v>
      </c>
      <c r="T124" s="435">
        <f t="shared" si="6"/>
        <v>0</v>
      </c>
      <c r="U124" s="292"/>
      <c r="V124" s="487"/>
    </row>
    <row r="125" spans="1:22">
      <c r="A125" s="105" t="str">
        <f t="shared" si="10"/>
        <v>47p</v>
      </c>
      <c r="B125" s="553" t="str">
        <f>+VLOOKUP(LEFT($A125,LEN(A125)-1)*1,Master!$D$30:$G$229,4,FALSE)</f>
        <v>Rezerve</v>
      </c>
      <c r="C125" s="554"/>
      <c r="D125" s="554"/>
      <c r="E125" s="554"/>
      <c r="F125" s="554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101">
        <v>74181545.280000001</v>
      </c>
      <c r="T125" s="435">
        <f t="shared" si="6"/>
        <v>1.1198397608803949</v>
      </c>
      <c r="U125" s="292"/>
      <c r="V125" s="487"/>
    </row>
    <row r="126" spans="1:22">
      <c r="A126" s="105" t="str">
        <f t="shared" si="10"/>
        <v>462p</v>
      </c>
      <c r="B126" s="553" t="str">
        <f>+VLOOKUP(LEFT($A126,LEN(A126)-1)*1,Master!$D$30:$G$229,4,FALSE)</f>
        <v>Otplata garancija</v>
      </c>
      <c r="C126" s="554"/>
      <c r="D126" s="554"/>
      <c r="E126" s="554"/>
      <c r="F126" s="554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101">
        <v>2</v>
      </c>
      <c r="T126" s="435">
        <f t="shared" si="6"/>
        <v>3.0191869329589537E-8</v>
      </c>
      <c r="U126" s="292"/>
      <c r="V126" s="487"/>
    </row>
    <row r="127" spans="1:22">
      <c r="A127" s="106" t="str">
        <f t="shared" si="10"/>
        <v>4630p</v>
      </c>
      <c r="B127" s="553" t="str">
        <f>+VLOOKUP(LEFT($A127,LEN(A127)-1)*1,Master!$D$30:$G$229,4,FALSE)</f>
        <v>Otplata obaveza iz prethodnog perioda</v>
      </c>
      <c r="C127" s="554"/>
      <c r="D127" s="554"/>
      <c r="E127" s="554"/>
      <c r="F127" s="554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92">
        <v>27952555.199999999</v>
      </c>
      <c r="T127" s="443">
        <f t="shared" si="6"/>
        <v>0.42196994701326934</v>
      </c>
      <c r="U127" s="292"/>
      <c r="V127" s="487"/>
    </row>
    <row r="128" spans="1:22" ht="13.5" thickBot="1">
      <c r="A128" s="105" t="str">
        <f t="shared" si="10"/>
        <v>1005p</v>
      </c>
      <c r="B128" s="553" t="str">
        <f>+VLOOKUP(LEFT($A128,LEN(A128)-1)*1,Master!$D$30:$G$229,4,FALSE)</f>
        <v>Neto povećanje obaveza</v>
      </c>
      <c r="C128" s="554"/>
      <c r="D128" s="554"/>
      <c r="E128" s="554"/>
      <c r="F128" s="554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104">
        <f>SUM(G128:R128)</f>
        <v>0</v>
      </c>
      <c r="T128" s="440">
        <f t="shared" si="6"/>
        <v>0</v>
      </c>
      <c r="U128" s="292"/>
      <c r="V128" s="292"/>
    </row>
    <row r="129" spans="1:22" ht="13.5" thickBot="1">
      <c r="A129" s="106" t="str">
        <f t="shared" si="10"/>
        <v>1000p</v>
      </c>
      <c r="B129" s="555" t="str">
        <f>+VLOOKUP(LEFT($A129,LEN(A129)-1)*1,Master!$D$30:$G$226,4,FALSE)</f>
        <v>Suficit / deficit</v>
      </c>
      <c r="C129" s="556"/>
      <c r="D129" s="556"/>
      <c r="E129" s="556"/>
      <c r="F129" s="556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95">
        <f t="shared" ref="S129" si="11">+S86-S105</f>
        <v>-216312819.69499445</v>
      </c>
      <c r="T129" s="441">
        <f t="shared" si="6"/>
        <v>-3.2654441932731677</v>
      </c>
      <c r="U129" s="292"/>
      <c r="V129" s="292"/>
    </row>
    <row r="130" spans="1:22" ht="13.5" thickBot="1">
      <c r="A130" s="106" t="str">
        <f t="shared" si="10"/>
        <v>1001p</v>
      </c>
      <c r="B130" s="557" t="str">
        <f>+VLOOKUP(LEFT($A130,LEN(A130)-1)*1,Master!$D$30:$G$226,4,FALSE)</f>
        <v>Primarni suficit/deficit</v>
      </c>
      <c r="C130" s="558"/>
      <c r="D130" s="558"/>
      <c r="E130" s="558"/>
      <c r="F130" s="558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95">
        <f t="shared" ref="S130" si="12">+S129+S112</f>
        <v>-106285010.30499445</v>
      </c>
      <c r="T130" s="441">
        <f t="shared" si="6"/>
        <v>-1.604471571411235</v>
      </c>
      <c r="U130" s="292"/>
      <c r="V130" s="292"/>
    </row>
    <row r="131" spans="1:22">
      <c r="A131" s="106" t="str">
        <f t="shared" si="10"/>
        <v>46p</v>
      </c>
      <c r="B131" s="559" t="str">
        <f>+VLOOKUP(LEFT($A131,LEN(A131)-1)*1,Master!$D$30:$G$226,4,FALSE)</f>
        <v>Otplata dugova</v>
      </c>
      <c r="C131" s="560"/>
      <c r="D131" s="560"/>
      <c r="E131" s="560"/>
      <c r="F131" s="560"/>
      <c r="G131" s="74"/>
      <c r="H131" s="74"/>
      <c r="I131" s="74"/>
      <c r="J131" s="74"/>
      <c r="K131" s="74"/>
      <c r="L131" s="74"/>
      <c r="M131" s="455"/>
      <c r="N131" s="74"/>
      <c r="O131" s="74"/>
      <c r="P131" s="74"/>
      <c r="Q131" s="74"/>
      <c r="R131" s="74"/>
      <c r="S131" s="93">
        <f t="shared" ref="S131" si="13">+SUM(S132:S133)</f>
        <v>338085896.69</v>
      </c>
      <c r="T131" s="442">
        <f t="shared" si="6"/>
        <v>5.1037226075207949</v>
      </c>
      <c r="U131" s="292"/>
      <c r="V131" s="292"/>
    </row>
    <row r="132" spans="1:22">
      <c r="A132" s="106" t="str">
        <f t="shared" si="10"/>
        <v>4611p</v>
      </c>
      <c r="B132" s="551" t="str">
        <f>+VLOOKUP(LEFT($A132,LEN(A132)-1)*1,Master!$D$30:$G$226,4,FALSE)</f>
        <v>Otplata hartija od vrijednosti i kredita rezidentima</v>
      </c>
      <c r="C132" s="552"/>
      <c r="D132" s="552"/>
      <c r="E132" s="552"/>
      <c r="F132" s="552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92">
        <v>96555896.689999998</v>
      </c>
      <c r="T132" s="443">
        <f t="shared" si="6"/>
        <v>1.4576015079329137</v>
      </c>
      <c r="U132" s="292"/>
      <c r="V132" s="292"/>
    </row>
    <row r="133" spans="1:22" ht="13.5" thickBot="1">
      <c r="A133" s="106" t="str">
        <f t="shared" si="10"/>
        <v>4612p</v>
      </c>
      <c r="B133" s="553" t="str">
        <f>+VLOOKUP(LEFT($A133,LEN(A133)-1)*1,Master!$D$30:$G$226,4,FALSE)</f>
        <v>Otplata hartija od vrijednosti i kredita nerezidentima</v>
      </c>
      <c r="C133" s="554"/>
      <c r="D133" s="554"/>
      <c r="E133" s="554"/>
      <c r="F133" s="554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92">
        <v>241530000</v>
      </c>
      <c r="T133" s="443">
        <f t="shared" si="6"/>
        <v>3.646121099587881</v>
      </c>
      <c r="U133" s="292"/>
      <c r="V133" s="292"/>
    </row>
    <row r="134" spans="1:22" ht="13.5" thickBot="1">
      <c r="A134" s="106" t="str">
        <f t="shared" si="10"/>
        <v>4418p</v>
      </c>
      <c r="B134" s="547" t="str">
        <f>+VLOOKUP(LEFT($A134,LEN(A134)-1)*1,Master!$D$30:$G$226,4,FALSE)</f>
        <v>Izdaci za kupovinu hartija od vrijednosti</v>
      </c>
      <c r="C134" s="548"/>
      <c r="D134" s="548"/>
      <c r="E134" s="548"/>
      <c r="F134" s="548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420">
        <v>779001</v>
      </c>
      <c r="T134" s="450">
        <f t="shared" si="6"/>
        <v>1.1759748199809791E-2</v>
      </c>
      <c r="U134" s="292"/>
      <c r="V134" s="292"/>
    </row>
    <row r="135" spans="1:22" ht="13.5" thickBot="1">
      <c r="A135" s="106" t="s">
        <v>856</v>
      </c>
      <c r="B135" s="547" t="s">
        <v>341</v>
      </c>
      <c r="C135" s="548"/>
      <c r="D135" s="548"/>
      <c r="E135" s="548"/>
      <c r="F135" s="548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420">
        <v>4524007</v>
      </c>
      <c r="T135" s="450">
        <f t="shared" si="6"/>
        <v>6.8294114095074188E-2</v>
      </c>
      <c r="U135" s="292"/>
      <c r="V135" s="292"/>
    </row>
    <row r="136" spans="1:22" ht="13.5" thickBot="1">
      <c r="A136" s="106" t="str">
        <f>+CONCATENATE(A60,"p")</f>
        <v>1002p</v>
      </c>
      <c r="B136" s="549" t="str">
        <f>+VLOOKUP(LEFT($A136,LEN(A136)-1)*1,Master!$D$30:$G$226,4,FALSE)</f>
        <v>Nedostajuća sredstva</v>
      </c>
      <c r="C136" s="550"/>
      <c r="D136" s="550"/>
      <c r="E136" s="550"/>
      <c r="F136" s="550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98">
        <f t="shared" ref="S136" si="14">+S129-S131-S134-S135</f>
        <v>-559701724.38499451</v>
      </c>
      <c r="T136" s="445">
        <f t="shared" si="6"/>
        <v>-8.4492206630888465</v>
      </c>
      <c r="U136" s="292"/>
      <c r="V136" s="292"/>
    </row>
    <row r="137" spans="1:22" ht="13.5" thickBot="1">
      <c r="A137" s="106" t="str">
        <f>+CONCATENATE(A61,"p")</f>
        <v>1003p</v>
      </c>
      <c r="B137" s="547" t="str">
        <f>+VLOOKUP(LEFT($A137,LEN(A137)-1)*1,Master!$D$30:$G$226,4,FALSE)</f>
        <v>Finansiranje</v>
      </c>
      <c r="C137" s="548"/>
      <c r="D137" s="548"/>
      <c r="E137" s="548"/>
      <c r="F137" s="548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99">
        <f t="shared" ref="S137" si="15">+SUM(S138:S142)</f>
        <v>559701724.38499451</v>
      </c>
      <c r="T137" s="446">
        <f t="shared" si="6"/>
        <v>8.4492206630888465</v>
      </c>
      <c r="U137" s="292"/>
      <c r="V137" s="292"/>
    </row>
    <row r="138" spans="1:22">
      <c r="A138" s="106" t="str">
        <f>+CONCATENATE(A62,"p")</f>
        <v>7511p</v>
      </c>
      <c r="B138" s="551" t="str">
        <f>+VLOOKUP(LEFT($A138,LEN(A138)-1)*1,Master!$D$30:$G$226,4,FALSE)</f>
        <v>Pozajmice i krediti od domaćih izvora</v>
      </c>
      <c r="C138" s="552"/>
      <c r="D138" s="552"/>
      <c r="E138" s="552"/>
      <c r="F138" s="552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92">
        <v>100000000</v>
      </c>
      <c r="T138" s="443">
        <f t="shared" si="6"/>
        <v>1.5095934664794772</v>
      </c>
      <c r="U138" s="292"/>
      <c r="V138" s="292"/>
    </row>
    <row r="139" spans="1:22">
      <c r="A139" s="106" t="str">
        <f>+CONCATENATE(A63,"p")</f>
        <v>7512p</v>
      </c>
      <c r="B139" s="553" t="str">
        <f>+VLOOKUP(LEFT($A139,LEN(A139)-1)*1,Master!$D$30:$G$226,4,FALSE)</f>
        <v>Pozajmice i krediti od inostranih izvora</v>
      </c>
      <c r="C139" s="554"/>
      <c r="D139" s="554"/>
      <c r="E139" s="554"/>
      <c r="F139" s="554"/>
      <c r="G139" s="85"/>
      <c r="H139" s="85"/>
      <c r="I139" s="85"/>
      <c r="J139" s="85"/>
      <c r="K139" s="85"/>
      <c r="L139" s="85"/>
      <c r="M139" s="85"/>
      <c r="N139" s="85"/>
      <c r="O139" s="488"/>
      <c r="P139" s="85"/>
      <c r="Q139" s="85"/>
      <c r="R139" s="85"/>
      <c r="S139" s="92">
        <v>400953820.38499451</v>
      </c>
      <c r="T139" s="443">
        <f t="shared" si="6"/>
        <v>6.0527726761317346</v>
      </c>
      <c r="U139" s="292"/>
      <c r="V139" s="292"/>
    </row>
    <row r="140" spans="1:22">
      <c r="A140" s="106" t="str">
        <f>+CONCATENATE(A64,"p")</f>
        <v>72p</v>
      </c>
      <c r="B140" s="553" t="str">
        <f>+VLOOKUP(LEFT($A140,LEN(A140)-1)*1,Master!$D$30:$G$226,4,FALSE)</f>
        <v>Primici od prodaje imovine</v>
      </c>
      <c r="C140" s="554"/>
      <c r="D140" s="554"/>
      <c r="E140" s="554"/>
      <c r="F140" s="554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92">
        <v>6000000</v>
      </c>
      <c r="T140" s="443">
        <f t="shared" si="6"/>
        <v>9.0575607988768625E-2</v>
      </c>
      <c r="U140" s="292"/>
      <c r="V140" s="292"/>
    </row>
    <row r="141" spans="1:22">
      <c r="A141" s="106" t="s">
        <v>855</v>
      </c>
      <c r="B141" s="490" t="s">
        <v>100</v>
      </c>
      <c r="C141" s="491"/>
      <c r="D141" s="491"/>
      <c r="E141" s="491"/>
      <c r="F141" s="491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92">
        <v>9747904</v>
      </c>
      <c r="T141" s="443">
        <f t="shared" si="6"/>
        <v>0.1471537219026916</v>
      </c>
      <c r="U141" s="292"/>
      <c r="V141" s="292"/>
    </row>
    <row r="142" spans="1:22" ht="13.5" thickBot="1">
      <c r="A142" s="106" t="str">
        <f t="shared" ref="A142" si="16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94">
        <f t="shared" ref="S142" si="17">-S136-SUM(S138:S141)</f>
        <v>43000000</v>
      </c>
      <c r="T142" s="447">
        <f t="shared" si="6"/>
        <v>0.64912519058617513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Xn59BEnjhta2pmff51kwzvdRatUB2LCqARyteA0bWPXV5YV2IFshWQvZ8GJ09jWKX7AojcPOqAyoOxBGQNA4OQ==" saltValue="iuCeJ1HnzVjvOmw7BlMAkg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workbookViewId="0"/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0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8"/>
      <c r="M2" s="113"/>
      <c r="N2" s="113"/>
      <c r="O2" s="113"/>
      <c r="P2" s="113"/>
      <c r="Q2" s="113"/>
      <c r="R2" s="113"/>
      <c r="S2" s="113"/>
      <c r="T2" s="113"/>
      <c r="U2" s="470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0"/>
    </row>
    <row r="4" spans="1:23" s="1" customFormat="1" ht="15">
      <c r="A4" s="216"/>
      <c r="B4" s="468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8"/>
      <c r="T4" s="334"/>
      <c r="U4" s="470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0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27" t="str">
        <f>+Master!G252</f>
        <v>Ostvarenje budžeta</v>
      </c>
      <c r="C7" s="528"/>
      <c r="D7" s="528"/>
      <c r="E7" s="528"/>
      <c r="F7" s="528"/>
      <c r="G7" s="536">
        <v>2022</v>
      </c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40"/>
      <c r="S7" s="220" t="str">
        <f>+Master!G249</f>
        <v>BDP</v>
      </c>
      <c r="T7" s="221">
        <v>5796761000</v>
      </c>
    </row>
    <row r="8" spans="1:23" ht="16.5" customHeight="1">
      <c r="A8" s="129"/>
      <c r="B8" s="529"/>
      <c r="C8" s="530"/>
      <c r="D8" s="530"/>
      <c r="E8" s="530"/>
      <c r="F8" s="531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6" t="str">
        <f>+Master!G247</f>
        <v>Jan - Dec</v>
      </c>
      <c r="T8" s="540"/>
    </row>
    <row r="9" spans="1:23" ht="13.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07" t="str">
        <f>+VLOOKUP($A10,Master!$D$30:$G$226,4,FALSE)</f>
        <v>Prihodi budžeta</v>
      </c>
      <c r="C10" s="508"/>
      <c r="D10" s="508"/>
      <c r="E10" s="508"/>
      <c r="F10" s="508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3">
        <f>+S10/$T$7*100</f>
        <v>34.422801599893454</v>
      </c>
      <c r="V10" s="292"/>
    </row>
    <row r="11" spans="1:23">
      <c r="A11" s="135">
        <v>711</v>
      </c>
      <c r="B11" s="497" t="str">
        <f>+VLOOKUP($A11,Master!$D$30:$G$226,4,FALSE)</f>
        <v>Porezi</v>
      </c>
      <c r="C11" s="498"/>
      <c r="D11" s="498"/>
      <c r="E11" s="498"/>
      <c r="F11" s="498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4">
        <f t="shared" ref="T11:T66" si="3">+S11/$T$7*100</f>
        <v>23.825946169076147</v>
      </c>
      <c r="V11" s="292"/>
    </row>
    <row r="12" spans="1:23">
      <c r="A12" s="135">
        <v>7111</v>
      </c>
      <c r="B12" s="499" t="str">
        <f>+VLOOKUP($A12,Master!$D$30:$G$226,4,FALSE)</f>
        <v>Porez na dohodak fizičkih lica</v>
      </c>
      <c r="C12" s="500"/>
      <c r="D12" s="500"/>
      <c r="E12" s="500"/>
      <c r="F12" s="500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5">
        <f t="shared" si="3"/>
        <v>1.4325415538091015</v>
      </c>
      <c r="V12" s="292"/>
    </row>
    <row r="13" spans="1:23">
      <c r="A13" s="135">
        <v>7112</v>
      </c>
      <c r="B13" s="499" t="str">
        <f>+VLOOKUP($A13,Master!$D$30:$G$226,4,FALSE)</f>
        <v>Porez na dobit pravnih lica</v>
      </c>
      <c r="C13" s="500"/>
      <c r="D13" s="500"/>
      <c r="E13" s="500"/>
      <c r="F13" s="500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5">
        <f t="shared" si="3"/>
        <v>1.5555093466851573</v>
      </c>
      <c r="V13" s="292"/>
    </row>
    <row r="14" spans="1:23">
      <c r="A14" s="135">
        <v>7113</v>
      </c>
      <c r="B14" s="499" t="str">
        <f>+VLOOKUP($A14,Master!$D$30:$G$226,4,FALSE)</f>
        <v>Porez na promet nepokretnosti</v>
      </c>
      <c r="C14" s="500"/>
      <c r="D14" s="500"/>
      <c r="E14" s="500"/>
      <c r="F14" s="500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5">
        <f t="shared" si="3"/>
        <v>2.5558096495611946E-2</v>
      </c>
      <c r="V14" s="292"/>
    </row>
    <row r="15" spans="1:23">
      <c r="A15" s="135">
        <v>7114</v>
      </c>
      <c r="B15" s="499" t="str">
        <f>+VLOOKUP($A15,Master!$D$30:$G$226,4,FALSE)</f>
        <v>Porez na dodatu vrijednost</v>
      </c>
      <c r="C15" s="500"/>
      <c r="D15" s="500"/>
      <c r="E15" s="500"/>
      <c r="F15" s="500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5">
        <f t="shared" si="3"/>
        <v>15.66473249906284</v>
      </c>
      <c r="V15" s="292"/>
    </row>
    <row r="16" spans="1:23">
      <c r="A16" s="135">
        <v>7115</v>
      </c>
      <c r="B16" s="499" t="str">
        <f>+VLOOKUP($A16,Master!$D$30:$G$226,4,FALSE)</f>
        <v>Akcize</v>
      </c>
      <c r="C16" s="500"/>
      <c r="D16" s="500"/>
      <c r="E16" s="500"/>
      <c r="F16" s="500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5">
        <f t="shared" si="3"/>
        <v>4.2415516487569533</v>
      </c>
      <c r="V16" s="292"/>
      <c r="W16" s="292"/>
    </row>
    <row r="17" spans="1:22">
      <c r="A17" s="135">
        <v>7116</v>
      </c>
      <c r="B17" s="499" t="str">
        <f>+VLOOKUP($A17,Master!$D$30:$G$226,4,FALSE)</f>
        <v>Porez na međunarodnu trgovinu i transakcije</v>
      </c>
      <c r="C17" s="500"/>
      <c r="D17" s="500"/>
      <c r="E17" s="500"/>
      <c r="F17" s="500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5">
        <f t="shared" si="3"/>
        <v>0.69417203210551548</v>
      </c>
      <c r="V17" s="292"/>
    </row>
    <row r="18" spans="1:22">
      <c r="A18" s="135">
        <v>7118</v>
      </c>
      <c r="B18" s="499" t="str">
        <f>+VLOOKUP($A18,Master!$D$30:$G$226,4,FALSE)</f>
        <v>Ostali državni porezi</v>
      </c>
      <c r="C18" s="500"/>
      <c r="D18" s="500"/>
      <c r="E18" s="500"/>
      <c r="F18" s="500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5">
        <f t="shared" si="3"/>
        <v>0.21188099216096715</v>
      </c>
      <c r="V18" s="292"/>
    </row>
    <row r="19" spans="1:22">
      <c r="A19" s="135">
        <v>712</v>
      </c>
      <c r="B19" s="501" t="str">
        <f>+VLOOKUP($A19,Master!$D$30:$G$226,4,FALSE)</f>
        <v>Doprinosi</v>
      </c>
      <c r="C19" s="502"/>
      <c r="D19" s="502"/>
      <c r="E19" s="502"/>
      <c r="F19" s="502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6">
        <f t="shared" si="3"/>
        <v>7.9837178777941675</v>
      </c>
      <c r="V19" s="292"/>
    </row>
    <row r="20" spans="1:22">
      <c r="A20" s="135">
        <v>7121</v>
      </c>
      <c r="B20" s="499" t="str">
        <f>+VLOOKUP($A20,Master!$D$30:$G$226,4,FALSE)</f>
        <v>Doprinosi za penzijsko i invalidsko osiguranje</v>
      </c>
      <c r="C20" s="500"/>
      <c r="D20" s="500"/>
      <c r="E20" s="500"/>
      <c r="F20" s="500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5">
        <f t="shared" si="3"/>
        <v>7.0021047479790877</v>
      </c>
      <c r="V20" s="292"/>
    </row>
    <row r="21" spans="1:22">
      <c r="A21" s="135">
        <v>7122</v>
      </c>
      <c r="B21" s="499" t="str">
        <f>+VLOOKUP($A21,Master!$D$30:$G$226,4,FALSE)</f>
        <v>Doprinosi za zdravstveno osiguranje</v>
      </c>
      <c r="C21" s="500"/>
      <c r="D21" s="500"/>
      <c r="E21" s="500"/>
      <c r="F21" s="500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5">
        <f t="shared" si="3"/>
        <v>0.43222723741758545</v>
      </c>
      <c r="V21" s="292"/>
    </row>
    <row r="22" spans="1:22">
      <c r="A22" s="135">
        <v>7123</v>
      </c>
      <c r="B22" s="499" t="str">
        <f>+VLOOKUP($A22,Master!$D$30:$G$226,4,FALSE)</f>
        <v>Doprinosi za osiguranje od nezaposlenosti</v>
      </c>
      <c r="C22" s="500"/>
      <c r="D22" s="500"/>
      <c r="E22" s="500"/>
      <c r="F22" s="500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5">
        <f t="shared" si="3"/>
        <v>0.31733459840762801</v>
      </c>
      <c r="V22" s="292"/>
    </row>
    <row r="23" spans="1:22">
      <c r="A23" s="135">
        <v>7124</v>
      </c>
      <c r="B23" s="499" t="str">
        <f>+VLOOKUP($A23,Master!$D$30:$G$226,4,FALSE)</f>
        <v>Ostali doprinosi</v>
      </c>
      <c r="C23" s="500"/>
      <c r="D23" s="500"/>
      <c r="E23" s="500"/>
      <c r="F23" s="500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5">
        <f t="shared" si="3"/>
        <v>0.23205129398986782</v>
      </c>
      <c r="V23" s="292"/>
    </row>
    <row r="24" spans="1:22">
      <c r="A24" s="135">
        <v>713</v>
      </c>
      <c r="B24" s="501" t="str">
        <f>+VLOOKUP($A24,Master!$D$30:$G$226,4,FALSE)</f>
        <v>Takse</v>
      </c>
      <c r="C24" s="502"/>
      <c r="D24" s="502"/>
      <c r="E24" s="502"/>
      <c r="F24" s="502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6">
        <f t="shared" si="3"/>
        <v>0.25480380198528113</v>
      </c>
      <c r="V24" s="292"/>
    </row>
    <row r="25" spans="1:22">
      <c r="A25" s="135">
        <v>714</v>
      </c>
      <c r="B25" s="501" t="str">
        <f>+VLOOKUP($A25,Master!$D$30:$G$226,4,FALSE)</f>
        <v>Naknade</v>
      </c>
      <c r="C25" s="502"/>
      <c r="D25" s="502"/>
      <c r="E25" s="502"/>
      <c r="F25" s="502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6">
        <f t="shared" si="3"/>
        <v>1.2550159820285844</v>
      </c>
      <c r="V25" s="292"/>
    </row>
    <row r="26" spans="1:22">
      <c r="A26" s="135">
        <v>715</v>
      </c>
      <c r="B26" s="501" t="str">
        <f>+VLOOKUP($A26,Master!$D$30:$G$226,4,FALSE)</f>
        <v>Ostali prihodi</v>
      </c>
      <c r="C26" s="502"/>
      <c r="D26" s="502"/>
      <c r="E26" s="502"/>
      <c r="F26" s="502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6">
        <f t="shared" si="3"/>
        <v>0.51003462623351214</v>
      </c>
      <c r="V26" s="292"/>
    </row>
    <row r="27" spans="1:22">
      <c r="A27" s="135">
        <v>73</v>
      </c>
      <c r="B27" s="501" t="str">
        <f>+VLOOKUP($A27,Master!$D$30:$G$226,4,FALSE)</f>
        <v>Primici od otplate kredita i sredstva prenesena iz prethodne godine</v>
      </c>
      <c r="C27" s="502"/>
      <c r="D27" s="502"/>
      <c r="E27" s="502"/>
      <c r="F27" s="50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6">
        <f t="shared" si="3"/>
        <v>0</v>
      </c>
      <c r="V27" s="292"/>
    </row>
    <row r="28" spans="1:22" ht="13.5" thickBot="1">
      <c r="A28" s="135">
        <v>74</v>
      </c>
      <c r="B28" s="501" t="str">
        <f>+VLOOKUP($A28,Master!$D$30:$G$226,4,FALSE)</f>
        <v>Donacije i transferi</v>
      </c>
      <c r="C28" s="502"/>
      <c r="D28" s="502"/>
      <c r="E28" s="502"/>
      <c r="F28" s="502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7">
        <f t="shared" si="3"/>
        <v>0.59328314277576744</v>
      </c>
      <c r="V28" s="292"/>
    </row>
    <row r="29" spans="1:22" ht="13.5" thickBot="1">
      <c r="A29" s="135">
        <v>4</v>
      </c>
      <c r="B29" s="507" t="str">
        <f>+VLOOKUP($A29,Master!$D$30:$G$226,4,FALSE)</f>
        <v>Izdaci budžeta</v>
      </c>
      <c r="C29" s="508"/>
      <c r="D29" s="508"/>
      <c r="E29" s="508"/>
      <c r="F29" s="508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8">
        <f t="shared" si="3"/>
        <v>38.741772187951163</v>
      </c>
      <c r="V29" s="275"/>
    </row>
    <row r="30" spans="1:22">
      <c r="A30" s="135">
        <v>41</v>
      </c>
      <c r="B30" s="511" t="str">
        <f>+VLOOKUP($A30,Master!$D$30:$G$226,4,FALSE)</f>
        <v>Tekući izdaci</v>
      </c>
      <c r="C30" s="512"/>
      <c r="D30" s="512"/>
      <c r="E30" s="512"/>
      <c r="F30" s="512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6">
        <f t="shared" si="4"/>
        <v>923673941.22000003</v>
      </c>
      <c r="T30" s="434">
        <f t="shared" si="3"/>
        <v>15.934311268310012</v>
      </c>
      <c r="U30" s="471"/>
      <c r="V30" s="275"/>
    </row>
    <row r="31" spans="1:22">
      <c r="A31" s="135">
        <v>411</v>
      </c>
      <c r="B31" s="499" t="str">
        <f>+VLOOKUP($A31,Master!$D$30:$G$226,4,FALSE)</f>
        <v>Bruto zarade i doprinosi na teret poslodavca</v>
      </c>
      <c r="C31" s="500"/>
      <c r="D31" s="500"/>
      <c r="E31" s="500"/>
      <c r="F31" s="500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5">
        <f t="shared" si="3"/>
        <v>9.3582524468405719</v>
      </c>
      <c r="U31" s="471"/>
      <c r="V31" s="275"/>
    </row>
    <row r="32" spans="1:22">
      <c r="A32" s="135">
        <v>412</v>
      </c>
      <c r="B32" s="499" t="str">
        <f>+VLOOKUP($A32,Master!$D$30:$G$226,4,FALSE)</f>
        <v>Ostala lična primanja</v>
      </c>
      <c r="C32" s="500"/>
      <c r="D32" s="500"/>
      <c r="E32" s="500"/>
      <c r="F32" s="500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5">
        <f t="shared" si="3"/>
        <v>0.32380132370473785</v>
      </c>
      <c r="U32" s="471"/>
      <c r="V32" s="275"/>
    </row>
    <row r="33" spans="1:24">
      <c r="A33" s="135">
        <v>413</v>
      </c>
      <c r="B33" s="499" t="str">
        <f>+VLOOKUP($A33,Master!$D$30:$G$226,4,FALSE)</f>
        <v>Rashodi za materijal</v>
      </c>
      <c r="C33" s="500"/>
      <c r="D33" s="500"/>
      <c r="E33" s="500"/>
      <c r="F33" s="500"/>
      <c r="G33" s="148">
        <v>140372.01</v>
      </c>
      <c r="H33" s="148">
        <v>3489117.82</v>
      </c>
      <c r="I33" s="148">
        <v>2614341.89</v>
      </c>
      <c r="J33" s="148">
        <v>2019169.66</v>
      </c>
      <c r="K33" s="485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5">
        <f t="shared" si="3"/>
        <v>0.63899192980355746</v>
      </c>
      <c r="U33" s="471"/>
      <c r="V33" s="275"/>
    </row>
    <row r="34" spans="1:24" s="333" customFormat="1">
      <c r="A34" s="332">
        <v>414</v>
      </c>
      <c r="B34" s="594" t="str">
        <f>+VLOOKUP($A34,Master!$D$30:$G$226,4,FALSE)</f>
        <v>Rashodi za usluge</v>
      </c>
      <c r="C34" s="595"/>
      <c r="D34" s="595"/>
      <c r="E34" s="595"/>
      <c r="F34" s="595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5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5">
        <f t="shared" si="3"/>
        <v>1.095409599947281</v>
      </c>
      <c r="U34" s="471"/>
      <c r="V34" s="275"/>
    </row>
    <row r="35" spans="1:24">
      <c r="A35" s="135">
        <v>415</v>
      </c>
      <c r="B35" s="499" t="str">
        <f>+VLOOKUP($A35,Master!$D$30:$G$226,4,FALSE)</f>
        <v>Rashodi za tekuće održavanje</v>
      </c>
      <c r="C35" s="500"/>
      <c r="D35" s="500"/>
      <c r="E35" s="500"/>
      <c r="F35" s="500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5">
        <f t="shared" si="3"/>
        <v>0.47112888369901745</v>
      </c>
      <c r="U35" s="471"/>
      <c r="V35" s="275"/>
    </row>
    <row r="36" spans="1:24">
      <c r="A36" s="135">
        <v>416</v>
      </c>
      <c r="B36" s="499" t="str">
        <f>+VLOOKUP($A36,Master!$D$30:$G$226,4,FALSE)</f>
        <v>Kamate</v>
      </c>
      <c r="C36" s="500"/>
      <c r="D36" s="500"/>
      <c r="E36" s="500"/>
      <c r="F36" s="500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5">
        <f t="shared" si="3"/>
        <v>1.5863334696738403</v>
      </c>
      <c r="U36" s="471"/>
      <c r="V36" s="275"/>
    </row>
    <row r="37" spans="1:24">
      <c r="A37" s="135">
        <v>417</v>
      </c>
      <c r="B37" s="499" t="str">
        <f>+VLOOKUP($A37,Master!$D$30:$G$226,4,FALSE)</f>
        <v>Renta</v>
      </c>
      <c r="C37" s="500"/>
      <c r="D37" s="500"/>
      <c r="E37" s="500"/>
      <c r="F37" s="500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5">
        <f t="shared" si="3"/>
        <v>0.20755038977801568</v>
      </c>
      <c r="U37" s="471"/>
      <c r="V37" s="275"/>
    </row>
    <row r="38" spans="1:24">
      <c r="A38" s="135">
        <v>418</v>
      </c>
      <c r="B38" s="499" t="str">
        <f>+VLOOKUP($A38,Master!$D$30:$G$226,4,FALSE)</f>
        <v>Subvencije</v>
      </c>
      <c r="C38" s="500"/>
      <c r="D38" s="500"/>
      <c r="E38" s="500"/>
      <c r="F38" s="500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5">
        <f t="shared" si="3"/>
        <v>1.1804838433049076</v>
      </c>
      <c r="U38" s="471"/>
      <c r="V38" s="275"/>
    </row>
    <row r="39" spans="1:24">
      <c r="A39" s="135">
        <v>419</v>
      </c>
      <c r="B39" s="499" t="str">
        <f>+VLOOKUP($A39,Master!$D$30:$G$226,4,FALSE)</f>
        <v>Ostali izdaci</v>
      </c>
      <c r="C39" s="500"/>
      <c r="D39" s="500"/>
      <c r="E39" s="500"/>
      <c r="F39" s="500"/>
      <c r="G39" s="148">
        <v>653504.72</v>
      </c>
      <c r="H39" s="148">
        <v>3021749.14</v>
      </c>
      <c r="I39" s="148">
        <v>3043153.13</v>
      </c>
      <c r="J39" s="148">
        <v>3024181.08</v>
      </c>
      <c r="K39" s="485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5">
        <f t="shared" si="3"/>
        <v>1.0723593815580805</v>
      </c>
      <c r="U39" s="471"/>
      <c r="V39" s="275"/>
    </row>
    <row r="40" spans="1:24">
      <c r="A40" s="135">
        <v>42</v>
      </c>
      <c r="B40" s="515" t="str">
        <f>+VLOOKUP($A40,Master!$D$30:$G$226,4,FALSE)</f>
        <v>Transferi za socijalnu zaštitu</v>
      </c>
      <c r="C40" s="516"/>
      <c r="D40" s="516"/>
      <c r="E40" s="516"/>
      <c r="F40" s="516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7">
        <f t="shared" si="4"/>
        <v>667285836.71000004</v>
      </c>
      <c r="T40" s="458">
        <f t="shared" si="3"/>
        <v>11.511356716449066</v>
      </c>
      <c r="U40" s="471"/>
      <c r="V40" s="275"/>
    </row>
    <row r="41" spans="1:24">
      <c r="A41" s="135">
        <v>421</v>
      </c>
      <c r="B41" s="499" t="str">
        <f>+VLOOKUP($A41,Master!$D$30:$G$226,4,FALSE)</f>
        <v>Prava iz oblasti socijalne zaštite</v>
      </c>
      <c r="C41" s="500"/>
      <c r="D41" s="500"/>
      <c r="E41" s="500"/>
      <c r="F41" s="500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5">
        <f t="shared" si="3"/>
        <v>2.3340028001844479</v>
      </c>
      <c r="U41" s="471"/>
      <c r="V41" s="275"/>
    </row>
    <row r="42" spans="1:24">
      <c r="A42" s="135">
        <v>422</v>
      </c>
      <c r="B42" s="499" t="str">
        <f>+VLOOKUP($A42,Master!$D$30:$G$226,4,FALSE)</f>
        <v>Sredstva za tehnološke viškove</v>
      </c>
      <c r="C42" s="500"/>
      <c r="D42" s="500"/>
      <c r="E42" s="500"/>
      <c r="F42" s="500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5">
        <f t="shared" si="3"/>
        <v>0.47821234151278619</v>
      </c>
      <c r="U42" s="471"/>
      <c r="V42" s="275"/>
    </row>
    <row r="43" spans="1:24">
      <c r="A43" s="135">
        <v>423</v>
      </c>
      <c r="B43" s="499" t="str">
        <f>+VLOOKUP($A43,Master!$D$30:$G$226,4,FALSE)</f>
        <v>Prava iz oblasti penzijskog i invalidskog osiguranja</v>
      </c>
      <c r="C43" s="500"/>
      <c r="D43" s="500"/>
      <c r="E43" s="500"/>
      <c r="F43" s="500"/>
      <c r="G43" s="148">
        <v>35149513.420000002</v>
      </c>
      <c r="H43" s="485">
        <v>36349865.18</v>
      </c>
      <c r="I43" s="485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5">
        <f t="shared" si="3"/>
        <v>8.1094360002077011</v>
      </c>
      <c r="U43" s="471"/>
      <c r="V43" s="275"/>
    </row>
    <row r="44" spans="1:24">
      <c r="A44" s="135">
        <v>424</v>
      </c>
      <c r="B44" s="499" t="str">
        <f>+VLOOKUP($A44,Master!$D$30:$G$226,4,FALSE)</f>
        <v>Ostala prava iz oblasti zdravstvene zaštite</v>
      </c>
      <c r="C44" s="500"/>
      <c r="D44" s="500"/>
      <c r="E44" s="500"/>
      <c r="F44" s="500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5">
        <f t="shared" si="3"/>
        <v>0.28883805404431889</v>
      </c>
      <c r="U44" s="471"/>
      <c r="V44" s="275"/>
    </row>
    <row r="45" spans="1:24" s="333" customFormat="1">
      <c r="A45" s="332">
        <v>425</v>
      </c>
      <c r="B45" s="590" t="str">
        <f>+VLOOKUP($A45,Master!$D$30:$G$226,4,FALSE)</f>
        <v>Ostala prava iz zdravstvenog osiguranja</v>
      </c>
      <c r="C45" s="591"/>
      <c r="D45" s="591"/>
      <c r="E45" s="591"/>
      <c r="F45" s="591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5">
        <f t="shared" si="3"/>
        <v>0.30086752049981008</v>
      </c>
      <c r="U45" s="471"/>
      <c r="V45" s="275"/>
    </row>
    <row r="46" spans="1:24">
      <c r="A46" s="135">
        <v>43</v>
      </c>
      <c r="B46" s="513" t="str">
        <f>+VLOOKUP($A46,Master!$D$30:$G$226,4,FALSE)</f>
        <v xml:space="preserve">Transferi institucijama, pojedincima, nevladinom i javnom sektoru </v>
      </c>
      <c r="C46" s="514"/>
      <c r="D46" s="514"/>
      <c r="E46" s="514"/>
      <c r="F46" s="514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6">
        <f t="shared" si="3"/>
        <v>6.098542063921558</v>
      </c>
      <c r="U46" s="471"/>
      <c r="V46" s="275"/>
    </row>
    <row r="47" spans="1:24">
      <c r="A47" s="135">
        <v>44</v>
      </c>
      <c r="B47" s="513" t="str">
        <f>+VLOOKUP($A47,Master!$D$30:$G$226,4,FALSE)</f>
        <v>Kapitalni izdaci</v>
      </c>
      <c r="C47" s="514"/>
      <c r="D47" s="514"/>
      <c r="E47" s="514"/>
      <c r="F47" s="514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6">
        <f t="shared" si="3"/>
        <v>4.1481420431168372</v>
      </c>
      <c r="U47" s="471"/>
      <c r="V47" s="275"/>
      <c r="W47" s="292"/>
      <c r="X47" s="292"/>
    </row>
    <row r="48" spans="1:24">
      <c r="A48" s="135">
        <v>451</v>
      </c>
      <c r="B48" s="592" t="str">
        <f>+VLOOKUP($A48,Master!$D$30:$G$226,4,FALSE)</f>
        <v>Pozajmice i krediti</v>
      </c>
      <c r="C48" s="593"/>
      <c r="D48" s="593"/>
      <c r="E48" s="593"/>
      <c r="F48" s="59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5">
        <f t="shared" si="3"/>
        <v>0</v>
      </c>
      <c r="U48" s="471"/>
      <c r="V48" s="275"/>
    </row>
    <row r="49" spans="1:22" s="333" customFormat="1">
      <c r="A49" s="332">
        <v>47</v>
      </c>
      <c r="B49" s="584" t="str">
        <f>+VLOOKUP($A49,Master!$D$30:$G$226,4,FALSE)</f>
        <v>Rezerve</v>
      </c>
      <c r="C49" s="585"/>
      <c r="D49" s="585"/>
      <c r="E49" s="585"/>
      <c r="F49" s="585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5">
        <f t="shared" si="3"/>
        <v>0.43051161243321917</v>
      </c>
      <c r="U49" s="471"/>
      <c r="V49" s="275"/>
    </row>
    <row r="50" spans="1:22" ht="13.5" thickBot="1">
      <c r="A50" s="135">
        <v>462</v>
      </c>
      <c r="B50" s="519" t="str">
        <f>+VLOOKUP($A50,Master!$D$30:$G$226,4,FALSE)</f>
        <v>Otplata garancija</v>
      </c>
      <c r="C50" s="520"/>
      <c r="D50" s="520"/>
      <c r="E50" s="520"/>
      <c r="F50" s="520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5">
        <f t="shared" si="3"/>
        <v>8.6255065544361756E-3</v>
      </c>
      <c r="U50" s="471"/>
      <c r="V50" s="275"/>
    </row>
    <row r="51" spans="1:22" ht="13.5" thickBot="1">
      <c r="A51" s="129">
        <v>4630</v>
      </c>
      <c r="B51" s="586" t="str">
        <f>+VLOOKUP($A51,Master!$D$30:$G$226,4,TRUE)</f>
        <v>Otplata obaveza iz prethodnog perioda</v>
      </c>
      <c r="C51" s="587"/>
      <c r="D51" s="587"/>
      <c r="E51" s="587"/>
      <c r="F51" s="587"/>
      <c r="G51" s="429">
        <v>17529055.329999998</v>
      </c>
      <c r="H51" s="429">
        <v>3946389.9</v>
      </c>
      <c r="I51" s="429">
        <v>2323374.4</v>
      </c>
      <c r="J51" s="429">
        <v>1211074.6399999999</v>
      </c>
      <c r="K51" s="429">
        <v>1145121.3300000003</v>
      </c>
      <c r="L51" s="429">
        <v>1002974.65</v>
      </c>
      <c r="M51" s="429">
        <v>2058810.46</v>
      </c>
      <c r="N51" s="429">
        <v>791334.30999999994</v>
      </c>
      <c r="O51" s="429">
        <v>1107049.1300000001</v>
      </c>
      <c r="P51" s="429">
        <v>847453.94</v>
      </c>
      <c r="Q51" s="429">
        <v>1242288.18</v>
      </c>
      <c r="R51" s="429">
        <v>2171719.34</v>
      </c>
      <c r="S51" s="397">
        <f>+SUM(G51:R51)</f>
        <v>35376645.609999999</v>
      </c>
      <c r="T51" s="439">
        <f t="shared" si="3"/>
        <v>0.61028297716604152</v>
      </c>
      <c r="U51" s="471"/>
      <c r="V51" s="275"/>
    </row>
    <row r="52" spans="1:22" ht="13.5" thickBot="1">
      <c r="A52" s="61">
        <v>1005</v>
      </c>
      <c r="B52" s="588" t="str">
        <f>+VLOOKUP($A52,Master!$D$30:$G$228,4,FALSE)</f>
        <v>Neto povećanje obaveza</v>
      </c>
      <c r="C52" s="589"/>
      <c r="D52" s="589"/>
      <c r="E52" s="589"/>
      <c r="F52" s="589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5">
        <v>0</v>
      </c>
      <c r="S52" s="104">
        <f>+SUM(G52:R52)</f>
        <v>0</v>
      </c>
      <c r="T52" s="440">
        <f t="shared" si="3"/>
        <v>0</v>
      </c>
      <c r="V52" s="275"/>
    </row>
    <row r="53" spans="1:22" ht="13.5" thickBot="1">
      <c r="A53" s="129">
        <v>1000</v>
      </c>
      <c r="B53" s="521" t="str">
        <f>+VLOOKUP($A53,Master!$D$30:$G$226,4,FALSE)</f>
        <v>Suficit / deficit</v>
      </c>
      <c r="C53" s="522"/>
      <c r="D53" s="522"/>
      <c r="E53" s="522"/>
      <c r="F53" s="522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1">
        <f t="shared" si="3"/>
        <v>-4.3189705880577103</v>
      </c>
      <c r="V53" s="275"/>
    </row>
    <row r="54" spans="1:22" ht="13.5" thickBot="1">
      <c r="A54" s="129">
        <v>1001</v>
      </c>
      <c r="B54" s="523" t="str">
        <f>+VLOOKUP($A54,Master!$D$30:$G$226,4,FALSE)</f>
        <v>Primarni suficit/deficit</v>
      </c>
      <c r="C54" s="524"/>
      <c r="D54" s="524"/>
      <c r="E54" s="524"/>
      <c r="F54" s="524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1">
        <f t="shared" si="3"/>
        <v>-2.7326371183838698</v>
      </c>
      <c r="V54" s="275"/>
    </row>
    <row r="55" spans="1:22">
      <c r="A55" s="129">
        <v>46</v>
      </c>
      <c r="B55" s="545" t="str">
        <f>+VLOOKUP($A55,Master!$D$30:$G$226,4,FALSE)</f>
        <v>Otplata dugova</v>
      </c>
      <c r="C55" s="546"/>
      <c r="D55" s="546"/>
      <c r="E55" s="546"/>
      <c r="F55" s="546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2">
        <f t="shared" si="3"/>
        <v>5.0299933562898316</v>
      </c>
      <c r="V55" s="275"/>
    </row>
    <row r="56" spans="1:22">
      <c r="A56" s="129">
        <v>4611</v>
      </c>
      <c r="B56" s="541" t="str">
        <f>+VLOOKUP($A56,Master!$D$30:$G$226,4,FALSE)</f>
        <v>Otplata hartija od vrijednosti i kredita rezidentima</v>
      </c>
      <c r="C56" s="542"/>
      <c r="D56" s="542"/>
      <c r="E56" s="542"/>
      <c r="F56" s="542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3">
        <f t="shared" si="3"/>
        <v>0.69906907892183234</v>
      </c>
      <c r="V56" s="275"/>
    </row>
    <row r="57" spans="1:22" ht="13.5" thickBot="1">
      <c r="A57" s="129">
        <v>4612</v>
      </c>
      <c r="B57" s="517" t="str">
        <f>+VLOOKUP($A57,Master!$D$30:$G$226,4,FALSE)</f>
        <v>Otplata hartija od vrijednosti i kredita nerezidentima</v>
      </c>
      <c r="C57" s="518"/>
      <c r="D57" s="518"/>
      <c r="E57" s="518"/>
      <c r="F57" s="518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3">
        <f t="shared" si="3"/>
        <v>4.3309242773679983</v>
      </c>
      <c r="V57" s="275"/>
    </row>
    <row r="58" spans="1:22" ht="13.5" thickBot="1">
      <c r="A58" s="129">
        <v>4418</v>
      </c>
      <c r="B58" s="509" t="str">
        <f>+VLOOKUP($A58,Master!$D$30:$G$226,4,FALSE)</f>
        <v>Izdaci za kupovinu hartija od vrijednosti</v>
      </c>
      <c r="C58" s="510"/>
      <c r="D58" s="510"/>
      <c r="E58" s="510"/>
      <c r="F58" s="510"/>
      <c r="G58" s="431">
        <v>0</v>
      </c>
      <c r="H58" s="431">
        <v>0</v>
      </c>
      <c r="I58" s="431">
        <v>0</v>
      </c>
      <c r="J58" s="431">
        <v>0</v>
      </c>
      <c r="K58" s="431">
        <v>0</v>
      </c>
      <c r="L58" s="431">
        <v>0</v>
      </c>
      <c r="M58" s="431">
        <v>0</v>
      </c>
      <c r="N58" s="431">
        <v>0</v>
      </c>
      <c r="O58" s="431">
        <v>14999998.93</v>
      </c>
      <c r="P58" s="431">
        <v>0</v>
      </c>
      <c r="Q58" s="431">
        <v>572321.46</v>
      </c>
      <c r="R58" s="431">
        <v>12120441.43</v>
      </c>
      <c r="S58" s="234">
        <f>SUM(G58:R58)</f>
        <v>27692761.82</v>
      </c>
      <c r="T58" s="444">
        <f t="shared" si="3"/>
        <v>0.47772819717769976</v>
      </c>
      <c r="V58" s="275"/>
    </row>
    <row r="59" spans="1:22" ht="13.5" thickBot="1">
      <c r="A59" s="135">
        <v>451</v>
      </c>
      <c r="B59" s="509" t="str">
        <f>+VLOOKUP($A59,Master!$D$30:$G$226,4,FALSE)</f>
        <v>Pozajmice i krediti</v>
      </c>
      <c r="C59" s="510"/>
      <c r="D59" s="510"/>
      <c r="E59" s="510"/>
      <c r="F59" s="510"/>
      <c r="G59" s="431">
        <v>5063275.62</v>
      </c>
      <c r="H59" s="431">
        <v>1133077.69</v>
      </c>
      <c r="I59" s="431">
        <v>130819.33</v>
      </c>
      <c r="J59" s="431">
        <v>464635.33</v>
      </c>
      <c r="K59" s="431">
        <v>722142.79</v>
      </c>
      <c r="L59" s="431">
        <v>956574.97</v>
      </c>
      <c r="M59" s="431">
        <v>271871.64</v>
      </c>
      <c r="N59" s="431">
        <v>12519446.189999999</v>
      </c>
      <c r="O59" s="431">
        <v>36205.230000000003</v>
      </c>
      <c r="P59" s="431">
        <v>1061879.26</v>
      </c>
      <c r="Q59" s="431">
        <v>245090.2</v>
      </c>
      <c r="R59" s="431">
        <v>516876.49</v>
      </c>
      <c r="S59" s="234">
        <f>SUM(G59:R59)</f>
        <v>23121894.740000002</v>
      </c>
      <c r="T59" s="444"/>
      <c r="V59" s="275"/>
    </row>
    <row r="60" spans="1:22" ht="13.5" thickBot="1">
      <c r="A60" s="129">
        <v>1002</v>
      </c>
      <c r="B60" s="543" t="str">
        <f>+VLOOKUP($A60,Master!$D$30:$G$226,4,FALSE)</f>
        <v>Nedostajuća sredstva</v>
      </c>
      <c r="C60" s="544"/>
      <c r="D60" s="544"/>
      <c r="E60" s="544"/>
      <c r="F60" s="544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5">
        <f t="shared" si="3"/>
        <v>-10.225568250786948</v>
      </c>
      <c r="V60" s="275"/>
    </row>
    <row r="61" spans="1:22" ht="13.5" thickBot="1">
      <c r="A61" s="129">
        <v>1003</v>
      </c>
      <c r="B61" s="507" t="str">
        <f>+VLOOKUP($A61,Master!$D$30:$G$226,4,FALSE)</f>
        <v>Finansiranje</v>
      </c>
      <c r="C61" s="508"/>
      <c r="D61" s="508"/>
      <c r="E61" s="508"/>
      <c r="F61" s="508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6">
        <f t="shared" si="3"/>
        <v>10.225568250786946</v>
      </c>
      <c r="V61" s="275"/>
    </row>
    <row r="62" spans="1:22">
      <c r="A62" s="129">
        <v>7511</v>
      </c>
      <c r="B62" s="541" t="str">
        <f>+VLOOKUP($A62,Master!$D$30:$G$226,4,FALSE)</f>
        <v>Pozajmice i krediti od domaćih izvora</v>
      </c>
      <c r="C62" s="542"/>
      <c r="D62" s="542"/>
      <c r="E62" s="542"/>
      <c r="F62" s="542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3">
        <f t="shared" si="3"/>
        <v>1.8113563764315967</v>
      </c>
      <c r="V62" s="275"/>
    </row>
    <row r="63" spans="1:22">
      <c r="A63" s="129">
        <v>7512</v>
      </c>
      <c r="B63" s="541" t="str">
        <f>+VLOOKUP($A63,Master!$D$30:$G$226,4,FALSE)</f>
        <v>Pozajmice i krediti od inostranih izvora</v>
      </c>
      <c r="C63" s="542"/>
      <c r="D63" s="542"/>
      <c r="E63" s="542"/>
      <c r="F63" s="542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3">
        <f t="shared" si="3"/>
        <v>1.9180942186507259</v>
      </c>
      <c r="V63" s="275"/>
    </row>
    <row r="64" spans="1:22">
      <c r="A64" s="129">
        <v>72</v>
      </c>
      <c r="B64" s="517" t="str">
        <f>+VLOOKUP($A64,Master!$D$30:$G$226,4,FALSE)</f>
        <v>Primici od prodaje imovine</v>
      </c>
      <c r="C64" s="518"/>
      <c r="D64" s="518"/>
      <c r="E64" s="518"/>
      <c r="F64" s="518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3">
        <f t="shared" si="3"/>
        <v>7.7895478181694913E-2</v>
      </c>
      <c r="V64" s="275"/>
    </row>
    <row r="65" spans="1:22">
      <c r="A65" s="129">
        <v>73</v>
      </c>
      <c r="B65" s="517" t="s">
        <v>101</v>
      </c>
      <c r="C65" s="518"/>
      <c r="D65" s="518"/>
      <c r="E65" s="518"/>
      <c r="F65" s="518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3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7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573" t="str">
        <f>+Master!G253</f>
        <v>Plan ostvarenja budžeta</v>
      </c>
      <c r="C83" s="574"/>
      <c r="D83" s="574"/>
      <c r="E83" s="574"/>
      <c r="F83" s="574"/>
      <c r="G83" s="581">
        <v>2022</v>
      </c>
      <c r="H83" s="582"/>
      <c r="I83" s="582"/>
      <c r="J83" s="582"/>
      <c r="K83" s="582"/>
      <c r="L83" s="582"/>
      <c r="M83" s="582"/>
      <c r="N83" s="582"/>
      <c r="O83" s="582"/>
      <c r="P83" s="582"/>
      <c r="Q83" s="582"/>
      <c r="R83" s="583"/>
      <c r="S83" s="96" t="str">
        <f>+S7</f>
        <v>BDP</v>
      </c>
      <c r="T83" s="97">
        <v>5700400000</v>
      </c>
    </row>
    <row r="84" spans="1:26" ht="15.75" customHeight="1">
      <c r="B84" s="575"/>
      <c r="C84" s="576"/>
      <c r="D84" s="576"/>
      <c r="E84" s="576"/>
      <c r="F84" s="577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581" t="str">
        <f>+Master!G247</f>
        <v>Jan - Dec</v>
      </c>
      <c r="T84" s="583">
        <f>+T8</f>
        <v>0</v>
      </c>
    </row>
    <row r="85" spans="1:26" ht="13.5" thickBot="1">
      <c r="B85" s="578"/>
      <c r="C85" s="579"/>
      <c r="D85" s="579"/>
      <c r="E85" s="579"/>
      <c r="F85" s="580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547" t="str">
        <f>+VLOOKUP(LEFT($A86,LEN(A86)-1)*1,Master!$D$30:$G$226,4,FALSE)</f>
        <v>Prihodi budžeta</v>
      </c>
      <c r="C86" s="548"/>
      <c r="D86" s="548"/>
      <c r="E86" s="548"/>
      <c r="F86" s="548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4">
        <f>+SUM(G86:R86)</f>
        <v>1931027140.8600001</v>
      </c>
      <c r="T86" s="448">
        <f>+S86/$T$83*100</f>
        <v>33.875291924426357</v>
      </c>
      <c r="U86" s="243"/>
    </row>
    <row r="87" spans="1:26">
      <c r="A87" s="105" t="str">
        <f t="shared" si="17"/>
        <v>711p</v>
      </c>
      <c r="B87" s="571" t="str">
        <f>+VLOOKUP(LEFT($A87,LEN(A87)-1)*1,Master!$D$30:$G$226,4,FALSE)</f>
        <v>Porezi</v>
      </c>
      <c r="C87" s="572"/>
      <c r="D87" s="572"/>
      <c r="E87" s="572"/>
      <c r="F87" s="572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4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563" t="str">
        <f>+VLOOKUP(LEFT($A88,LEN(A88)-1)*1,Master!$D$30:$G$229,4,FALSE)</f>
        <v>Porez na dohodak fizičkih lica</v>
      </c>
      <c r="C88" s="564"/>
      <c r="D88" s="564"/>
      <c r="E88" s="564"/>
      <c r="F88" s="564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5">
        <f t="shared" si="21"/>
        <v>1.6628638746403763</v>
      </c>
      <c r="V88" s="292"/>
    </row>
    <row r="89" spans="1:26">
      <c r="A89" s="105" t="str">
        <f t="shared" si="17"/>
        <v>7112p</v>
      </c>
      <c r="B89" s="563" t="str">
        <f>+VLOOKUP(LEFT($A89,LEN(A89)-1)*1,Master!$D$30:$G$229,4,FALSE)</f>
        <v>Porez na dobit pravnih lica</v>
      </c>
      <c r="C89" s="564"/>
      <c r="D89" s="564"/>
      <c r="E89" s="564"/>
      <c r="F89" s="564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5">
        <f t="shared" si="21"/>
        <v>1.4785690221738825</v>
      </c>
      <c r="V89" s="292"/>
    </row>
    <row r="90" spans="1:26">
      <c r="A90" s="105" t="str">
        <f t="shared" si="17"/>
        <v>7113p</v>
      </c>
      <c r="B90" s="563" t="str">
        <f>+VLOOKUP(LEFT($A90,LEN(A90)-1)*1,Master!$D$30:$G$229,4,FALSE)</f>
        <v>Porez na promet nepokretnosti</v>
      </c>
      <c r="C90" s="564"/>
      <c r="D90" s="564"/>
      <c r="E90" s="564"/>
      <c r="F90" s="564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5">
        <f t="shared" si="21"/>
        <v>2.5990563293803944E-2</v>
      </c>
      <c r="V90" s="292"/>
    </row>
    <row r="91" spans="1:26">
      <c r="A91" s="105" t="str">
        <f t="shared" si="17"/>
        <v>7114p</v>
      </c>
      <c r="B91" s="563" t="str">
        <f>+VLOOKUP(LEFT($A91,LEN(A91)-1)*1,Master!$D$30:$G$229,4,FALSE)</f>
        <v>Porez na dodatu vrijednost</v>
      </c>
      <c r="C91" s="564"/>
      <c r="D91" s="564"/>
      <c r="E91" s="564"/>
      <c r="F91" s="564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5">
        <f t="shared" si="21"/>
        <v>14.294050535927305</v>
      </c>
      <c r="V91" s="292"/>
    </row>
    <row r="92" spans="1:26">
      <c r="A92" s="105" t="str">
        <f t="shared" si="17"/>
        <v>7115p</v>
      </c>
      <c r="B92" s="563" t="str">
        <f>+VLOOKUP(LEFT($A92,LEN(A92)-1)*1,Master!$D$30:$G$229,4,FALSE)</f>
        <v>Akcize</v>
      </c>
      <c r="C92" s="564"/>
      <c r="D92" s="564"/>
      <c r="E92" s="564"/>
      <c r="F92" s="564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5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563" t="str">
        <f>+VLOOKUP(LEFT($A93,LEN(A93)-1)*1,Master!$D$30:$G$229,4,FALSE)</f>
        <v>Porez na međunarodnu trgovinu i transakcije</v>
      </c>
      <c r="C93" s="564"/>
      <c r="D93" s="564"/>
      <c r="E93" s="564"/>
      <c r="F93" s="564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5">
        <f t="shared" si="21"/>
        <v>0.52044508578345383</v>
      </c>
      <c r="V93" s="292"/>
    </row>
    <row r="94" spans="1:26">
      <c r="A94" s="105" t="str">
        <f t="shared" si="17"/>
        <v>7118p</v>
      </c>
      <c r="B94" s="563" t="str">
        <f>+VLOOKUP(LEFT($A94,LEN(A94)-1)*1,Master!$D$30:$G$229,4,FALSE)</f>
        <v>Ostali državni porezi</v>
      </c>
      <c r="C94" s="564"/>
      <c r="D94" s="564"/>
      <c r="E94" s="564"/>
      <c r="F94" s="564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5">
        <f t="shared" si="21"/>
        <v>0.2036292963651673</v>
      </c>
      <c r="V94" s="292"/>
    </row>
    <row r="95" spans="1:26">
      <c r="A95" s="105" t="str">
        <f t="shared" si="17"/>
        <v>712p</v>
      </c>
      <c r="B95" s="569" t="str">
        <f>+VLOOKUP(LEFT($A95,LEN(A95)-1)*1,Master!$D$30:$G$229,4,FALSE)</f>
        <v>Doprinosi</v>
      </c>
      <c r="C95" s="570"/>
      <c r="D95" s="570"/>
      <c r="E95" s="570"/>
      <c r="F95" s="570"/>
      <c r="G95" s="71">
        <f>+SUM(G96:G99)</f>
        <v>11731802.159999998</v>
      </c>
      <c r="H95" s="71">
        <f t="shared" ref="H95:R95" si="22">+SUM(H96:H99)</f>
        <v>34984293.990000002</v>
      </c>
      <c r="I95" s="451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6">
        <f t="shared" si="21"/>
        <v>8.3865217886464105</v>
      </c>
      <c r="V95" s="292"/>
    </row>
    <row r="96" spans="1:26">
      <c r="A96" s="105" t="str">
        <f t="shared" si="17"/>
        <v>7121p</v>
      </c>
      <c r="B96" s="563" t="str">
        <f>+VLOOKUP(LEFT($A96,LEN(A96)-1)*1,Master!$D$30:$G$229,4,FALSE)</f>
        <v>Doprinosi za penzijsko i invalidsko osiguranje</v>
      </c>
      <c r="C96" s="564"/>
      <c r="D96" s="564"/>
      <c r="E96" s="564"/>
      <c r="F96" s="564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5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563" t="str">
        <f>+VLOOKUP(LEFT($A97,LEN(A97)-1)*1,Master!$D$30:$G$229,4,FALSE)</f>
        <v>Doprinosi za zdravstveno osiguranje</v>
      </c>
      <c r="C97" s="564"/>
      <c r="D97" s="564"/>
      <c r="E97" s="564"/>
      <c r="F97" s="564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5">
        <f t="shared" si="21"/>
        <v>0.39427960774682491</v>
      </c>
      <c r="V97" s="292"/>
    </row>
    <row r="98" spans="1:23">
      <c r="A98" s="105" t="str">
        <f t="shared" si="17"/>
        <v>7123p</v>
      </c>
      <c r="B98" s="563" t="str">
        <f>+VLOOKUP(LEFT($A98,LEN(A98)-1)*1,Master!$D$30:$G$229,4,FALSE)</f>
        <v>Doprinosi za osiguranje od nezaposlenosti</v>
      </c>
      <c r="C98" s="564"/>
      <c r="D98" s="564"/>
      <c r="E98" s="564"/>
      <c r="F98" s="564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5">
        <f t="shared" si="21"/>
        <v>0.36231755911865848</v>
      </c>
      <c r="V98" s="292"/>
    </row>
    <row r="99" spans="1:23">
      <c r="A99" s="105" t="str">
        <f t="shared" si="17"/>
        <v>7124p</v>
      </c>
      <c r="B99" s="563" t="str">
        <f>+VLOOKUP(LEFT($A99,LEN(A99)-1)*1,Master!$D$30:$G$229,4,FALSE)</f>
        <v>Ostali doprinosi</v>
      </c>
      <c r="C99" s="564"/>
      <c r="D99" s="564"/>
      <c r="E99" s="564"/>
      <c r="F99" s="564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5">
        <f t="shared" si="21"/>
        <v>0.28264751964774393</v>
      </c>
      <c r="V99" s="292"/>
    </row>
    <row r="100" spans="1:23">
      <c r="A100" s="105" t="str">
        <f t="shared" si="17"/>
        <v>713p</v>
      </c>
      <c r="B100" s="569" t="str">
        <f>+VLOOKUP(LEFT($A100,LEN(A100)-1)*1,Master!$D$30:$G$229,4,FALSE)</f>
        <v>Takse</v>
      </c>
      <c r="C100" s="570"/>
      <c r="D100" s="570"/>
      <c r="E100" s="570"/>
      <c r="F100" s="570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6">
        <f t="shared" si="21"/>
        <v>0.23465990369096892</v>
      </c>
      <c r="V100" s="292"/>
    </row>
    <row r="101" spans="1:23">
      <c r="A101" s="105" t="str">
        <f t="shared" si="17"/>
        <v>714p</v>
      </c>
      <c r="B101" s="569" t="str">
        <f>+VLOOKUP(LEFT($A101,LEN(A101)-1)*1,Master!$D$30:$G$229,4,FALSE)</f>
        <v>Naknade</v>
      </c>
      <c r="C101" s="570"/>
      <c r="D101" s="570"/>
      <c r="E101" s="570"/>
      <c r="F101" s="570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6">
        <f t="shared" si="21"/>
        <v>0.96000005824152701</v>
      </c>
      <c r="V101" s="292"/>
    </row>
    <row r="102" spans="1:23">
      <c r="A102" s="105" t="str">
        <f t="shared" si="17"/>
        <v>715p</v>
      </c>
      <c r="B102" s="569" t="str">
        <f>+VLOOKUP(LEFT($A102,LEN(A102)-1)*1,Master!$D$30:$G$229,4,FALSE)</f>
        <v>Ostali prihodi</v>
      </c>
      <c r="C102" s="570"/>
      <c r="D102" s="570"/>
      <c r="E102" s="570"/>
      <c r="F102" s="570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6">
        <f t="shared" si="21"/>
        <v>0.53759870167005819</v>
      </c>
      <c r="V102" s="292"/>
    </row>
    <row r="103" spans="1:23">
      <c r="A103" s="105" t="str">
        <f t="shared" si="17"/>
        <v>73p</v>
      </c>
      <c r="B103" s="569" t="str">
        <f>+VLOOKUP(LEFT($A103,LEN(A103)-1)*1,Master!$D$30:$G$229,4,FALSE)</f>
        <v>Primici od otplate kredita i sredstva prenesena iz prethodne godine</v>
      </c>
      <c r="C103" s="570"/>
      <c r="D103" s="570"/>
      <c r="E103" s="570"/>
      <c r="F103" s="570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6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565" t="str">
        <f>+VLOOKUP(LEFT($A104,LEN(A104)-1)*1,Master!$D$30:$G$229,4,FALSE)</f>
        <v>Donacije i transferi</v>
      </c>
      <c r="C104" s="566"/>
      <c r="D104" s="566"/>
      <c r="E104" s="566"/>
      <c r="F104" s="566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7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547" t="str">
        <f>+VLOOKUP(LEFT($A105,LEN(A105)-1)*1,Master!$D$30:$G$229,4,FALSE)</f>
        <v>Izdaci budžeta</v>
      </c>
      <c r="C105" s="548"/>
      <c r="D105" s="548"/>
      <c r="E105" s="548"/>
      <c r="F105" s="548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2">
        <f>+SUM(G105:R105)</f>
        <v>2384264044.0300002</v>
      </c>
      <c r="T105" s="449">
        <f t="shared" si="21"/>
        <v>41.826258578871659</v>
      </c>
      <c r="V105" s="275"/>
    </row>
    <row r="106" spans="1:23">
      <c r="A106" s="105" t="str">
        <f t="shared" si="17"/>
        <v>41p</v>
      </c>
      <c r="B106" s="567" t="str">
        <f>+VLOOKUP(LEFT($A106,LEN(A106)-1)*1,Master!$D$30:$G$229,4,FALSE)</f>
        <v>Tekući izdaci</v>
      </c>
      <c r="C106" s="568"/>
      <c r="D106" s="568"/>
      <c r="E106" s="568"/>
      <c r="F106" s="568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4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563" t="str">
        <f>+VLOOKUP(LEFT($A107,LEN(A107)-1)*1,Master!$D$30:$G$229,4,FALSE)</f>
        <v>Bruto zarade i doprinosi na teret poslodavca</v>
      </c>
      <c r="C107" s="564"/>
      <c r="D107" s="564"/>
      <c r="E107" s="564"/>
      <c r="F107" s="564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5">
        <f t="shared" si="21"/>
        <v>9.828236431829346</v>
      </c>
      <c r="V107" s="292"/>
    </row>
    <row r="108" spans="1:23">
      <c r="A108" s="105" t="str">
        <f t="shared" si="17"/>
        <v>412p</v>
      </c>
      <c r="B108" s="563" t="str">
        <f>+VLOOKUP(LEFT($A108,LEN(A108)-1)*1,Master!$D$30:$G$229,4,FALSE)</f>
        <v>Ostala lična primanja</v>
      </c>
      <c r="C108" s="564"/>
      <c r="D108" s="564"/>
      <c r="E108" s="564"/>
      <c r="F108" s="564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5">
        <f t="shared" si="21"/>
        <v>0.33874638200828017</v>
      </c>
      <c r="V108" s="292"/>
    </row>
    <row r="109" spans="1:23">
      <c r="A109" s="105" t="str">
        <f t="shared" si="17"/>
        <v>413p</v>
      </c>
      <c r="B109" s="563" t="str">
        <f>+VLOOKUP(LEFT($A109,LEN(A109)-1)*1,Master!$D$30:$G$229,4,FALSE)</f>
        <v>Rashodi za materijal</v>
      </c>
      <c r="C109" s="564"/>
      <c r="D109" s="564"/>
      <c r="E109" s="564"/>
      <c r="F109" s="564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5">
        <f t="shared" si="21"/>
        <v>0.84524817293523258</v>
      </c>
      <c r="V109" s="292"/>
    </row>
    <row r="110" spans="1:23">
      <c r="A110" s="105" t="str">
        <f t="shared" si="17"/>
        <v>414p</v>
      </c>
      <c r="B110" s="563" t="str">
        <f>+VLOOKUP(LEFT($A110,LEN(A110)-1)*1,Master!$D$30:$G$229,4,FALSE)</f>
        <v>Rashodi za usluge</v>
      </c>
      <c r="C110" s="564"/>
      <c r="D110" s="564"/>
      <c r="E110" s="564"/>
      <c r="F110" s="564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5">
        <f t="shared" si="21"/>
        <v>1.1608803850606979</v>
      </c>
      <c r="V110" s="292"/>
    </row>
    <row r="111" spans="1:23">
      <c r="A111" s="105" t="str">
        <f t="shared" si="17"/>
        <v>415p</v>
      </c>
      <c r="B111" s="563" t="str">
        <f>+VLOOKUP(LEFT($A111,LEN(A111)-1)*1,Master!$D$30:$G$229,4,FALSE)</f>
        <v>Rashodi za tekuće održavanje</v>
      </c>
      <c r="C111" s="564"/>
      <c r="D111" s="564"/>
      <c r="E111" s="564"/>
      <c r="F111" s="564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5">
        <f t="shared" si="21"/>
        <v>0.49123141691811095</v>
      </c>
      <c r="V111" s="292"/>
    </row>
    <row r="112" spans="1:23">
      <c r="A112" s="105" t="str">
        <f t="shared" si="17"/>
        <v>416p</v>
      </c>
      <c r="B112" s="563" t="str">
        <f>+VLOOKUP(LEFT($A112,LEN(A112)-1)*1,Master!$D$30:$G$229,4,FALSE)</f>
        <v>Kamate</v>
      </c>
      <c r="C112" s="564"/>
      <c r="D112" s="564"/>
      <c r="E112" s="564"/>
      <c r="F112" s="564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5">
        <f t="shared" si="21"/>
        <v>1.6215886729001472</v>
      </c>
      <c r="V112" s="292"/>
    </row>
    <row r="113" spans="1:22">
      <c r="A113" s="105" t="str">
        <f t="shared" si="17"/>
        <v>417p</v>
      </c>
      <c r="B113" s="563" t="str">
        <f>+VLOOKUP(LEFT($A113,LEN(A113)-1)*1,Master!$D$30:$G$229,4,FALSE)</f>
        <v>Renta</v>
      </c>
      <c r="C113" s="564"/>
      <c r="D113" s="564"/>
      <c r="E113" s="564"/>
      <c r="F113" s="564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5">
        <f t="shared" si="21"/>
        <v>0.20478580432952073</v>
      </c>
      <c r="V113" s="292"/>
    </row>
    <row r="114" spans="1:22">
      <c r="A114" s="105" t="str">
        <f t="shared" si="17"/>
        <v>418p</v>
      </c>
      <c r="B114" s="563" t="str">
        <f>+VLOOKUP(LEFT($A114,LEN(A114)-1)*1,Master!$D$30:$G$229,4,FALSE)</f>
        <v>Subvencije</v>
      </c>
      <c r="C114" s="564"/>
      <c r="D114" s="564"/>
      <c r="E114" s="564"/>
      <c r="F114" s="564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5">
        <f t="shared" si="21"/>
        <v>1.1723845516104137</v>
      </c>
      <c r="V114" s="292"/>
    </row>
    <row r="115" spans="1:22">
      <c r="A115" s="105" t="str">
        <f t="shared" si="17"/>
        <v>419p</v>
      </c>
      <c r="B115" s="563" t="str">
        <f>+VLOOKUP(LEFT($A115,LEN(A115)-1)*1,Master!$D$30:$G$229,4,FALSE)</f>
        <v>Ostali izdaci</v>
      </c>
      <c r="C115" s="564"/>
      <c r="D115" s="564"/>
      <c r="E115" s="564"/>
      <c r="F115" s="564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5">
        <f t="shared" si="21"/>
        <v>1.1380142535611533</v>
      </c>
      <c r="V115" s="292"/>
    </row>
    <row r="116" spans="1:22">
      <c r="A116" s="105" t="str">
        <f t="shared" si="17"/>
        <v>42p</v>
      </c>
      <c r="B116" s="559" t="str">
        <f>+VLOOKUP(LEFT($A116,LEN(A116)-1)*1,Master!$D$30:$G$229,4,FALSE)</f>
        <v>Transferi za socijalnu zaštitu</v>
      </c>
      <c r="C116" s="560"/>
      <c r="D116" s="560"/>
      <c r="E116" s="560"/>
      <c r="F116" s="560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6">
        <f t="shared" si="21"/>
        <v>12.245424980703106</v>
      </c>
      <c r="V116" s="292"/>
    </row>
    <row r="117" spans="1:22">
      <c r="A117" s="105" t="str">
        <f t="shared" si="17"/>
        <v>421p</v>
      </c>
      <c r="B117" s="563" t="str">
        <f>+VLOOKUP(LEFT($A117,LEN(A117)-1)*1,Master!$D$30:$G$229,4,FALSE)</f>
        <v>Prava iz oblasti socijalne zaštite</v>
      </c>
      <c r="C117" s="564"/>
      <c r="D117" s="564"/>
      <c r="E117" s="564"/>
      <c r="F117" s="564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5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563" t="str">
        <f>+VLOOKUP(LEFT($A118,LEN(A118)-1)*1,Master!$D$30:$G$229,4,FALSE)</f>
        <v>Sredstva za tehnološke viškove</v>
      </c>
      <c r="C118" s="564"/>
      <c r="D118" s="564"/>
      <c r="E118" s="564"/>
      <c r="F118" s="564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5">
        <f t="shared" si="21"/>
        <v>0.52695404357588937</v>
      </c>
      <c r="V118" s="292"/>
    </row>
    <row r="119" spans="1:22">
      <c r="A119" s="105" t="str">
        <f t="shared" si="26"/>
        <v>423p</v>
      </c>
      <c r="B119" s="563" t="str">
        <f>+VLOOKUP(LEFT($A119,LEN(A119)-1)*1,Master!$D$30:$G$229,4,FALSE)</f>
        <v>Prava iz oblasti penzijskog i invalidskog osiguranja</v>
      </c>
      <c r="C119" s="564"/>
      <c r="D119" s="564"/>
      <c r="E119" s="564"/>
      <c r="F119" s="564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5">
        <f t="shared" si="21"/>
        <v>8.6844713744649518</v>
      </c>
      <c r="V119" s="292"/>
    </row>
    <row r="120" spans="1:22">
      <c r="A120" s="105" t="str">
        <f t="shared" si="26"/>
        <v>424p</v>
      </c>
      <c r="B120" s="563" t="str">
        <f>+VLOOKUP(LEFT($A120,LEN(A120)-1)*1,Master!$D$30:$G$229,4,FALSE)</f>
        <v>Ostala prava iz oblasti zdravstvene zaštite</v>
      </c>
      <c r="C120" s="564"/>
      <c r="D120" s="564"/>
      <c r="E120" s="564"/>
      <c r="F120" s="564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5">
        <f t="shared" si="21"/>
        <v>0.25752485720300322</v>
      </c>
      <c r="V120" s="292"/>
    </row>
    <row r="121" spans="1:22">
      <c r="A121" s="105" t="str">
        <f t="shared" si="26"/>
        <v>425p</v>
      </c>
      <c r="B121" s="563" t="str">
        <f>+VLOOKUP(LEFT($A121,LEN(A121)-1)*1,Master!$D$30:$G$229,4,FALSE)</f>
        <v>Ostala prava iz zdravstvenog osiguranja</v>
      </c>
      <c r="C121" s="564"/>
      <c r="D121" s="564"/>
      <c r="E121" s="564"/>
      <c r="F121" s="564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5">
        <f t="shared" si="21"/>
        <v>0.23524952827871734</v>
      </c>
      <c r="V121" s="292"/>
    </row>
    <row r="122" spans="1:22">
      <c r="A122" s="105" t="str">
        <f t="shared" si="26"/>
        <v>43p</v>
      </c>
      <c r="B122" s="561" t="str">
        <f>+VLOOKUP(LEFT($A122,LEN(A122)-1)*1,Master!$D$30:$G$229,4,FALSE)</f>
        <v xml:space="preserve">Transferi institucijama, pojedincima, nevladinom i javnom sektoru </v>
      </c>
      <c r="C122" s="562"/>
      <c r="D122" s="562"/>
      <c r="E122" s="562"/>
      <c r="F122" s="562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6">
        <f t="shared" si="21"/>
        <v>5.4726585909760717</v>
      </c>
      <c r="V122" s="292"/>
    </row>
    <row r="123" spans="1:22">
      <c r="A123" s="105" t="str">
        <f t="shared" si="26"/>
        <v>44p</v>
      </c>
      <c r="B123" s="561" t="str">
        <f>+VLOOKUP(LEFT($A123,LEN(A123)-1)*1,Master!$D$30:$G$229,4,FALSE)</f>
        <v>Kapitalni izdaci</v>
      </c>
      <c r="C123" s="562"/>
      <c r="D123" s="562"/>
      <c r="E123" s="562"/>
      <c r="F123" s="562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6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553" t="str">
        <f>+VLOOKUP(LEFT($A124,LEN(A124)-1)*1,Master!$D$30:$G$229,4,FALSE)</f>
        <v>Pozajmice i krediti</v>
      </c>
      <c r="C124" s="554"/>
      <c r="D124" s="554"/>
      <c r="E124" s="554"/>
      <c r="F124" s="554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5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553" t="str">
        <f>+VLOOKUP(LEFT($A125,LEN(A125)-1)*1,Master!$D$30:$G$229,4,FALSE)</f>
        <v>Rezerve</v>
      </c>
      <c r="C125" s="554"/>
      <c r="D125" s="554"/>
      <c r="E125" s="554"/>
      <c r="F125" s="554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5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553" t="str">
        <f>+VLOOKUP(LEFT($A126,LEN(A126)-1)*1,Master!$D$30:$G$229,4,FALSE)</f>
        <v>Otplata garancija</v>
      </c>
      <c r="C126" s="554"/>
      <c r="D126" s="554"/>
      <c r="E126" s="554"/>
      <c r="F126" s="554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5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553" t="str">
        <f>+VLOOKUP(LEFT($A127,LEN(A127)-1)*1,Master!$D$30:$G$229,4,FALSE)</f>
        <v>Otplata obaveza iz prethodnog perioda</v>
      </c>
      <c r="C127" s="554"/>
      <c r="D127" s="554"/>
      <c r="E127" s="554"/>
      <c r="F127" s="554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3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553" t="str">
        <f>+VLOOKUP(LEFT($A128,LEN(A128)-1)*1,Master!$D$30:$G$229,4,FALSE)</f>
        <v>Neto povećanje obaveza</v>
      </c>
      <c r="C128" s="554"/>
      <c r="D128" s="554"/>
      <c r="E128" s="554"/>
      <c r="F128" s="554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0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555" t="str">
        <f>+VLOOKUP(LEFT($A129,LEN(A129)-1)*1,Master!$D$30:$G$226,4,FALSE)</f>
        <v>Suficit / deficit</v>
      </c>
      <c r="C129" s="556"/>
      <c r="D129" s="556"/>
      <c r="E129" s="556"/>
      <c r="F129" s="556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1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557" t="str">
        <f>+VLOOKUP(LEFT($A130,LEN(A130)-1)*1,Master!$D$30:$G$226,4,FALSE)</f>
        <v>Primarni suficit/deficit</v>
      </c>
      <c r="C130" s="558"/>
      <c r="D130" s="558"/>
      <c r="E130" s="558"/>
      <c r="F130" s="558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1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559" t="str">
        <f>+VLOOKUP(LEFT($A131,LEN(A131)-1)*1,Master!$D$30:$G$226,4,FALSE)</f>
        <v>Otplata dugova</v>
      </c>
      <c r="C131" s="560"/>
      <c r="D131" s="560"/>
      <c r="E131" s="560"/>
      <c r="F131" s="560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5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2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551" t="str">
        <f>+VLOOKUP(LEFT($A132,LEN(A132)-1)*1,Master!$D$30:$G$226,4,FALSE)</f>
        <v>Otplata hartija od vrijednosti i kredita rezidentima</v>
      </c>
      <c r="C132" s="552"/>
      <c r="D132" s="552"/>
      <c r="E132" s="552"/>
      <c r="F132" s="552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3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553" t="str">
        <f>+VLOOKUP(LEFT($A133,LEN(A133)-1)*1,Master!$D$30:$G$226,4,FALSE)</f>
        <v>Otplata hartija od vrijednosti i kredita nerezidentima</v>
      </c>
      <c r="C133" s="554"/>
      <c r="D133" s="554"/>
      <c r="E133" s="554"/>
      <c r="F133" s="554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3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547" t="str">
        <f>+VLOOKUP(LEFT($A134,LEN(A134)-1)*1,Master!$D$30:$G$226,4,FALSE)</f>
        <v>Izdaci za kupovinu hartija od vrijednosti</v>
      </c>
      <c r="C134" s="548"/>
      <c r="D134" s="548"/>
      <c r="E134" s="548"/>
      <c r="F134" s="548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0">
        <f t="shared" si="20"/>
        <v>10609010</v>
      </c>
      <c r="T134" s="450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549" t="str">
        <f>+VLOOKUP(LEFT($A135,LEN(A135)-1)*1,Master!$D$30:$G$226,4,FALSE)</f>
        <v>Nedostajuća sredstva</v>
      </c>
      <c r="C135" s="550"/>
      <c r="D135" s="550"/>
      <c r="E135" s="550"/>
      <c r="F135" s="550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5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547" t="str">
        <f>+VLOOKUP(LEFT($A136,LEN(A136)-1)*1,Master!$D$30:$G$226,4,FALSE)</f>
        <v>Finansiranje</v>
      </c>
      <c r="C136" s="548"/>
      <c r="D136" s="548"/>
      <c r="E136" s="548"/>
      <c r="F136" s="548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6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551" t="str">
        <f>+VLOOKUP(LEFT($A137,LEN(A137)-1)*1,Master!$D$30:$G$226,4,FALSE)</f>
        <v>Pozajmice i krediti od domaćih izvora</v>
      </c>
      <c r="C137" s="552"/>
      <c r="D137" s="552"/>
      <c r="E137" s="552"/>
      <c r="F137" s="552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3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553" t="str">
        <f>+VLOOKUP(LEFT($A138,LEN(A138)-1)*1,Master!$D$30:$G$226,4,FALSE)</f>
        <v>Pozajmice i krediti od inostranih izvora</v>
      </c>
      <c r="C138" s="554"/>
      <c r="D138" s="554"/>
      <c r="E138" s="554"/>
      <c r="F138" s="554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3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553" t="str">
        <f>+VLOOKUP(LEFT($A139,LEN(A139)-1)*1,Master!$D$30:$G$226,4,FALSE)</f>
        <v>Primici od prodaje imovine</v>
      </c>
      <c r="C139" s="554"/>
      <c r="D139" s="554"/>
      <c r="E139" s="554"/>
      <c r="F139" s="554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3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7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workbookViewId="0"/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8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8"/>
      <c r="T4" s="334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27" t="str">
        <f>+Master!G252</f>
        <v>Ostvarenje budžeta</v>
      </c>
      <c r="C7" s="528"/>
      <c r="D7" s="528"/>
      <c r="E7" s="528"/>
      <c r="F7" s="528"/>
      <c r="G7" s="536">
        <v>2021</v>
      </c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40"/>
      <c r="S7" s="220" t="str">
        <f>+Master!G249</f>
        <v>BDP</v>
      </c>
      <c r="T7" s="221">
        <v>4955116000</v>
      </c>
    </row>
    <row r="8" spans="1:22" ht="16.5" customHeight="1">
      <c r="A8" s="129"/>
      <c r="B8" s="529"/>
      <c r="C8" s="530"/>
      <c r="D8" s="530"/>
      <c r="E8" s="530"/>
      <c r="F8" s="531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6" t="str">
        <f>+Master!G247</f>
        <v>Jan - Dec</v>
      </c>
      <c r="T8" s="540"/>
    </row>
    <row r="9" spans="1:22" ht="13.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495" t="str">
        <f>+VLOOKUP($A10,Master!$D$30:$G$226,4,FALSE)</f>
        <v>Prihodi budžeta</v>
      </c>
      <c r="C10" s="496"/>
      <c r="D10" s="496"/>
      <c r="E10" s="496"/>
      <c r="F10" s="496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3">
        <f>+S10/$T$7*100</f>
        <v>38.573911075744746</v>
      </c>
      <c r="U10" s="472"/>
      <c r="V10" s="292"/>
    </row>
    <row r="11" spans="1:22">
      <c r="A11" s="135">
        <v>711</v>
      </c>
      <c r="B11" s="497" t="str">
        <f>+VLOOKUP($A11,Master!$D$30:$G$226,4,FALSE)</f>
        <v>Porezi</v>
      </c>
      <c r="C11" s="498"/>
      <c r="D11" s="498"/>
      <c r="E11" s="498"/>
      <c r="F11" s="498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4">
        <f t="shared" ref="T11:T64" si="3">+S11/$T$7*100</f>
        <v>23.891956383059448</v>
      </c>
      <c r="U11" s="472"/>
      <c r="V11" s="473"/>
    </row>
    <row r="12" spans="1:22">
      <c r="A12" s="135">
        <v>7111</v>
      </c>
      <c r="B12" s="499" t="str">
        <f>+VLOOKUP($A12,Master!$D$30:$G$226,4,FALSE)</f>
        <v>Porez na dohodak fizičkih lica</v>
      </c>
      <c r="C12" s="500"/>
      <c r="D12" s="500"/>
      <c r="E12" s="500"/>
      <c r="F12" s="500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5">
        <f t="shared" si="3"/>
        <v>2.560268438720708</v>
      </c>
      <c r="U12" s="472"/>
      <c r="V12" s="292"/>
    </row>
    <row r="13" spans="1:22">
      <c r="A13" s="135">
        <v>7112</v>
      </c>
      <c r="B13" s="499" t="str">
        <f>+VLOOKUP($A13,Master!$D$30:$G$226,4,FALSE)</f>
        <v>Porez na dobit pravnih lica</v>
      </c>
      <c r="C13" s="500"/>
      <c r="D13" s="500"/>
      <c r="E13" s="500"/>
      <c r="F13" s="500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5">
        <f t="shared" si="3"/>
        <v>1.5078097963801451</v>
      </c>
      <c r="U13" s="472"/>
      <c r="V13" s="292"/>
    </row>
    <row r="14" spans="1:22">
      <c r="A14" s="135">
        <v>7113</v>
      </c>
      <c r="B14" s="499" t="str">
        <f>+VLOOKUP($A14,Master!$D$30:$G$226,4,FALSE)</f>
        <v>Porez na promet nepokretnosti</v>
      </c>
      <c r="C14" s="500"/>
      <c r="D14" s="500"/>
      <c r="E14" s="500"/>
      <c r="F14" s="500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5">
        <f t="shared" si="3"/>
        <v>4.1941576544323081E-2</v>
      </c>
      <c r="U14" s="472"/>
      <c r="V14" s="292"/>
    </row>
    <row r="15" spans="1:22">
      <c r="A15" s="135">
        <v>7114</v>
      </c>
      <c r="B15" s="499" t="str">
        <f>+VLOOKUP($A15,Master!$D$30:$G$226,4,FALSE)</f>
        <v>Porez na dodatu vrijednost</v>
      </c>
      <c r="C15" s="500"/>
      <c r="D15" s="500"/>
      <c r="E15" s="500"/>
      <c r="F15" s="500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5">
        <f t="shared" si="3"/>
        <v>13.964317316486637</v>
      </c>
      <c r="U15" s="472"/>
      <c r="V15" s="292"/>
    </row>
    <row r="16" spans="1:22">
      <c r="A16" s="135">
        <v>7115</v>
      </c>
      <c r="B16" s="499" t="str">
        <f>+VLOOKUP($A16,Master!$D$30:$G$226,4,FALSE)</f>
        <v>Akcize</v>
      </c>
      <c r="C16" s="500"/>
      <c r="D16" s="500"/>
      <c r="E16" s="500"/>
      <c r="F16" s="500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5">
        <f t="shared" si="3"/>
        <v>5.0194161985309727</v>
      </c>
      <c r="U16" s="472"/>
      <c r="V16" s="292"/>
    </row>
    <row r="17" spans="1:23">
      <c r="A17" s="135">
        <v>7116</v>
      </c>
      <c r="B17" s="499" t="str">
        <f>+VLOOKUP($A17,Master!$D$30:$G$226,4,FALSE)</f>
        <v>Porez na međunarodnu trgovinu i transakcije</v>
      </c>
      <c r="C17" s="500"/>
      <c r="D17" s="500"/>
      <c r="E17" s="500"/>
      <c r="F17" s="500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5">
        <f t="shared" si="3"/>
        <v>0.57105912495287692</v>
      </c>
      <c r="U17" s="472"/>
      <c r="V17" s="292"/>
    </row>
    <row r="18" spans="1:23">
      <c r="A18" s="135">
        <v>7118</v>
      </c>
      <c r="B18" s="499" t="str">
        <f>+VLOOKUP($A18,Master!$D$30:$G$226,4,FALSE)</f>
        <v>Ostali državni porezi</v>
      </c>
      <c r="C18" s="500"/>
      <c r="D18" s="500"/>
      <c r="E18" s="500"/>
      <c r="F18" s="500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5">
        <f t="shared" si="3"/>
        <v>0.22714393144378461</v>
      </c>
      <c r="U18" s="472"/>
      <c r="V18" s="292"/>
    </row>
    <row r="19" spans="1:23">
      <c r="A19" s="135">
        <v>712</v>
      </c>
      <c r="B19" s="503" t="str">
        <f>+VLOOKUP($A19,Master!$D$30:$G$226,4,FALSE)</f>
        <v>Doprinosi</v>
      </c>
      <c r="C19" s="504"/>
      <c r="D19" s="504"/>
      <c r="E19" s="504"/>
      <c r="F19" s="504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6">
        <f t="shared" si="3"/>
        <v>11.18997272031573</v>
      </c>
      <c r="U19" s="472"/>
      <c r="V19" s="292"/>
    </row>
    <row r="20" spans="1:23">
      <c r="A20" s="135">
        <v>7121</v>
      </c>
      <c r="B20" s="499" t="str">
        <f>+VLOOKUP($A20,Master!$D$30:$G$226,4,FALSE)</f>
        <v>Doprinosi za penzijsko i invalidsko osiguranje</v>
      </c>
      <c r="C20" s="500"/>
      <c r="D20" s="500"/>
      <c r="E20" s="500"/>
      <c r="F20" s="500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5">
        <f t="shared" si="3"/>
        <v>6.9370373979135911</v>
      </c>
      <c r="U20" s="472"/>
      <c r="V20" s="292"/>
    </row>
    <row r="21" spans="1:23">
      <c r="A21" s="135">
        <v>7122</v>
      </c>
      <c r="B21" s="499" t="str">
        <f>+VLOOKUP($A21,Master!$D$30:$G$226,4,FALSE)</f>
        <v>Doprinosi za zdravstveno osiguranje</v>
      </c>
      <c r="C21" s="500"/>
      <c r="D21" s="500"/>
      <c r="E21" s="500"/>
      <c r="F21" s="500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5">
        <f t="shared" si="3"/>
        <v>3.6440413633101629</v>
      </c>
      <c r="U21" s="472"/>
      <c r="V21" s="292"/>
    </row>
    <row r="22" spans="1:23">
      <c r="A22" s="135">
        <v>7123</v>
      </c>
      <c r="B22" s="499" t="str">
        <f>+VLOOKUP($A22,Master!$D$30:$G$226,4,FALSE)</f>
        <v>Doprinosi za osiguranje od nezaposlenosti</v>
      </c>
      <c r="C22" s="500"/>
      <c r="D22" s="500"/>
      <c r="E22" s="500"/>
      <c r="F22" s="500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5">
        <f t="shared" si="3"/>
        <v>0.33014029217479474</v>
      </c>
      <c r="U22" s="472"/>
      <c r="V22" s="292"/>
    </row>
    <row r="23" spans="1:23">
      <c r="A23" s="135">
        <v>7124</v>
      </c>
      <c r="B23" s="499" t="str">
        <f>+VLOOKUP($A23,Master!$D$30:$G$226,4,FALSE)</f>
        <v>Ostali doprinosi</v>
      </c>
      <c r="C23" s="500"/>
      <c r="D23" s="500"/>
      <c r="E23" s="500"/>
      <c r="F23" s="500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5">
        <f t="shared" si="3"/>
        <v>0.27875366691718217</v>
      </c>
      <c r="U23" s="472"/>
      <c r="V23" s="292"/>
    </row>
    <row r="24" spans="1:23">
      <c r="A24" s="135">
        <v>713</v>
      </c>
      <c r="B24" s="501" t="str">
        <f>+VLOOKUP($A24,Master!$D$30:$G$226,4,FALSE)</f>
        <v>Takse</v>
      </c>
      <c r="C24" s="502"/>
      <c r="D24" s="502"/>
      <c r="E24" s="502"/>
      <c r="F24" s="502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6">
        <f t="shared" si="3"/>
        <v>0.25512858891699003</v>
      </c>
      <c r="U24" s="472"/>
      <c r="V24" s="292"/>
    </row>
    <row r="25" spans="1:23">
      <c r="A25" s="135">
        <v>714</v>
      </c>
      <c r="B25" s="501" t="str">
        <f>+VLOOKUP($A25,Master!$D$30:$G$226,4,FALSE)</f>
        <v>Naknade</v>
      </c>
      <c r="C25" s="502"/>
      <c r="D25" s="502"/>
      <c r="E25" s="502"/>
      <c r="F25" s="502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6">
        <f t="shared" si="3"/>
        <v>1.0311573327445815</v>
      </c>
      <c r="U25" s="472"/>
      <c r="V25" s="292"/>
    </row>
    <row r="26" spans="1:23">
      <c r="A26" s="135">
        <v>715</v>
      </c>
      <c r="B26" s="501" t="str">
        <f>+VLOOKUP($A26,Master!$D$30:$G$226,4,FALSE)</f>
        <v>Ostali prihodi</v>
      </c>
      <c r="C26" s="502"/>
      <c r="D26" s="502"/>
      <c r="E26" s="502"/>
      <c r="F26" s="502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6">
        <f t="shared" si="3"/>
        <v>1.1970770886090254</v>
      </c>
      <c r="U26" s="472"/>
      <c r="V26" s="292"/>
    </row>
    <row r="27" spans="1:23">
      <c r="A27" s="135">
        <v>73</v>
      </c>
      <c r="B27" s="501" t="str">
        <f>+VLOOKUP($A27,Master!$D$30:$G$226,4,FALSE)</f>
        <v>Primici od otplate kredita i sredstva prenesena iz prethodne godine</v>
      </c>
      <c r="C27" s="502"/>
      <c r="D27" s="502"/>
      <c r="E27" s="502"/>
      <c r="F27" s="502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6">
        <f t="shared" si="3"/>
        <v>0.20386092131849184</v>
      </c>
      <c r="U27" s="472"/>
      <c r="V27" s="292"/>
    </row>
    <row r="28" spans="1:23" ht="13.5" thickBot="1">
      <c r="A28" s="135">
        <v>74</v>
      </c>
      <c r="B28" s="505" t="str">
        <f>+VLOOKUP($A28,Master!$D$30:$G$226,4,FALSE)</f>
        <v>Donacije i transferi</v>
      </c>
      <c r="C28" s="506"/>
      <c r="D28" s="506"/>
      <c r="E28" s="506"/>
      <c r="F28" s="506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7">
        <f t="shared" si="3"/>
        <v>0.80475804078047819</v>
      </c>
      <c r="U28" s="472"/>
      <c r="V28" s="292"/>
    </row>
    <row r="29" spans="1:23" ht="13.5" thickBot="1">
      <c r="A29" s="135">
        <v>4</v>
      </c>
      <c r="B29" s="507" t="str">
        <f>+VLOOKUP($A29,Master!$D$30:$G$226,4,FALSE)</f>
        <v>Izdaci budžeta</v>
      </c>
      <c r="C29" s="508"/>
      <c r="D29" s="508"/>
      <c r="E29" s="508"/>
      <c r="F29" s="508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8">
        <f t="shared" si="3"/>
        <v>40.582306969402943</v>
      </c>
    </row>
    <row r="30" spans="1:23">
      <c r="A30" s="135">
        <v>41</v>
      </c>
      <c r="B30" s="511" t="str">
        <f>+VLOOKUP($A30,Master!$D$30:$G$226,4,FALSE)</f>
        <v>Tekući izdaci</v>
      </c>
      <c r="C30" s="512"/>
      <c r="D30" s="512"/>
      <c r="E30" s="512"/>
      <c r="F30" s="512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6">
        <f t="shared" si="4"/>
        <v>875790931.30000007</v>
      </c>
      <c r="T30" s="434">
        <f t="shared" si="3"/>
        <v>17.67447888808254</v>
      </c>
      <c r="U30" s="227"/>
    </row>
    <row r="31" spans="1:23">
      <c r="A31" s="135">
        <v>411</v>
      </c>
      <c r="B31" s="499" t="str">
        <f>+VLOOKUP($A31,Master!$D$30:$G$226,4,FALSE)</f>
        <v>Bruto zarade i doprinosi na teret poslodavca</v>
      </c>
      <c r="C31" s="500"/>
      <c r="D31" s="500"/>
      <c r="E31" s="500"/>
      <c r="F31" s="500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5">
        <f t="shared" si="3"/>
        <v>10.799573814013639</v>
      </c>
      <c r="U31" s="472"/>
      <c r="V31" s="292"/>
      <c r="W31" s="292"/>
    </row>
    <row r="32" spans="1:23">
      <c r="A32" s="135">
        <v>412</v>
      </c>
      <c r="B32" s="499" t="str">
        <f>+VLOOKUP($A32,Master!$D$30:$G$226,4,FALSE)</f>
        <v>Ostala lična primanja</v>
      </c>
      <c r="C32" s="500"/>
      <c r="D32" s="500"/>
      <c r="E32" s="500"/>
      <c r="F32" s="500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5">
        <f t="shared" si="3"/>
        <v>0.22754604049632743</v>
      </c>
      <c r="U32" s="472"/>
      <c r="V32" s="292"/>
    </row>
    <row r="33" spans="1:24">
      <c r="A33" s="135">
        <v>413</v>
      </c>
      <c r="B33" s="499" t="str">
        <f>+VLOOKUP($A33,Master!$D$30:$G$226,4,FALSE)</f>
        <v>Rashodi za materijal</v>
      </c>
      <c r="C33" s="500"/>
      <c r="D33" s="500"/>
      <c r="E33" s="500"/>
      <c r="F33" s="500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5">
        <f t="shared" si="3"/>
        <v>0.71551015778439897</v>
      </c>
      <c r="U33" s="472"/>
      <c r="V33" s="472"/>
      <c r="W33" s="473"/>
      <c r="X33" s="473"/>
    </row>
    <row r="34" spans="1:24" s="333" customFormat="1">
      <c r="A34" s="332">
        <v>414</v>
      </c>
      <c r="B34" s="594" t="str">
        <f>+VLOOKUP($A34,Master!$D$30:$G$226,4,FALSE)</f>
        <v>Rashodi za usluge</v>
      </c>
      <c r="C34" s="595"/>
      <c r="D34" s="595"/>
      <c r="E34" s="595"/>
      <c r="F34" s="595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5">
        <f t="shared" si="3"/>
        <v>1.2060522086667596</v>
      </c>
      <c r="U34" s="472"/>
    </row>
    <row r="35" spans="1:24">
      <c r="A35" s="135">
        <v>415</v>
      </c>
      <c r="B35" s="499" t="str">
        <f>+VLOOKUP($A35,Master!$D$30:$G$226,4,FALSE)</f>
        <v>Rashodi za tekuće održavanje</v>
      </c>
      <c r="C35" s="500"/>
      <c r="D35" s="500"/>
      <c r="E35" s="500"/>
      <c r="F35" s="500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5">
        <f t="shared" si="3"/>
        <v>0.43790248462397247</v>
      </c>
      <c r="U35" s="472"/>
      <c r="V35" s="292"/>
    </row>
    <row r="36" spans="1:24">
      <c r="A36" s="135">
        <v>416</v>
      </c>
      <c r="B36" s="499" t="str">
        <f>+VLOOKUP($A36,Master!$D$30:$G$226,4,FALSE)</f>
        <v>Kamate</v>
      </c>
      <c r="C36" s="500"/>
      <c r="D36" s="500"/>
      <c r="E36" s="500"/>
      <c r="F36" s="500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5">
        <f t="shared" si="3"/>
        <v>2.3018412117899971</v>
      </c>
      <c r="U36" s="472"/>
      <c r="V36" s="292"/>
    </row>
    <row r="37" spans="1:24">
      <c r="A37" s="135">
        <v>417</v>
      </c>
      <c r="B37" s="499" t="str">
        <f>+VLOOKUP($A37,Master!$D$30:$G$226,4,FALSE)</f>
        <v>Renta</v>
      </c>
      <c r="C37" s="500"/>
      <c r="D37" s="500"/>
      <c r="E37" s="500"/>
      <c r="F37" s="500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5">
        <f t="shared" si="3"/>
        <v>0.22584800618189366</v>
      </c>
      <c r="U37" s="472"/>
      <c r="V37" s="292"/>
    </row>
    <row r="38" spans="1:24">
      <c r="A38" s="135">
        <v>418</v>
      </c>
      <c r="B38" s="499" t="str">
        <f>+VLOOKUP($A38,Master!$D$30:$G$226,4,FALSE)</f>
        <v>Subvencije</v>
      </c>
      <c r="C38" s="500"/>
      <c r="D38" s="500"/>
      <c r="E38" s="500"/>
      <c r="F38" s="500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5">
        <f t="shared" si="3"/>
        <v>0.97916523790764953</v>
      </c>
      <c r="U38" s="472"/>
      <c r="V38" s="292"/>
    </row>
    <row r="39" spans="1:24" s="333" customFormat="1">
      <c r="A39" s="332">
        <v>419</v>
      </c>
      <c r="B39" s="594" t="str">
        <f>+VLOOKUP($A39,Master!$D$30:$G$226,4,FALSE)</f>
        <v>Ostali izdaci</v>
      </c>
      <c r="C39" s="595"/>
      <c r="D39" s="595"/>
      <c r="E39" s="595"/>
      <c r="F39" s="595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5">
        <f t="shared" si="3"/>
        <v>0.78103972661790366</v>
      </c>
      <c r="U39" s="472"/>
      <c r="V39" s="292"/>
    </row>
    <row r="40" spans="1:24">
      <c r="A40" s="135">
        <v>42</v>
      </c>
      <c r="B40" s="515" t="str">
        <f>+VLOOKUP($A40,Master!$D$30:$G$226,4,FALSE)</f>
        <v>Transferi za socijalnu zaštitu</v>
      </c>
      <c r="C40" s="516"/>
      <c r="D40" s="516"/>
      <c r="E40" s="516"/>
      <c r="F40" s="516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7">
        <f t="shared" si="4"/>
        <v>567405550.29999983</v>
      </c>
      <c r="T40" s="458">
        <f t="shared" si="3"/>
        <v>11.450903476326282</v>
      </c>
      <c r="U40" s="227"/>
    </row>
    <row r="41" spans="1:24">
      <c r="A41" s="135">
        <v>421</v>
      </c>
      <c r="B41" s="499" t="str">
        <f>+VLOOKUP($A41,Master!$D$30:$G$226,4,FALSE)</f>
        <v>Prava iz oblasti socijalne zaštite</v>
      </c>
      <c r="C41" s="500"/>
      <c r="D41" s="500"/>
      <c r="E41" s="500"/>
      <c r="F41" s="500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5">
        <f t="shared" si="3"/>
        <v>1.7140635518926299</v>
      </c>
      <c r="U41" s="472"/>
      <c r="V41" s="292"/>
    </row>
    <row r="42" spans="1:24">
      <c r="A42" s="135">
        <v>422</v>
      </c>
      <c r="B42" s="499" t="str">
        <f>+VLOOKUP($A42,Master!$D$30:$G$226,4,FALSE)</f>
        <v>Sredstva za tehnološke viškove</v>
      </c>
      <c r="C42" s="500"/>
      <c r="D42" s="500"/>
      <c r="E42" s="500"/>
      <c r="F42" s="500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5">
        <f t="shared" si="3"/>
        <v>0.46593113723271062</v>
      </c>
      <c r="U42" s="472"/>
      <c r="V42" s="292"/>
    </row>
    <row r="43" spans="1:24">
      <c r="A43" s="135">
        <v>423</v>
      </c>
      <c r="B43" s="499" t="str">
        <f>+VLOOKUP($A43,Master!$D$30:$G$226,4,FALSE)</f>
        <v>Prava iz oblasti penzijskog i invalidskog osiguranja</v>
      </c>
      <c r="C43" s="500"/>
      <c r="D43" s="500"/>
      <c r="E43" s="500"/>
      <c r="F43" s="500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5">
        <f t="shared" si="3"/>
        <v>8.6982387251882702</v>
      </c>
      <c r="U43" s="472"/>
      <c r="V43" s="292"/>
    </row>
    <row r="44" spans="1:24">
      <c r="A44" s="135">
        <v>424</v>
      </c>
      <c r="B44" s="499" t="str">
        <f>+VLOOKUP($A44,Master!$D$30:$G$226,4,FALSE)</f>
        <v>Ostala prava iz oblasti zdravstvene zaštite</v>
      </c>
      <c r="C44" s="500"/>
      <c r="D44" s="500"/>
      <c r="E44" s="500"/>
      <c r="F44" s="500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5">
        <f t="shared" si="3"/>
        <v>0.34464044212083023</v>
      </c>
      <c r="U44" s="472"/>
      <c r="V44" s="292"/>
    </row>
    <row r="45" spans="1:24" s="333" customFormat="1">
      <c r="A45" s="332">
        <v>425</v>
      </c>
      <c r="B45" s="590" t="str">
        <f>+VLOOKUP($A45,Master!$D$30:$G$226,4,FALSE)</f>
        <v>Ostala prava iz zdravstvenog osiguranja</v>
      </c>
      <c r="C45" s="591"/>
      <c r="D45" s="591"/>
      <c r="E45" s="591"/>
      <c r="F45" s="591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5">
        <f t="shared" si="3"/>
        <v>0.22802961989184509</v>
      </c>
      <c r="U45" s="472"/>
      <c r="V45" s="292"/>
    </row>
    <row r="46" spans="1:24">
      <c r="A46" s="135">
        <v>43</v>
      </c>
      <c r="B46" s="513" t="str">
        <f>+VLOOKUP($A46,Master!$D$30:$G$226,4,FALSE)</f>
        <v xml:space="preserve">Transferi institucijama, pojedincima, nevladinom i javnom sektoru </v>
      </c>
      <c r="C46" s="514"/>
      <c r="D46" s="514"/>
      <c r="E46" s="514"/>
      <c r="F46" s="514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6">
        <f t="shared" si="3"/>
        <v>5.1879003530896153</v>
      </c>
      <c r="U46" s="472"/>
      <c r="V46" s="292"/>
    </row>
    <row r="47" spans="1:24">
      <c r="A47" s="135">
        <v>44</v>
      </c>
      <c r="B47" s="513" t="str">
        <f>+VLOOKUP($A47,Master!$D$30:$G$226,4,FALSE)</f>
        <v>Kapitalni izdaci</v>
      </c>
      <c r="C47" s="514"/>
      <c r="D47" s="514"/>
      <c r="E47" s="514"/>
      <c r="F47" s="514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6">
        <f t="shared" si="3"/>
        <v>4.1203532696308223</v>
      </c>
      <c r="U47" s="472"/>
      <c r="V47" s="292"/>
    </row>
    <row r="48" spans="1:24">
      <c r="A48" s="135">
        <v>451</v>
      </c>
      <c r="B48" s="592" t="str">
        <f>+VLOOKUP($A48,Master!$D$30:$G$226,4,FALSE)</f>
        <v>Pozajmice i krediti</v>
      </c>
      <c r="C48" s="593"/>
      <c r="D48" s="593"/>
      <c r="E48" s="593"/>
      <c r="F48" s="593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5">
        <f t="shared" si="3"/>
        <v>2.6548783116278205E-2</v>
      </c>
      <c r="U48" s="472"/>
      <c r="V48" s="292"/>
    </row>
    <row r="49" spans="1:22" s="333" customFormat="1">
      <c r="A49" s="332">
        <v>47</v>
      </c>
      <c r="B49" s="584" t="str">
        <f>+VLOOKUP($A49,Master!$D$30:$G$226,4,FALSE)</f>
        <v>Rezerve</v>
      </c>
      <c r="C49" s="585"/>
      <c r="D49" s="585"/>
      <c r="E49" s="585"/>
      <c r="F49" s="585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5">
        <f t="shared" si="3"/>
        <v>1.4375075259590291</v>
      </c>
      <c r="U49" s="472"/>
      <c r="V49" s="292"/>
    </row>
    <row r="50" spans="1:22" ht="13.5" thickBot="1">
      <c r="A50" s="135">
        <v>462</v>
      </c>
      <c r="B50" s="519" t="str">
        <f>+VLOOKUP($A50,Master!$D$30:$G$226,4,FALSE)</f>
        <v>Otplata garancija</v>
      </c>
      <c r="C50" s="520"/>
      <c r="D50" s="520"/>
      <c r="E50" s="520"/>
      <c r="F50" s="520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5">
        <f t="shared" si="3"/>
        <v>0.15562202943382153</v>
      </c>
      <c r="U50" s="472"/>
      <c r="V50" s="292"/>
    </row>
    <row r="51" spans="1:22" ht="13.5" thickBot="1">
      <c r="A51" s="129">
        <v>4630</v>
      </c>
      <c r="B51" s="586" t="str">
        <f>+VLOOKUP($A51,Master!$D$30:$G$226,4,TRUE)</f>
        <v>Otplata obaveza iz prethodnog perioda</v>
      </c>
      <c r="C51" s="587"/>
      <c r="D51" s="587"/>
      <c r="E51" s="587"/>
      <c r="F51" s="587"/>
      <c r="G51" s="429">
        <v>1018944.7</v>
      </c>
      <c r="H51" s="429">
        <v>1642283.23</v>
      </c>
      <c r="I51" s="429">
        <v>1493597.85</v>
      </c>
      <c r="J51" s="429">
        <v>1366097.79</v>
      </c>
      <c r="K51" s="429">
        <v>11033574.689999999</v>
      </c>
      <c r="L51" s="429">
        <v>1293176.52</v>
      </c>
      <c r="M51" s="429">
        <v>1500471</v>
      </c>
      <c r="N51" s="429">
        <v>732375.88</v>
      </c>
      <c r="O51" s="429">
        <v>977597.05</v>
      </c>
      <c r="P51" s="429">
        <v>805119.83</v>
      </c>
      <c r="Q51" s="429">
        <v>1443057.19</v>
      </c>
      <c r="R51" s="430">
        <v>2905903.4</v>
      </c>
      <c r="S51" s="397">
        <f>+SUM(G51:R51)</f>
        <v>26212199.129999999</v>
      </c>
      <c r="T51" s="439">
        <f t="shared" si="3"/>
        <v>0.52899264376454558</v>
      </c>
      <c r="U51" s="472"/>
      <c r="V51" s="292"/>
    </row>
    <row r="52" spans="1:22" ht="13.5" thickBot="1">
      <c r="A52" s="61">
        <v>1005</v>
      </c>
      <c r="B52" s="588" t="str">
        <f>+VLOOKUP($A52,Master!$D$30:$G$228,4,FALSE)</f>
        <v>Neto povećanje obaveza</v>
      </c>
      <c r="C52" s="589"/>
      <c r="D52" s="589"/>
      <c r="E52" s="589"/>
      <c r="F52" s="589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0">
        <f t="shared" si="3"/>
        <v>0</v>
      </c>
      <c r="U52" s="452"/>
    </row>
    <row r="53" spans="1:22" ht="13.5" thickBot="1">
      <c r="A53" s="129">
        <v>1000</v>
      </c>
      <c r="B53" s="521" t="str">
        <f>+VLOOKUP($A53,Master!$D$30:$G$226,4,FALSE)</f>
        <v>Suficit / deficit</v>
      </c>
      <c r="C53" s="522"/>
      <c r="D53" s="522"/>
      <c r="E53" s="522"/>
      <c r="F53" s="522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1">
        <f t="shared" si="3"/>
        <v>-2.0083958936581898</v>
      </c>
      <c r="U53" s="472"/>
      <c r="V53" s="292"/>
    </row>
    <row r="54" spans="1:22" ht="13.5" thickBot="1">
      <c r="A54" s="129">
        <v>1001</v>
      </c>
      <c r="B54" s="523" t="str">
        <f>+VLOOKUP($A54,Master!$D$30:$G$226,4,FALSE)</f>
        <v>Primarni suficit/deficit</v>
      </c>
      <c r="C54" s="524"/>
      <c r="D54" s="524"/>
      <c r="E54" s="524"/>
      <c r="F54" s="524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1">
        <f t="shared" si="3"/>
        <v>0.29344531813180658</v>
      </c>
    </row>
    <row r="55" spans="1:22">
      <c r="A55" s="129">
        <v>46</v>
      </c>
      <c r="B55" s="545" t="str">
        <f>+VLOOKUP($A55,Master!$D$30:$G$226,4,FALSE)</f>
        <v>Otplata dugova</v>
      </c>
      <c r="C55" s="546"/>
      <c r="D55" s="546"/>
      <c r="E55" s="546"/>
      <c r="F55" s="546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2">
        <f t="shared" si="3"/>
        <v>8.8312247735471772</v>
      </c>
    </row>
    <row r="56" spans="1:22">
      <c r="A56" s="129">
        <v>4611</v>
      </c>
      <c r="B56" s="541" t="str">
        <f>+VLOOKUP($A56,Master!$D$30:$G$226,4,FALSE)</f>
        <v>Otplata hartija od vrijednosti i kredita rezidentima</v>
      </c>
      <c r="C56" s="542"/>
      <c r="D56" s="542"/>
      <c r="E56" s="542"/>
      <c r="F56" s="542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3">
        <f t="shared" si="3"/>
        <v>1.7216367645076323</v>
      </c>
      <c r="U56" s="472"/>
      <c r="V56" s="292"/>
    </row>
    <row r="57" spans="1:22" ht="13.5" thickBot="1">
      <c r="A57" s="129">
        <v>4612</v>
      </c>
      <c r="B57" s="517" t="str">
        <f>+VLOOKUP($A57,Master!$D$30:$G$226,4,FALSE)</f>
        <v>Otplata hartija od vrijednosti i kredita nerezidentima</v>
      </c>
      <c r="C57" s="518"/>
      <c r="D57" s="518"/>
      <c r="E57" s="518"/>
      <c r="F57" s="518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3">
        <f t="shared" si="3"/>
        <v>7.1095880090395456</v>
      </c>
      <c r="U57" s="472"/>
      <c r="V57" s="292"/>
    </row>
    <row r="58" spans="1:22" ht="13.5" thickBot="1">
      <c r="A58" s="129">
        <v>4418</v>
      </c>
      <c r="B58" s="509" t="str">
        <f>+VLOOKUP($A58,Master!$D$30:$G$226,4,FALSE)</f>
        <v>Izdaci za kupovinu hartija od vrijednosti</v>
      </c>
      <c r="C58" s="510"/>
      <c r="D58" s="510"/>
      <c r="E58" s="510"/>
      <c r="F58" s="510"/>
      <c r="G58" s="431">
        <v>0</v>
      </c>
      <c r="H58" s="431">
        <v>0</v>
      </c>
      <c r="I58" s="431">
        <v>0</v>
      </c>
      <c r="J58" s="431">
        <v>0</v>
      </c>
      <c r="K58" s="431">
        <v>0</v>
      </c>
      <c r="L58" s="431">
        <v>0</v>
      </c>
      <c r="M58" s="431">
        <v>0</v>
      </c>
      <c r="N58" s="431">
        <v>0</v>
      </c>
      <c r="O58" s="431">
        <v>0</v>
      </c>
      <c r="P58" s="431">
        <v>506343.98</v>
      </c>
      <c r="Q58" s="431">
        <v>0</v>
      </c>
      <c r="R58" s="432">
        <v>0</v>
      </c>
      <c r="S58" s="234">
        <f>SUM(G58:R58)</f>
        <v>506343.98</v>
      </c>
      <c r="T58" s="444">
        <f t="shared" si="3"/>
        <v>1.0218610018413293E-2</v>
      </c>
    </row>
    <row r="59" spans="1:22" ht="13.5" thickBot="1">
      <c r="A59" s="129">
        <v>1002</v>
      </c>
      <c r="B59" s="543" t="str">
        <f>+VLOOKUP($A59,Master!$D$30:$G$226,4,FALSE)</f>
        <v>Nedostajuća sredstva</v>
      </c>
      <c r="C59" s="544"/>
      <c r="D59" s="544"/>
      <c r="E59" s="544"/>
      <c r="F59" s="544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5">
        <f t="shared" si="3"/>
        <v>-10.849839277223779</v>
      </c>
    </row>
    <row r="60" spans="1:22" ht="13.5" thickBot="1">
      <c r="A60" s="129">
        <v>1003</v>
      </c>
      <c r="B60" s="507" t="str">
        <f>+VLOOKUP($A60,Master!$D$30:$G$226,4,FALSE)</f>
        <v>Finansiranje</v>
      </c>
      <c r="C60" s="508"/>
      <c r="D60" s="508"/>
      <c r="E60" s="508"/>
      <c r="F60" s="508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6">
        <f t="shared" si="3"/>
        <v>10.849839277223779</v>
      </c>
    </row>
    <row r="61" spans="1:22">
      <c r="A61" s="129">
        <v>7511</v>
      </c>
      <c r="B61" s="541" t="str">
        <f>+VLOOKUP($A61,Master!$D$30:$G$226,4,FALSE)</f>
        <v>Pozajmice i krediti od domaćih izvora</v>
      </c>
      <c r="C61" s="542"/>
      <c r="D61" s="542"/>
      <c r="E61" s="542"/>
      <c r="F61" s="542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3">
        <f t="shared" si="3"/>
        <v>0</v>
      </c>
      <c r="U61" s="472"/>
      <c r="V61" s="292"/>
    </row>
    <row r="62" spans="1:22">
      <c r="A62" s="129">
        <v>7512</v>
      </c>
      <c r="B62" s="517" t="str">
        <f>+VLOOKUP($A62,Master!$D$30:$G$226,4,FALSE)</f>
        <v>Pozajmice i krediti od inostranih izvora</v>
      </c>
      <c r="C62" s="518"/>
      <c r="D62" s="518"/>
      <c r="E62" s="518"/>
      <c r="F62" s="518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6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3">
        <f t="shared" si="3"/>
        <v>2.4939416883479617</v>
      </c>
      <c r="U62" s="472"/>
      <c r="V62" s="292"/>
    </row>
    <row r="63" spans="1:22">
      <c r="A63" s="129">
        <v>72</v>
      </c>
      <c r="B63" s="517" t="str">
        <f>+VLOOKUP($A63,Master!$D$30:$G$226,4,FALSE)</f>
        <v>Primici od prodaje imovine</v>
      </c>
      <c r="C63" s="518"/>
      <c r="D63" s="518"/>
      <c r="E63" s="518"/>
      <c r="F63" s="518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6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3">
        <f t="shared" si="3"/>
        <v>8.9878385087251239E-2</v>
      </c>
      <c r="U63" s="472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7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573" t="str">
        <f>+Master!G253</f>
        <v>Plan ostvarenja budžeta</v>
      </c>
      <c r="C81" s="574"/>
      <c r="D81" s="574"/>
      <c r="E81" s="574"/>
      <c r="F81" s="574"/>
      <c r="G81" s="581">
        <v>2021</v>
      </c>
      <c r="H81" s="582"/>
      <c r="I81" s="582"/>
      <c r="J81" s="582"/>
      <c r="K81" s="582"/>
      <c r="L81" s="582"/>
      <c r="M81" s="582"/>
      <c r="N81" s="582"/>
      <c r="O81" s="582"/>
      <c r="P81" s="582"/>
      <c r="Q81" s="582"/>
      <c r="R81" s="583"/>
      <c r="S81" s="96" t="str">
        <f>+S7</f>
        <v>BDP</v>
      </c>
      <c r="T81" s="97">
        <v>4636600000</v>
      </c>
    </row>
    <row r="82" spans="1:21" ht="15.75" customHeight="1">
      <c r="B82" s="575"/>
      <c r="C82" s="576"/>
      <c r="D82" s="576"/>
      <c r="E82" s="576"/>
      <c r="F82" s="577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581" t="str">
        <f>+Master!G247</f>
        <v>Jan - Dec</v>
      </c>
      <c r="T82" s="583">
        <f>+T8</f>
        <v>0</v>
      </c>
    </row>
    <row r="83" spans="1:21" ht="13.5" thickBot="1">
      <c r="B83" s="578"/>
      <c r="C83" s="579"/>
      <c r="D83" s="579"/>
      <c r="E83" s="579"/>
      <c r="F83" s="580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596" t="str">
        <f>+VLOOKUP(LEFT($A84,LEN(A84)-1)*1,Master!$D$30:$G$226,4,FALSE)</f>
        <v>Prihodi budžeta</v>
      </c>
      <c r="C84" s="597"/>
      <c r="D84" s="597"/>
      <c r="E84" s="597"/>
      <c r="F84" s="597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4">
        <f>+SUM(G84:R84)</f>
        <v>1880205845.3399</v>
      </c>
      <c r="T84" s="448">
        <f>+S84/$T$81*100</f>
        <v>40.551392083421042</v>
      </c>
      <c r="U84" s="242"/>
    </row>
    <row r="85" spans="1:21">
      <c r="A85" s="105" t="str">
        <f t="shared" si="17"/>
        <v>711p</v>
      </c>
      <c r="B85" s="571" t="str">
        <f>+VLOOKUP(LEFT($A85,LEN(A85)-1)*1,Master!$D$30:$G$226,4,FALSE)</f>
        <v>Porezi</v>
      </c>
      <c r="C85" s="572"/>
      <c r="D85" s="572"/>
      <c r="E85" s="572"/>
      <c r="F85" s="572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4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563" t="str">
        <f>+VLOOKUP(LEFT($A86,LEN(A86)-1)*1,Master!$D$30:$G$229,4,FALSE)</f>
        <v>Porez na dohodak fizičkih lica</v>
      </c>
      <c r="C86" s="564"/>
      <c r="D86" s="564"/>
      <c r="E86" s="564"/>
      <c r="F86" s="564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5">
        <f t="shared" si="21"/>
        <v>3.342095146967782</v>
      </c>
    </row>
    <row r="87" spans="1:21">
      <c r="A87" s="105" t="str">
        <f t="shared" si="17"/>
        <v>7112p</v>
      </c>
      <c r="B87" s="563" t="str">
        <f>+VLOOKUP(LEFT($A87,LEN(A87)-1)*1,Master!$D$30:$G$229,4,FALSE)</f>
        <v>Porez na dobit pravnih lica</v>
      </c>
      <c r="C87" s="564"/>
      <c r="D87" s="564"/>
      <c r="E87" s="564"/>
      <c r="F87" s="564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5">
        <f t="shared" si="21"/>
        <v>1.2943922881014109</v>
      </c>
    </row>
    <row r="88" spans="1:21">
      <c r="A88" s="105" t="str">
        <f t="shared" si="17"/>
        <v>7113p</v>
      </c>
      <c r="B88" s="563" t="str">
        <f>+VLOOKUP(LEFT($A88,LEN(A88)-1)*1,Master!$D$30:$G$229,4,FALSE)</f>
        <v>Porez na promet nepokretnosti</v>
      </c>
      <c r="C88" s="564"/>
      <c r="D88" s="564"/>
      <c r="E88" s="564"/>
      <c r="F88" s="564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5">
        <f t="shared" si="21"/>
        <v>3.4703770606910232E-2</v>
      </c>
    </row>
    <row r="89" spans="1:21">
      <c r="A89" s="105" t="str">
        <f t="shared" si="17"/>
        <v>7114p</v>
      </c>
      <c r="B89" s="563" t="str">
        <f>+VLOOKUP(LEFT($A89,LEN(A89)-1)*1,Master!$D$30:$G$229,4,FALSE)</f>
        <v>Porez na dodatu vrijednost</v>
      </c>
      <c r="C89" s="564"/>
      <c r="D89" s="564"/>
      <c r="E89" s="564"/>
      <c r="F89" s="564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5">
        <f t="shared" si="21"/>
        <v>13.195240452948015</v>
      </c>
    </row>
    <row r="90" spans="1:21">
      <c r="A90" s="105" t="str">
        <f t="shared" si="17"/>
        <v>7115p</v>
      </c>
      <c r="B90" s="563" t="str">
        <f>+VLOOKUP(LEFT($A90,LEN(A90)-1)*1,Master!$D$30:$G$229,4,FALSE)</f>
        <v>Akcize</v>
      </c>
      <c r="C90" s="564"/>
      <c r="D90" s="564"/>
      <c r="E90" s="564"/>
      <c r="F90" s="564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5">
        <f t="shared" si="21"/>
        <v>5.1970907056571622</v>
      </c>
    </row>
    <row r="91" spans="1:21">
      <c r="A91" s="105" t="str">
        <f t="shared" si="17"/>
        <v>7116p</v>
      </c>
      <c r="B91" s="563" t="str">
        <f>+VLOOKUP(LEFT($A91,LEN(A91)-1)*1,Master!$D$30:$G$229,4,FALSE)</f>
        <v>Porez na međunarodnu trgovinu i transakcije</v>
      </c>
      <c r="C91" s="564"/>
      <c r="D91" s="564"/>
      <c r="E91" s="564"/>
      <c r="F91" s="564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5">
        <f t="shared" si="21"/>
        <v>0.53454626393521121</v>
      </c>
    </row>
    <row r="92" spans="1:21">
      <c r="A92" s="105" t="str">
        <f t="shared" si="17"/>
        <v>7118p</v>
      </c>
      <c r="B92" s="563" t="str">
        <f>+VLOOKUP(LEFT($A92,LEN(A92)-1)*1,Master!$D$30:$G$229,4,FALSE)</f>
        <v>Ostali državni porezi</v>
      </c>
      <c r="C92" s="564"/>
      <c r="D92" s="564"/>
      <c r="E92" s="564"/>
      <c r="F92" s="564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5">
        <f t="shared" si="21"/>
        <v>0.23596029916404263</v>
      </c>
    </row>
    <row r="93" spans="1:21">
      <c r="A93" s="105" t="str">
        <f t="shared" si="17"/>
        <v>712p</v>
      </c>
      <c r="B93" s="598" t="str">
        <f>+VLOOKUP(LEFT($A93,LEN(A93)-1)*1,Master!$D$30:$G$229,4,FALSE)</f>
        <v>Doprinosi</v>
      </c>
      <c r="C93" s="599"/>
      <c r="D93" s="599"/>
      <c r="E93" s="599"/>
      <c r="F93" s="599"/>
      <c r="G93" s="71">
        <f>+SUM(G94:G97)</f>
        <v>16292817.308185648</v>
      </c>
      <c r="H93" s="71">
        <f t="shared" ref="H93:R93" si="22">+SUM(H94:H97)</f>
        <v>41389656.549846224</v>
      </c>
      <c r="I93" s="451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6">
        <f t="shared" si="21"/>
        <v>12.548878564749469</v>
      </c>
    </row>
    <row r="94" spans="1:21">
      <c r="A94" s="105" t="str">
        <f t="shared" si="17"/>
        <v>7121p</v>
      </c>
      <c r="B94" s="563" t="str">
        <f>+VLOOKUP(LEFT($A94,LEN(A94)-1)*1,Master!$D$30:$G$229,4,FALSE)</f>
        <v>Doprinosi za penzijsko i invalidsko osiguranje</v>
      </c>
      <c r="C94" s="564"/>
      <c r="D94" s="564"/>
      <c r="E94" s="564"/>
      <c r="F94" s="564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5">
        <f t="shared" si="21"/>
        <v>7.8081986886007</v>
      </c>
    </row>
    <row r="95" spans="1:21">
      <c r="A95" s="105" t="str">
        <f t="shared" si="17"/>
        <v>7122p</v>
      </c>
      <c r="B95" s="563" t="str">
        <f>+VLOOKUP(LEFT($A95,LEN(A95)-1)*1,Master!$D$30:$G$229,4,FALSE)</f>
        <v>Doprinosi za zdravstveno osiguranje</v>
      </c>
      <c r="C95" s="564"/>
      <c r="D95" s="564"/>
      <c r="E95" s="564"/>
      <c r="F95" s="564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5">
        <f t="shared" si="21"/>
        <v>4.0418037813006764</v>
      </c>
    </row>
    <row r="96" spans="1:21">
      <c r="A96" s="105" t="str">
        <f t="shared" si="17"/>
        <v>7123p</v>
      </c>
      <c r="B96" s="563" t="str">
        <f>+VLOOKUP(LEFT($A96,LEN(A96)-1)*1,Master!$D$30:$G$229,4,FALSE)</f>
        <v>Doprinosi za osiguranje od nezaposlenosti</v>
      </c>
      <c r="C96" s="564"/>
      <c r="D96" s="564"/>
      <c r="E96" s="564"/>
      <c r="F96" s="564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5">
        <f t="shared" si="21"/>
        <v>0.37739904074144265</v>
      </c>
    </row>
    <row r="97" spans="1:23">
      <c r="A97" s="105" t="str">
        <f t="shared" si="17"/>
        <v>7124p</v>
      </c>
      <c r="B97" s="563" t="str">
        <f>+VLOOKUP(LEFT($A97,LEN(A97)-1)*1,Master!$D$30:$G$229,4,FALSE)</f>
        <v>Ostali doprinosi</v>
      </c>
      <c r="C97" s="564"/>
      <c r="D97" s="564"/>
      <c r="E97" s="564"/>
      <c r="F97" s="564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5">
        <f t="shared" si="21"/>
        <v>0.32147705410665273</v>
      </c>
    </row>
    <row r="98" spans="1:23">
      <c r="A98" s="105" t="str">
        <f t="shared" si="17"/>
        <v>713p</v>
      </c>
      <c r="B98" s="569" t="str">
        <f>+VLOOKUP(LEFT($A98,LEN(A98)-1)*1,Master!$D$30:$G$229,4,FALSE)</f>
        <v>Takse</v>
      </c>
      <c r="C98" s="570"/>
      <c r="D98" s="570"/>
      <c r="E98" s="570"/>
      <c r="F98" s="570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6">
        <f t="shared" si="21"/>
        <v>0.27557339372126122</v>
      </c>
    </row>
    <row r="99" spans="1:23">
      <c r="A99" s="105" t="str">
        <f t="shared" si="17"/>
        <v>714p</v>
      </c>
      <c r="B99" s="569" t="str">
        <f>+VLOOKUP(LEFT($A99,LEN(A99)-1)*1,Master!$D$30:$G$229,4,FALSE)</f>
        <v>Naknade</v>
      </c>
      <c r="C99" s="570"/>
      <c r="D99" s="570"/>
      <c r="E99" s="570"/>
      <c r="F99" s="570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6">
        <f t="shared" si="21"/>
        <v>0.87442029964197865</v>
      </c>
    </row>
    <row r="100" spans="1:23">
      <c r="A100" s="105" t="str">
        <f t="shared" si="17"/>
        <v>715p</v>
      </c>
      <c r="B100" s="569" t="str">
        <f>+VLOOKUP(LEFT($A100,LEN(A100)-1)*1,Master!$D$30:$G$229,4,FALSE)</f>
        <v>Ostali prihodi</v>
      </c>
      <c r="C100" s="570"/>
      <c r="D100" s="570"/>
      <c r="E100" s="570"/>
      <c r="F100" s="570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6">
        <f t="shared" si="21"/>
        <v>1.4196769637950202</v>
      </c>
    </row>
    <row r="101" spans="1:23">
      <c r="A101" s="105" t="str">
        <f t="shared" si="17"/>
        <v>73p</v>
      </c>
      <c r="B101" s="569" t="str">
        <f>+VLOOKUP(LEFT($A101,LEN(A101)-1)*1,Master!$D$30:$G$229,4,FALSE)</f>
        <v>Primici od otplate kredita i sredstva prenesena iz prethodne godine</v>
      </c>
      <c r="C101" s="570"/>
      <c r="D101" s="570"/>
      <c r="E101" s="570"/>
      <c r="F101" s="570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6">
        <f t="shared" si="21"/>
        <v>0.19907921041280252</v>
      </c>
    </row>
    <row r="102" spans="1:23" ht="13.5" thickBot="1">
      <c r="A102" s="105" t="str">
        <f t="shared" si="17"/>
        <v>74p</v>
      </c>
      <c r="B102" s="565" t="str">
        <f>+VLOOKUP(LEFT($A102,LEN(A102)-1)*1,Master!$D$30:$G$229,4,FALSE)</f>
        <v>Donacije i transferi</v>
      </c>
      <c r="C102" s="566"/>
      <c r="D102" s="566"/>
      <c r="E102" s="566"/>
      <c r="F102" s="566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7">
        <f t="shared" si="21"/>
        <v>1.3997347237199673</v>
      </c>
    </row>
    <row r="103" spans="1:23" ht="13.5" thickBot="1">
      <c r="A103" s="105" t="str">
        <f t="shared" si="17"/>
        <v>4p</v>
      </c>
      <c r="B103" s="547" t="str">
        <f>+VLOOKUP(LEFT($A103,LEN(A103)-1)*1,Master!$D$30:$G$229,4,FALSE)</f>
        <v>Izdaci budžeta</v>
      </c>
      <c r="C103" s="548"/>
      <c r="D103" s="548"/>
      <c r="E103" s="548"/>
      <c r="F103" s="548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2">
        <f>+SUM(G103:R103)</f>
        <v>2055535193.0642829</v>
      </c>
      <c r="T103" s="449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567" t="str">
        <f>+VLOOKUP(LEFT($A104,LEN(A104)-1)*1,Master!$D$30:$G$229,4,FALSE)</f>
        <v>Tekući izdaci</v>
      </c>
      <c r="C104" s="568"/>
      <c r="D104" s="568"/>
      <c r="E104" s="568"/>
      <c r="F104" s="568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4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563" t="str">
        <f>+VLOOKUP(LEFT($A105,LEN(A105)-1)*1,Master!$D$30:$G$229,4,FALSE)</f>
        <v>Bruto zarade i doprinosi na teret poslodavca</v>
      </c>
      <c r="C105" s="564"/>
      <c r="D105" s="564"/>
      <c r="E105" s="564"/>
      <c r="F105" s="564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5">
        <f t="shared" si="21"/>
        <v>11.278641018850019</v>
      </c>
    </row>
    <row r="106" spans="1:23">
      <c r="A106" s="105" t="str">
        <f t="shared" si="17"/>
        <v>412p</v>
      </c>
      <c r="B106" s="563" t="str">
        <f>+VLOOKUP(LEFT($A106,LEN(A106)-1)*1,Master!$D$30:$G$229,4,FALSE)</f>
        <v>Ostala lična primanja</v>
      </c>
      <c r="C106" s="564"/>
      <c r="D106" s="564"/>
      <c r="E106" s="564"/>
      <c r="F106" s="564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5">
        <f t="shared" si="21"/>
        <v>0.26959439934434715</v>
      </c>
    </row>
    <row r="107" spans="1:23">
      <c r="A107" s="105" t="str">
        <f t="shared" si="17"/>
        <v>413p</v>
      </c>
      <c r="B107" s="563" t="str">
        <f>+VLOOKUP(LEFT($A107,LEN(A107)-1)*1,Master!$D$30:$G$229,4,FALSE)</f>
        <v>Rashodi za materijal</v>
      </c>
      <c r="C107" s="564"/>
      <c r="D107" s="564"/>
      <c r="E107" s="564"/>
      <c r="F107" s="564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5">
        <f t="shared" si="21"/>
        <v>0.6893019837812191</v>
      </c>
    </row>
    <row r="108" spans="1:23">
      <c r="A108" s="105" t="str">
        <f t="shared" si="17"/>
        <v>414p</v>
      </c>
      <c r="B108" s="563" t="str">
        <f>+VLOOKUP(LEFT($A108,LEN(A108)-1)*1,Master!$D$30:$G$229,4,FALSE)</f>
        <v>Rashodi za usluge</v>
      </c>
      <c r="C108" s="564"/>
      <c r="D108" s="564"/>
      <c r="E108" s="564"/>
      <c r="F108" s="564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5">
        <f t="shared" si="21"/>
        <v>1.3532731210369666</v>
      </c>
    </row>
    <row r="109" spans="1:23">
      <c r="A109" s="105" t="str">
        <f t="shared" si="17"/>
        <v>415p</v>
      </c>
      <c r="B109" s="563" t="str">
        <f>+VLOOKUP(LEFT($A109,LEN(A109)-1)*1,Master!$D$30:$G$229,4,FALSE)</f>
        <v>Rashodi za tekuće održavanje</v>
      </c>
      <c r="C109" s="564"/>
      <c r="D109" s="564"/>
      <c r="E109" s="564"/>
      <c r="F109" s="564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5">
        <f t="shared" si="21"/>
        <v>0.50341789889142918</v>
      </c>
    </row>
    <row r="110" spans="1:23">
      <c r="A110" s="105" t="str">
        <f t="shared" si="17"/>
        <v>416p</v>
      </c>
      <c r="B110" s="563" t="str">
        <f>+VLOOKUP(LEFT($A110,LEN(A110)-1)*1,Master!$D$30:$G$229,4,FALSE)</f>
        <v>Kamate</v>
      </c>
      <c r="C110" s="564"/>
      <c r="D110" s="564"/>
      <c r="E110" s="564"/>
      <c r="F110" s="564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5">
        <f t="shared" si="21"/>
        <v>2.4387566176569671</v>
      </c>
    </row>
    <row r="111" spans="1:23">
      <c r="A111" s="105" t="str">
        <f t="shared" si="17"/>
        <v>417p</v>
      </c>
      <c r="B111" s="563" t="str">
        <f>+VLOOKUP(LEFT($A111,LEN(A111)-1)*1,Master!$D$30:$G$229,4,FALSE)</f>
        <v>Renta</v>
      </c>
      <c r="C111" s="564"/>
      <c r="D111" s="564"/>
      <c r="E111" s="564"/>
      <c r="F111" s="564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5">
        <f t="shared" si="21"/>
        <v>0.23455438597247985</v>
      </c>
    </row>
    <row r="112" spans="1:23">
      <c r="A112" s="105" t="str">
        <f t="shared" si="17"/>
        <v>418p</v>
      </c>
      <c r="B112" s="563" t="str">
        <f>+VLOOKUP(LEFT($A112,LEN(A112)-1)*1,Master!$D$30:$G$229,4,FALSE)</f>
        <v>Subvencije</v>
      </c>
      <c r="C112" s="564"/>
      <c r="D112" s="564"/>
      <c r="E112" s="564"/>
      <c r="F112" s="564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5">
        <f t="shared" si="21"/>
        <v>1.095014621489885</v>
      </c>
    </row>
    <row r="113" spans="1:22">
      <c r="A113" s="105" t="str">
        <f t="shared" si="17"/>
        <v>419p</v>
      </c>
      <c r="B113" s="563" t="str">
        <f>+VLOOKUP(LEFT($A113,LEN(A113)-1)*1,Master!$D$30:$G$229,4,FALSE)</f>
        <v>Ostali izdaci</v>
      </c>
      <c r="C113" s="564"/>
      <c r="D113" s="564"/>
      <c r="E113" s="564"/>
      <c r="F113" s="564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5">
        <f t="shared" si="21"/>
        <v>0.97937629944355764</v>
      </c>
    </row>
    <row r="114" spans="1:22">
      <c r="A114" s="105" t="str">
        <f t="shared" si="17"/>
        <v>42p</v>
      </c>
      <c r="B114" s="559" t="str">
        <f>+VLOOKUP(LEFT($A114,LEN(A114)-1)*1,Master!$D$30:$G$229,4,FALSE)</f>
        <v>Transferi za socijalnu zaštitu</v>
      </c>
      <c r="C114" s="560"/>
      <c r="D114" s="560"/>
      <c r="E114" s="560"/>
      <c r="F114" s="560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6">
        <f t="shared" si="21"/>
        <v>12.924380405253846</v>
      </c>
    </row>
    <row r="115" spans="1:22">
      <c r="A115" s="105" t="str">
        <f t="shared" si="17"/>
        <v>421p</v>
      </c>
      <c r="B115" s="563" t="str">
        <f>+VLOOKUP(LEFT($A115,LEN(A115)-1)*1,Master!$D$30:$G$229,4,FALSE)</f>
        <v>Prava iz oblasti socijalne zaštite</v>
      </c>
      <c r="C115" s="564"/>
      <c r="D115" s="564"/>
      <c r="E115" s="564"/>
      <c r="F115" s="564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5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563" t="str">
        <f>+VLOOKUP(LEFT($A116,LEN(A116)-1)*1,Master!$D$30:$G$229,4,FALSE)</f>
        <v>Sredstva za tehnološke viškove</v>
      </c>
      <c r="C116" s="564"/>
      <c r="D116" s="564"/>
      <c r="E116" s="564"/>
      <c r="F116" s="564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5">
        <f t="shared" si="21"/>
        <v>0.40028421558900928</v>
      </c>
    </row>
    <row r="117" spans="1:22">
      <c r="A117" s="105" t="str">
        <f t="shared" si="26"/>
        <v>423p</v>
      </c>
      <c r="B117" s="563" t="str">
        <f>+VLOOKUP(LEFT($A117,LEN(A117)-1)*1,Master!$D$30:$G$229,4,FALSE)</f>
        <v>Prava iz oblasti penzijskog i invalidskog osiguranja</v>
      </c>
      <c r="C117" s="564"/>
      <c r="D117" s="564"/>
      <c r="E117" s="564"/>
      <c r="F117" s="564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5">
        <f t="shared" si="21"/>
        <v>9.6073360637104752</v>
      </c>
    </row>
    <row r="118" spans="1:22">
      <c r="A118" s="105" t="str">
        <f t="shared" si="26"/>
        <v>424p</v>
      </c>
      <c r="B118" s="563" t="str">
        <f>+VLOOKUP(LEFT($A118,LEN(A118)-1)*1,Master!$D$30:$G$229,4,FALSE)</f>
        <v>Ostala prava iz oblasti zdravstvene zaštite</v>
      </c>
      <c r="C118" s="564"/>
      <c r="D118" s="564"/>
      <c r="E118" s="564"/>
      <c r="F118" s="564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5">
        <f t="shared" si="21"/>
        <v>0.32998317732821458</v>
      </c>
    </row>
    <row r="119" spans="1:22">
      <c r="A119" s="105" t="str">
        <f t="shared" si="26"/>
        <v>425p</v>
      </c>
      <c r="B119" s="563" t="str">
        <f>+VLOOKUP(LEFT($A119,LEN(A119)-1)*1,Master!$D$30:$G$229,4,FALSE)</f>
        <v>Ostala prava iz zdravstvenog osiguranja</v>
      </c>
      <c r="C119" s="564"/>
      <c r="D119" s="564"/>
      <c r="E119" s="564"/>
      <c r="F119" s="564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5">
        <f t="shared" si="21"/>
        <v>0.24802657119440971</v>
      </c>
    </row>
    <row r="120" spans="1:22">
      <c r="A120" s="105" t="str">
        <f t="shared" si="26"/>
        <v>43p</v>
      </c>
      <c r="B120" s="561" t="str">
        <f>+VLOOKUP(LEFT($A120,LEN(A120)-1)*1,Master!$D$30:$G$229,4,FALSE)</f>
        <v xml:space="preserve">Transferi institucijama, pojedincima, nevladinom i javnom sektoru </v>
      </c>
      <c r="C120" s="562"/>
      <c r="D120" s="562"/>
      <c r="E120" s="562"/>
      <c r="F120" s="562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6">
        <f t="shared" si="21"/>
        <v>5.6085441784928598</v>
      </c>
    </row>
    <row r="121" spans="1:22">
      <c r="A121" s="105" t="str">
        <f t="shared" si="26"/>
        <v>44p</v>
      </c>
      <c r="B121" s="561" t="str">
        <f>+VLOOKUP(LEFT($A121,LEN(A121)-1)*1,Master!$D$30:$G$229,4,FALSE)</f>
        <v>Kapitalni izdaci</v>
      </c>
      <c r="C121" s="562"/>
      <c r="D121" s="562"/>
      <c r="E121" s="562"/>
      <c r="F121" s="562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6">
        <f t="shared" si="21"/>
        <v>5.0803331212526421</v>
      </c>
    </row>
    <row r="122" spans="1:22">
      <c r="A122" s="105" t="str">
        <f t="shared" si="26"/>
        <v>451p</v>
      </c>
      <c r="B122" s="553" t="str">
        <f>+VLOOKUP(LEFT($A122,LEN(A122)-1)*1,Master!$D$30:$G$229,4,FALSE)</f>
        <v>Pozajmice i krediti</v>
      </c>
      <c r="C122" s="554"/>
      <c r="D122" s="554"/>
      <c r="E122" s="554"/>
      <c r="F122" s="554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5">
        <f t="shared" si="21"/>
        <v>3.3515959970668155E-2</v>
      </c>
    </row>
    <row r="123" spans="1:22">
      <c r="A123" s="105" t="str">
        <f t="shared" si="26"/>
        <v>47p</v>
      </c>
      <c r="B123" s="553" t="str">
        <f>+VLOOKUP(LEFT($A123,LEN(A123)-1)*1,Master!$D$30:$G$229,4,FALSE)</f>
        <v>Rezerve</v>
      </c>
      <c r="C123" s="554"/>
      <c r="D123" s="554"/>
      <c r="E123" s="554"/>
      <c r="F123" s="554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5">
        <f t="shared" si="21"/>
        <v>1.535889466419359</v>
      </c>
    </row>
    <row r="124" spans="1:22">
      <c r="A124" s="105" t="str">
        <f t="shared" si="26"/>
        <v>462p</v>
      </c>
      <c r="B124" s="553" t="str">
        <f>+VLOOKUP(LEFT($A124,LEN(A124)-1)*1,Master!$D$30:$G$229,4,FALSE)</f>
        <v>Otplata garancija</v>
      </c>
      <c r="C124" s="554"/>
      <c r="D124" s="554"/>
      <c r="E124" s="554"/>
      <c r="F124" s="554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5">
        <f t="shared" si="21"/>
        <v>8.3250657809601863E-2</v>
      </c>
    </row>
    <row r="125" spans="1:22">
      <c r="A125" s="106" t="str">
        <f t="shared" si="26"/>
        <v>4630p</v>
      </c>
      <c r="B125" s="553" t="str">
        <f>+VLOOKUP(LEFT($A125,LEN(A125)-1)*1,Master!$D$30:$G$229,4,FALSE)</f>
        <v>Otplata obaveza iz prethodnog perioda</v>
      </c>
      <c r="C125" s="554"/>
      <c r="D125" s="554"/>
      <c r="E125" s="554"/>
      <c r="F125" s="554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3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553" t="str">
        <f>+VLOOKUP(LEFT($A126,LEN(A126)-1)*1,Master!$D$30:$G$229,4,FALSE)</f>
        <v>Neto povećanje obaveza</v>
      </c>
      <c r="C126" s="554"/>
      <c r="D126" s="554"/>
      <c r="E126" s="554"/>
      <c r="F126" s="554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0">
        <f t="shared" si="21"/>
        <v>0</v>
      </c>
    </row>
    <row r="127" spans="1:22" ht="13.5" thickBot="1">
      <c r="A127" s="106" t="str">
        <f t="shared" si="26"/>
        <v>1000p</v>
      </c>
      <c r="B127" s="555" t="str">
        <f>+VLOOKUP(LEFT($A127,LEN(A127)-1)*1,Master!$D$30:$G$226,4,FALSE)</f>
        <v>Suficit / deficit</v>
      </c>
      <c r="C127" s="556"/>
      <c r="D127" s="556"/>
      <c r="E127" s="556"/>
      <c r="F127" s="556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1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557" t="str">
        <f>+VLOOKUP(LEFT($A128,LEN(A128)-1)*1,Master!$D$30:$G$226,4,FALSE)</f>
        <v>Primarni suficit/deficit</v>
      </c>
      <c r="C128" s="558"/>
      <c r="D128" s="558"/>
      <c r="E128" s="558"/>
      <c r="F128" s="558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1">
        <f t="shared" si="21"/>
        <v>-1.3426639863283505</v>
      </c>
    </row>
    <row r="129" spans="1:22">
      <c r="A129" s="106" t="str">
        <f t="shared" si="26"/>
        <v>46p</v>
      </c>
      <c r="B129" s="559" t="str">
        <f>+VLOOKUP(LEFT($A129,LEN(A129)-1)*1,Master!$D$30:$G$226,4,FALSE)</f>
        <v>Otplata dugova</v>
      </c>
      <c r="C129" s="560"/>
      <c r="D129" s="560"/>
      <c r="E129" s="560"/>
      <c r="F129" s="560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5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2">
        <f t="shared" si="21"/>
        <v>9.4014988176105767</v>
      </c>
    </row>
    <row r="130" spans="1:22">
      <c r="A130" s="106" t="str">
        <f t="shared" si="26"/>
        <v>4611p</v>
      </c>
      <c r="B130" s="551" t="str">
        <f>+VLOOKUP(LEFT($A130,LEN(A130)-1)*1,Master!$D$30:$G$226,4,FALSE)</f>
        <v>Otplata hartija od vrijednosti i kredita rezidentima</v>
      </c>
      <c r="C130" s="552"/>
      <c r="D130" s="552"/>
      <c r="E130" s="552"/>
      <c r="F130" s="552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4">
        <v>294018.01</v>
      </c>
      <c r="N130" s="454">
        <v>1750047.75</v>
      </c>
      <c r="O130" s="454">
        <v>2421267.87</v>
      </c>
      <c r="P130" s="454">
        <v>3875503.62</v>
      </c>
      <c r="Q130" s="454">
        <v>3741551.76</v>
      </c>
      <c r="R130" s="454">
        <v>2536618.6</v>
      </c>
      <c r="S130" s="92">
        <f t="shared" si="20"/>
        <v>85893831.950000018</v>
      </c>
      <c r="T130" s="443">
        <f t="shared" si="21"/>
        <v>1.8525176195919428</v>
      </c>
    </row>
    <row r="131" spans="1:22" ht="13.5" thickBot="1">
      <c r="A131" s="106" t="str">
        <f t="shared" si="26"/>
        <v>4612p</v>
      </c>
      <c r="B131" s="553" t="str">
        <f>+VLOOKUP(LEFT($A131,LEN(A131)-1)*1,Master!$D$30:$G$226,4,FALSE)</f>
        <v>Otplata hartija od vrijednosti i kredita nerezidentima</v>
      </c>
      <c r="C131" s="554"/>
      <c r="D131" s="554"/>
      <c r="E131" s="554"/>
      <c r="F131" s="554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4">
        <v>25464619.924741425</v>
      </c>
      <c r="N131" s="454">
        <v>3126864.3779565003</v>
      </c>
      <c r="O131" s="454">
        <v>11497770.422649164</v>
      </c>
      <c r="P131" s="454">
        <v>3625120.5096505</v>
      </c>
      <c r="Q131" s="454">
        <v>4121213.775667767</v>
      </c>
      <c r="R131" s="454">
        <v>4218746.7266666656</v>
      </c>
      <c r="S131" s="92">
        <f t="shared" si="20"/>
        <v>350016062.22733206</v>
      </c>
      <c r="T131" s="443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547" t="str">
        <f>+VLOOKUP(LEFT($A132,LEN(A132)-1)*1,Master!$D$30:$G$226,4,FALSE)</f>
        <v>Izdaci za kupovinu hartija od vrijednosti</v>
      </c>
      <c r="C132" s="548"/>
      <c r="D132" s="548"/>
      <c r="E132" s="548"/>
      <c r="F132" s="548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0">
        <f t="shared" si="20"/>
        <v>590000</v>
      </c>
      <c r="T132" s="450">
        <f t="shared" si="21"/>
        <v>1.2724841478669716E-2</v>
      </c>
    </row>
    <row r="133" spans="1:22" ht="13.5" thickBot="1">
      <c r="A133" s="106" t="str">
        <f t="shared" si="26"/>
        <v>1002p</v>
      </c>
      <c r="B133" s="549" t="str">
        <f>+VLOOKUP(LEFT($A133,LEN(A133)-1)*1,Master!$D$30:$G$226,4,FALSE)</f>
        <v>Nedostajuća sredstva</v>
      </c>
      <c r="C133" s="550"/>
      <c r="D133" s="550"/>
      <c r="E133" s="550"/>
      <c r="F133" s="550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5">
        <f t="shared" si="21"/>
        <v>-13.195644263074563</v>
      </c>
    </row>
    <row r="134" spans="1:22" ht="13.5" thickBot="1">
      <c r="A134" s="106" t="str">
        <f t="shared" si="26"/>
        <v>1003p</v>
      </c>
      <c r="B134" s="547" t="str">
        <f>+VLOOKUP(LEFT($A134,LEN(A134)-1)*1,Master!$D$30:$G$226,4,FALSE)</f>
        <v>Finansiranje</v>
      </c>
      <c r="C134" s="548"/>
      <c r="D134" s="548"/>
      <c r="E134" s="548"/>
      <c r="F134" s="548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6">
        <f t="shared" si="21"/>
        <v>13.195644263074563</v>
      </c>
    </row>
    <row r="135" spans="1:22">
      <c r="A135" s="106" t="str">
        <f t="shared" si="26"/>
        <v>7511p</v>
      </c>
      <c r="B135" s="551" t="str">
        <f>+VLOOKUP(LEFT($A135,LEN(A135)-1)*1,Master!$D$30:$G$226,4,FALSE)</f>
        <v>Pozajmice i krediti od domaćih izvora</v>
      </c>
      <c r="C135" s="552"/>
      <c r="D135" s="552"/>
      <c r="E135" s="552"/>
      <c r="F135" s="552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3">
        <f t="shared" si="21"/>
        <v>0</v>
      </c>
    </row>
    <row r="136" spans="1:22">
      <c r="A136" s="106" t="str">
        <f t="shared" si="26"/>
        <v>7512p</v>
      </c>
      <c r="B136" s="553" t="str">
        <f>+VLOOKUP(LEFT($A136,LEN(A136)-1)*1,Master!$D$30:$G$226,4,FALSE)</f>
        <v>Pozajmice i krediti od inostranih izvora</v>
      </c>
      <c r="C136" s="554"/>
      <c r="D136" s="554"/>
      <c r="E136" s="554"/>
      <c r="F136" s="554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3">
        <f t="shared" si="21"/>
        <v>3.5586421084415303</v>
      </c>
    </row>
    <row r="137" spans="1:22">
      <c r="A137" s="106" t="str">
        <f t="shared" si="26"/>
        <v>72p</v>
      </c>
      <c r="B137" s="553" t="str">
        <f>+VLOOKUP(LEFT($A137,LEN(A137)-1)*1,Master!$D$30:$G$226,4,FALSE)</f>
        <v>Primici od prodaje imovine</v>
      </c>
      <c r="C137" s="554"/>
      <c r="D137" s="554"/>
      <c r="E137" s="554"/>
      <c r="F137" s="554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3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7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157"/>
  <sheetViews>
    <sheetView workbookViewId="0"/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4"/>
    </row>
    <row r="5" spans="1:20" s="1" customFormat="1" ht="26.25" customHeight="1">
      <c r="A5" s="216"/>
      <c r="B5" s="113"/>
      <c r="C5" s="113"/>
      <c r="D5" s="113"/>
      <c r="E5" s="468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27" t="str">
        <f>+Master!G252</f>
        <v>Ostvarenje budžeta</v>
      </c>
      <c r="C7" s="528"/>
      <c r="D7" s="528"/>
      <c r="E7" s="528"/>
      <c r="F7" s="528"/>
      <c r="G7" s="536">
        <v>2020</v>
      </c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40"/>
      <c r="S7" s="220" t="str">
        <f>+Master!G249</f>
        <v>BDP</v>
      </c>
      <c r="T7" s="221">
        <v>4185600000</v>
      </c>
    </row>
    <row r="8" spans="1:20" ht="16.5" customHeight="1">
      <c r="A8" s="129"/>
      <c r="B8" s="529"/>
      <c r="C8" s="530"/>
      <c r="D8" s="530"/>
      <c r="E8" s="530"/>
      <c r="F8" s="531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6" t="str">
        <f>+Master!G247</f>
        <v>Jan - Dec</v>
      </c>
      <c r="T8" s="540"/>
    </row>
    <row r="9" spans="1:20" ht="13.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495" t="str">
        <f>+VLOOKUP($A10,Master!$D$30:$G$226,4,FALSE)</f>
        <v>Prihodi budžeta</v>
      </c>
      <c r="C10" s="496"/>
      <c r="D10" s="496"/>
      <c r="E10" s="496"/>
      <c r="F10" s="496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5">
        <f>+S10/$T$7*100</f>
        <v>39.146813852016443</v>
      </c>
    </row>
    <row r="11" spans="1:20">
      <c r="A11" s="135">
        <v>711</v>
      </c>
      <c r="B11" s="497" t="str">
        <f>+VLOOKUP($A11,Master!$D$30:$G$226,4,FALSE)</f>
        <v>Porezi</v>
      </c>
      <c r="C11" s="498"/>
      <c r="D11" s="498"/>
      <c r="E11" s="498"/>
      <c r="F11" s="498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6">
        <f t="shared" ref="T11:T64" si="4">+S11/$T$7*100</f>
        <v>23.081609190558101</v>
      </c>
    </row>
    <row r="12" spans="1:20">
      <c r="A12" s="135">
        <v>7111</v>
      </c>
      <c r="B12" s="499" t="str">
        <f>+VLOOKUP($A12,Master!$D$30:$G$226,4,FALSE)</f>
        <v>Porez na dohodak fizičkih lica</v>
      </c>
      <c r="C12" s="500"/>
      <c r="D12" s="500"/>
      <c r="E12" s="500"/>
      <c r="F12" s="500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7">
        <f t="shared" si="4"/>
        <v>2.827361163990826</v>
      </c>
    </row>
    <row r="13" spans="1:20">
      <c r="A13" s="135">
        <v>7112</v>
      </c>
      <c r="B13" s="499" t="str">
        <f>+VLOOKUP($A13,Master!$D$30:$G$226,4,FALSE)</f>
        <v>Porez na dobit pravnih lica</v>
      </c>
      <c r="C13" s="500"/>
      <c r="D13" s="500"/>
      <c r="E13" s="500"/>
      <c r="F13" s="500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7">
        <f t="shared" si="4"/>
        <v>1.8736944908734712</v>
      </c>
    </row>
    <row r="14" spans="1:20">
      <c r="A14" s="135">
        <v>7113</v>
      </c>
      <c r="B14" s="499" t="str">
        <f>+VLOOKUP($A14,Master!$D$30:$G$226,4,FALSE)</f>
        <v>Porez na promet nepokretnosti</v>
      </c>
      <c r="C14" s="500"/>
      <c r="D14" s="500"/>
      <c r="E14" s="500"/>
      <c r="F14" s="500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7">
        <f t="shared" si="4"/>
        <v>3.6875256116207955E-2</v>
      </c>
    </row>
    <row r="15" spans="1:20">
      <c r="A15" s="135">
        <v>7114</v>
      </c>
      <c r="B15" s="499" t="str">
        <f>+VLOOKUP($A15,Master!$D$30:$G$226,4,FALSE)</f>
        <v>Porez na dodatu vrijednost</v>
      </c>
      <c r="C15" s="500"/>
      <c r="D15" s="500"/>
      <c r="E15" s="500"/>
      <c r="F15" s="500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7">
        <f t="shared" si="4"/>
        <v>12.657215500525613</v>
      </c>
    </row>
    <row r="16" spans="1:20">
      <c r="A16" s="135">
        <v>7115</v>
      </c>
      <c r="B16" s="499" t="str">
        <f>+VLOOKUP($A16,Master!$D$30:$G$226,4,FALSE)</f>
        <v>Akcize</v>
      </c>
      <c r="C16" s="500"/>
      <c r="D16" s="500"/>
      <c r="E16" s="500"/>
      <c r="F16" s="500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7">
        <f t="shared" si="4"/>
        <v>4.9071243733276004</v>
      </c>
    </row>
    <row r="17" spans="1:23">
      <c r="A17" s="135">
        <v>7116</v>
      </c>
      <c r="B17" s="499" t="str">
        <f>+VLOOKUP($A17,Master!$D$30:$G$226,4,FALSE)</f>
        <v>Porez na međunarodnu trgovinu i transakcije</v>
      </c>
      <c r="C17" s="500"/>
      <c r="D17" s="500"/>
      <c r="E17" s="500"/>
      <c r="F17" s="500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7">
        <f t="shared" si="4"/>
        <v>0.5408522474675076</v>
      </c>
    </row>
    <row r="18" spans="1:23">
      <c r="A18" s="135">
        <v>7118</v>
      </c>
      <c r="B18" s="499" t="str">
        <f>+VLOOKUP($A18,Master!$D$30:$G$226,4,FALSE)</f>
        <v>Ostali državni porezi</v>
      </c>
      <c r="C18" s="500"/>
      <c r="D18" s="500"/>
      <c r="E18" s="500"/>
      <c r="F18" s="500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7">
        <f t="shared" si="4"/>
        <v>0.23848615825688071</v>
      </c>
    </row>
    <row r="19" spans="1:23">
      <c r="A19" s="135">
        <v>712</v>
      </c>
      <c r="B19" s="503" t="str">
        <f>+VLOOKUP($A19,Master!$D$30:$G$226,4,FALSE)</f>
        <v>Doprinosi</v>
      </c>
      <c r="C19" s="504"/>
      <c r="D19" s="504"/>
      <c r="E19" s="504"/>
      <c r="F19" s="504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8">
        <f t="shared" si="4"/>
        <v>12.686844691083715</v>
      </c>
    </row>
    <row r="20" spans="1:23">
      <c r="A20" s="135">
        <v>7121</v>
      </c>
      <c r="B20" s="499" t="str">
        <f>+VLOOKUP($A20,Master!$D$30:$G$226,4,FALSE)</f>
        <v>Doprinosi za penzijsko i invalidsko osiguranje</v>
      </c>
      <c r="C20" s="500"/>
      <c r="D20" s="500"/>
      <c r="E20" s="500"/>
      <c r="F20" s="500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7">
        <f t="shared" si="4"/>
        <v>7.9034619619648323</v>
      </c>
    </row>
    <row r="21" spans="1:23">
      <c r="A21" s="135">
        <v>7122</v>
      </c>
      <c r="B21" s="499" t="str">
        <f>+VLOOKUP($A21,Master!$D$30:$G$226,4,FALSE)</f>
        <v>Doprinosi za zdravstveno osiguranje</v>
      </c>
      <c r="C21" s="500"/>
      <c r="D21" s="500"/>
      <c r="E21" s="500"/>
      <c r="F21" s="500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7">
        <f t="shared" si="4"/>
        <v>4.0988543831230881</v>
      </c>
    </row>
    <row r="22" spans="1:23">
      <c r="A22" s="135">
        <v>7123</v>
      </c>
      <c r="B22" s="499" t="str">
        <f>+VLOOKUP($A22,Master!$D$30:$G$226,4,FALSE)</f>
        <v>Doprinosi za osiguranje od nezaposlenosti</v>
      </c>
      <c r="C22" s="500"/>
      <c r="D22" s="500"/>
      <c r="E22" s="500"/>
      <c r="F22" s="500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7">
        <f t="shared" si="4"/>
        <v>0.3683970890672783</v>
      </c>
    </row>
    <row r="23" spans="1:23">
      <c r="A23" s="135">
        <v>7124</v>
      </c>
      <c r="B23" s="499" t="str">
        <f>+VLOOKUP($A23,Master!$D$30:$G$226,4,FALSE)</f>
        <v>Ostali doprinosi</v>
      </c>
      <c r="C23" s="500"/>
      <c r="D23" s="500"/>
      <c r="E23" s="500"/>
      <c r="F23" s="500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7">
        <f t="shared" si="4"/>
        <v>0.31613125692851679</v>
      </c>
    </row>
    <row r="24" spans="1:23">
      <c r="A24" s="135">
        <v>713</v>
      </c>
      <c r="B24" s="501" t="str">
        <f>+VLOOKUP($A24,Master!$D$30:$G$226,4,FALSE)</f>
        <v>Takse</v>
      </c>
      <c r="C24" s="502"/>
      <c r="D24" s="502"/>
      <c r="E24" s="502"/>
      <c r="F24" s="502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8">
        <f t="shared" si="4"/>
        <v>0.25411990754013764</v>
      </c>
    </row>
    <row r="25" spans="1:23">
      <c r="A25" s="135">
        <v>714</v>
      </c>
      <c r="B25" s="501" t="str">
        <f>+VLOOKUP($A25,Master!$D$30:$G$226,4,FALSE)</f>
        <v>Naknade</v>
      </c>
      <c r="C25" s="502"/>
      <c r="D25" s="502"/>
      <c r="E25" s="502"/>
      <c r="F25" s="502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8">
        <f t="shared" si="4"/>
        <v>0.66463075926987769</v>
      </c>
      <c r="W25" s="276"/>
    </row>
    <row r="26" spans="1:23">
      <c r="A26" s="135">
        <v>715</v>
      </c>
      <c r="B26" s="501" t="str">
        <f>+VLOOKUP($A26,Master!$D$30:$G$226,4,FALSE)</f>
        <v>Ostali prihodi</v>
      </c>
      <c r="C26" s="502"/>
      <c r="D26" s="502"/>
      <c r="E26" s="502"/>
      <c r="F26" s="502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8">
        <f t="shared" si="4"/>
        <v>0.89869098313264495</v>
      </c>
      <c r="W26" s="292"/>
    </row>
    <row r="27" spans="1:23">
      <c r="A27" s="135">
        <v>73</v>
      </c>
      <c r="B27" s="501" t="str">
        <f>+VLOOKUP($A27,Master!$D$30:$G$226,4,FALSE)</f>
        <v>Primici od otplate kredita i sredstva prenesena iz prethodne godine</v>
      </c>
      <c r="C27" s="502"/>
      <c r="D27" s="502"/>
      <c r="E27" s="502"/>
      <c r="F27" s="502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8">
        <f t="shared" si="4"/>
        <v>0.17715297090022936</v>
      </c>
    </row>
    <row r="28" spans="1:23" ht="13.5" thickBot="1">
      <c r="A28" s="135">
        <v>74</v>
      </c>
      <c r="B28" s="505" t="str">
        <f>+VLOOKUP($A28,Master!$D$30:$G$226,4,FALSE)</f>
        <v>Donacije i transferi</v>
      </c>
      <c r="C28" s="506"/>
      <c r="D28" s="506"/>
      <c r="E28" s="506"/>
      <c r="F28" s="506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09">
        <f t="shared" si="4"/>
        <v>1.3837653495317279</v>
      </c>
    </row>
    <row r="29" spans="1:23" ht="13.5" thickBot="1">
      <c r="A29" s="135">
        <v>4</v>
      </c>
      <c r="B29" s="507" t="str">
        <f>+VLOOKUP($A29,Master!$D$30:$G$226,4,FALSE)</f>
        <v>Izdaci budžeta</v>
      </c>
      <c r="C29" s="508"/>
      <c r="D29" s="508"/>
      <c r="E29" s="508"/>
      <c r="F29" s="508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0">
        <f t="shared" si="4"/>
        <v>49.328204113627663</v>
      </c>
    </row>
    <row r="30" spans="1:23">
      <c r="A30" s="135">
        <v>41</v>
      </c>
      <c r="B30" s="511" t="str">
        <f>+VLOOKUP($A30,Master!$D$30:$G$226,4,FALSE)</f>
        <v>Tekući izdaci</v>
      </c>
      <c r="C30" s="512"/>
      <c r="D30" s="512"/>
      <c r="E30" s="512"/>
      <c r="F30" s="512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6">
        <f t="shared" si="3"/>
        <v>858015865.80999994</v>
      </c>
      <c r="T30" s="406">
        <f t="shared" si="4"/>
        <v>20.499232268014143</v>
      </c>
    </row>
    <row r="31" spans="1:23">
      <c r="A31" s="135">
        <v>411</v>
      </c>
      <c r="B31" s="499" t="str">
        <f>+VLOOKUP($A31,Master!$D$30:$G$226,4,FALSE)</f>
        <v>Bruto zarade i doprinosi na teret poslodavca</v>
      </c>
      <c r="C31" s="500"/>
      <c r="D31" s="500"/>
      <c r="E31" s="500"/>
      <c r="F31" s="500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7">
        <f t="shared" si="4"/>
        <v>11.92533854405581</v>
      </c>
    </row>
    <row r="32" spans="1:23">
      <c r="A32" s="135">
        <v>412</v>
      </c>
      <c r="B32" s="499" t="str">
        <f>+VLOOKUP($A32,Master!$D$30:$G$226,4,FALSE)</f>
        <v>Ostala lična primanja</v>
      </c>
      <c r="C32" s="500"/>
      <c r="D32" s="500"/>
      <c r="E32" s="500"/>
      <c r="F32" s="500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7">
        <f t="shared" si="4"/>
        <v>0.30866892512423549</v>
      </c>
    </row>
    <row r="33" spans="1:23">
      <c r="A33" s="135">
        <v>413</v>
      </c>
      <c r="B33" s="499" t="str">
        <f>+VLOOKUP($A33,Master!$D$30:$G$226,4,FALSE)</f>
        <v>Rashodi za materijal</v>
      </c>
      <c r="C33" s="500"/>
      <c r="D33" s="500"/>
      <c r="E33" s="500"/>
      <c r="F33" s="500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7">
        <f t="shared" si="4"/>
        <v>0.95395377293577988</v>
      </c>
      <c r="V33" s="275"/>
    </row>
    <row r="34" spans="1:23" s="333" customFormat="1">
      <c r="A34" s="332">
        <v>414</v>
      </c>
      <c r="B34" s="594" t="str">
        <f>+VLOOKUP($A34,Master!$D$30:$G$226,4,FALSE)</f>
        <v>Rashodi za usluge</v>
      </c>
      <c r="C34" s="595"/>
      <c r="D34" s="595"/>
      <c r="E34" s="595"/>
      <c r="F34" s="595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7">
        <f t="shared" si="4"/>
        <v>1.7738425862480884</v>
      </c>
      <c r="U34" s="243"/>
    </row>
    <row r="35" spans="1:23">
      <c r="A35" s="135">
        <v>415</v>
      </c>
      <c r="B35" s="499" t="str">
        <f>+VLOOKUP($A35,Master!$D$30:$G$226,4,FALSE)</f>
        <v>Rashodi za tekuće održavanje</v>
      </c>
      <c r="C35" s="500"/>
      <c r="D35" s="500"/>
      <c r="E35" s="500"/>
      <c r="F35" s="500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7">
        <f t="shared" si="4"/>
        <v>0.58208342388188083</v>
      </c>
    </row>
    <row r="36" spans="1:23">
      <c r="A36" s="135">
        <v>416</v>
      </c>
      <c r="B36" s="499" t="str">
        <f>+VLOOKUP($A36,Master!$D$30:$G$226,4,FALSE)</f>
        <v>Kamate</v>
      </c>
      <c r="C36" s="500"/>
      <c r="D36" s="500"/>
      <c r="E36" s="500"/>
      <c r="F36" s="500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7">
        <f t="shared" si="4"/>
        <v>2.6545515183008415</v>
      </c>
    </row>
    <row r="37" spans="1:23">
      <c r="A37" s="135">
        <v>417</v>
      </c>
      <c r="B37" s="499" t="str">
        <f>+VLOOKUP($A37,Master!$D$30:$G$226,4,FALSE)</f>
        <v>Renta</v>
      </c>
      <c r="C37" s="500"/>
      <c r="D37" s="500"/>
      <c r="E37" s="500"/>
      <c r="F37" s="500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7">
        <f t="shared" si="4"/>
        <v>0.27163620030581043</v>
      </c>
    </row>
    <row r="38" spans="1:23">
      <c r="A38" s="135">
        <v>418</v>
      </c>
      <c r="B38" s="499" t="str">
        <f>+VLOOKUP($A38,Master!$D$30:$G$226,4,FALSE)</f>
        <v>Subvencije</v>
      </c>
      <c r="C38" s="500"/>
      <c r="D38" s="500"/>
      <c r="E38" s="500"/>
      <c r="F38" s="500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7">
        <f t="shared" si="4"/>
        <v>0.86783859709480116</v>
      </c>
    </row>
    <row r="39" spans="1:23" s="333" customFormat="1">
      <c r="A39" s="332">
        <v>419</v>
      </c>
      <c r="B39" s="594" t="str">
        <f>+VLOOKUP($A39,Master!$D$30:$G$226,4,FALSE)</f>
        <v>Ostali izdaci</v>
      </c>
      <c r="C39" s="595"/>
      <c r="D39" s="595"/>
      <c r="E39" s="595"/>
      <c r="F39" s="595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7">
        <f t="shared" si="4"/>
        <v>1.1613187000668961</v>
      </c>
      <c r="U39" s="243"/>
    </row>
    <row r="40" spans="1:23">
      <c r="A40" s="135">
        <v>42</v>
      </c>
      <c r="B40" s="515" t="str">
        <f>+VLOOKUP($A40,Master!$D$30:$G$226,4,FALSE)</f>
        <v>Transferi za socijalnu zaštitu</v>
      </c>
      <c r="C40" s="516"/>
      <c r="D40" s="516"/>
      <c r="E40" s="516"/>
      <c r="F40" s="516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8">
        <f t="shared" si="4"/>
        <v>13.347643551701072</v>
      </c>
      <c r="U40" s="227"/>
      <c r="W40" s="290"/>
    </row>
    <row r="41" spans="1:23">
      <c r="A41" s="135">
        <v>421</v>
      </c>
      <c r="B41" s="499" t="str">
        <f>+VLOOKUP($A41,Master!$D$30:$G$226,4,FALSE)</f>
        <v>Prava iz oblasti socijalne zaštite</v>
      </c>
      <c r="C41" s="500"/>
      <c r="D41" s="500"/>
      <c r="E41" s="500"/>
      <c r="F41" s="500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7">
        <f t="shared" si="4"/>
        <v>1.9227658534021408</v>
      </c>
      <c r="U41" s="227"/>
    </row>
    <row r="42" spans="1:23">
      <c r="A42" s="135">
        <v>422</v>
      </c>
      <c r="B42" s="499" t="str">
        <f>+VLOOKUP($A42,Master!$D$30:$G$226,4,FALSE)</f>
        <v>Sredstva za tehnološke viškove</v>
      </c>
      <c r="C42" s="500"/>
      <c r="D42" s="500"/>
      <c r="E42" s="500"/>
      <c r="F42" s="500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7">
        <f t="shared" si="4"/>
        <v>0.48018163704128441</v>
      </c>
      <c r="U42" s="227"/>
    </row>
    <row r="43" spans="1:23">
      <c r="A43" s="135">
        <v>423</v>
      </c>
      <c r="B43" s="499" t="str">
        <f>+VLOOKUP($A43,Master!$D$30:$G$226,4,FALSE)</f>
        <v>Prava iz oblasti penzijskog i invalidskog osiguranja</v>
      </c>
      <c r="C43" s="500"/>
      <c r="D43" s="500"/>
      <c r="E43" s="500"/>
      <c r="F43" s="500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7">
        <f t="shared" si="4"/>
        <v>10.22724545775994</v>
      </c>
      <c r="U43" s="227"/>
    </row>
    <row r="44" spans="1:23">
      <c r="A44" s="135">
        <v>424</v>
      </c>
      <c r="B44" s="499" t="str">
        <f>+VLOOKUP($A44,Master!$D$30:$G$226,4,FALSE)</f>
        <v>Ostala prava iz oblasti zdravstvene zaštite</v>
      </c>
      <c r="C44" s="500"/>
      <c r="D44" s="500"/>
      <c r="E44" s="500"/>
      <c r="F44" s="500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7">
        <f t="shared" si="4"/>
        <v>0.48311802370030571</v>
      </c>
      <c r="U44" s="227"/>
    </row>
    <row r="45" spans="1:23" s="333" customFormat="1">
      <c r="A45" s="332">
        <v>425</v>
      </c>
      <c r="B45" s="590" t="str">
        <f>+VLOOKUP($A45,Master!$D$30:$G$226,4,FALSE)</f>
        <v>Ostala prava iz zdravstvenog osiguranja</v>
      </c>
      <c r="C45" s="591"/>
      <c r="D45" s="591"/>
      <c r="E45" s="591"/>
      <c r="F45" s="591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7">
        <f t="shared" si="4"/>
        <v>0.23433257979740058</v>
      </c>
      <c r="U45" s="227"/>
    </row>
    <row r="46" spans="1:23">
      <c r="A46" s="135">
        <v>43</v>
      </c>
      <c r="B46" s="513" t="str">
        <f>+VLOOKUP($A46,Master!$D$30:$G$226,4,FALSE)</f>
        <v xml:space="preserve">Transferi institucijama, pojedincima, nevladinom i javnom sektoru </v>
      </c>
      <c r="C46" s="514"/>
      <c r="D46" s="514"/>
      <c r="E46" s="514"/>
      <c r="F46" s="514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8">
        <f t="shared" si="4"/>
        <v>6.7194405222668205</v>
      </c>
      <c r="U46" s="227"/>
    </row>
    <row r="47" spans="1:23">
      <c r="A47" s="135">
        <v>44</v>
      </c>
      <c r="B47" s="513" t="str">
        <f>+VLOOKUP($A47,Master!$D$30:$G$226,4,FALSE)</f>
        <v>Kapitalni izdaci</v>
      </c>
      <c r="C47" s="514"/>
      <c r="D47" s="514"/>
      <c r="E47" s="514"/>
      <c r="F47" s="514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8">
        <f t="shared" si="4"/>
        <v>5.4935233579415135</v>
      </c>
      <c r="U47" s="227"/>
    </row>
    <row r="48" spans="1:23">
      <c r="A48" s="135">
        <v>451</v>
      </c>
      <c r="B48" s="592" t="str">
        <f>+VLOOKUP($A48,Master!$D$30:$G$226,4,FALSE)</f>
        <v>Pozajmice i krediti</v>
      </c>
      <c r="C48" s="593"/>
      <c r="D48" s="593"/>
      <c r="E48" s="593"/>
      <c r="F48" s="593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7">
        <f t="shared" si="4"/>
        <v>3.8500262805810398E-2</v>
      </c>
      <c r="U48" s="227"/>
    </row>
    <row r="49" spans="1:22" s="333" customFormat="1">
      <c r="A49" s="332">
        <v>47</v>
      </c>
      <c r="B49" s="584" t="str">
        <f>+VLOOKUP($A49,Master!$D$30:$G$226,4,FALSE)</f>
        <v>Rezerve</v>
      </c>
      <c r="C49" s="585"/>
      <c r="D49" s="585"/>
      <c r="E49" s="585"/>
      <c r="F49" s="585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7">
        <f t="shared" si="4"/>
        <v>2.7812908352446479</v>
      </c>
      <c r="U49" s="227"/>
    </row>
    <row r="50" spans="1:22" ht="13.5" thickBot="1">
      <c r="A50" s="135">
        <v>462</v>
      </c>
      <c r="B50" s="519" t="str">
        <f>+VLOOKUP($A50,Master!$D$30:$G$226,4,FALSE)</f>
        <v>Otplata garancija</v>
      </c>
      <c r="C50" s="520"/>
      <c r="D50" s="520"/>
      <c r="E50" s="520"/>
      <c r="F50" s="520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7">
        <f t="shared" si="4"/>
        <v>0</v>
      </c>
      <c r="U50" s="227"/>
      <c r="V50" s="277"/>
    </row>
    <row r="51" spans="1:22" ht="13.5" thickBot="1">
      <c r="A51" s="129">
        <v>4630</v>
      </c>
      <c r="B51" s="586" t="str">
        <f>+VLOOKUP($A51,Master!$D$30:$G$226,4,TRUE)</f>
        <v>Otplata obaveza iz prethodnog perioda</v>
      </c>
      <c r="C51" s="587"/>
      <c r="D51" s="587"/>
      <c r="E51" s="587"/>
      <c r="F51" s="587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7">
        <f>+SUM(G51:R51)</f>
        <v>18775484.700000003</v>
      </c>
      <c r="T51" s="411">
        <f t="shared" si="4"/>
        <v>0.44857331565366981</v>
      </c>
      <c r="U51" s="227"/>
    </row>
    <row r="52" spans="1:22" ht="13.5" thickBot="1">
      <c r="A52" s="61">
        <v>1005</v>
      </c>
      <c r="B52" s="588" t="str">
        <f>+VLOOKUP($A52,Master!$D$30:$G$228,4,FALSE)</f>
        <v>Neto povećanje obaveza</v>
      </c>
      <c r="C52" s="589"/>
      <c r="D52" s="589"/>
      <c r="E52" s="589"/>
      <c r="F52" s="589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2">
        <f t="shared" si="4"/>
        <v>0</v>
      </c>
    </row>
    <row r="53" spans="1:22" ht="13.5" thickBot="1">
      <c r="A53" s="129">
        <v>1000</v>
      </c>
      <c r="B53" s="521" t="str">
        <f>+VLOOKUP($A53,Master!$D$30:$G$226,4,FALSE)</f>
        <v>Suficit / deficit</v>
      </c>
      <c r="C53" s="522"/>
      <c r="D53" s="522"/>
      <c r="E53" s="522"/>
      <c r="F53" s="522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3">
        <f t="shared" si="4"/>
        <v>-10.181390261611241</v>
      </c>
    </row>
    <row r="54" spans="1:22" ht="13.5" thickBot="1">
      <c r="A54" s="129">
        <v>1001</v>
      </c>
      <c r="B54" s="523" t="str">
        <f>+VLOOKUP($A54,Master!$D$30:$G$226,4,FALSE)</f>
        <v>Primarni suficit/deficit</v>
      </c>
      <c r="C54" s="524"/>
      <c r="D54" s="524"/>
      <c r="E54" s="524"/>
      <c r="F54" s="524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3">
        <f t="shared" si="4"/>
        <v>-7.5268387433103978</v>
      </c>
    </row>
    <row r="55" spans="1:22">
      <c r="A55" s="129">
        <v>46</v>
      </c>
      <c r="B55" s="545" t="str">
        <f>+VLOOKUP($A55,Master!$D$30:$G$226,4,FALSE)</f>
        <v>Otplata dugova</v>
      </c>
      <c r="C55" s="546"/>
      <c r="D55" s="546"/>
      <c r="E55" s="546"/>
      <c r="F55" s="546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4">
        <f t="shared" si="4"/>
        <v>15.90801867426414</v>
      </c>
      <c r="V55" s="290"/>
    </row>
    <row r="56" spans="1:22">
      <c r="A56" s="129">
        <v>4611</v>
      </c>
      <c r="B56" s="541" t="str">
        <f>+VLOOKUP($A56,Master!$D$30:$G$226,4,FALSE)</f>
        <v>Otplata hartija od vrijednosti i kredita rezidentima</v>
      </c>
      <c r="C56" s="542"/>
      <c r="D56" s="542"/>
      <c r="E56" s="542"/>
      <c r="F56" s="542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5">
        <f t="shared" si="4"/>
        <v>5.8341507953459475</v>
      </c>
      <c r="V56" s="62"/>
    </row>
    <row r="57" spans="1:22" ht="13.5" thickBot="1">
      <c r="A57" s="129">
        <v>4612</v>
      </c>
      <c r="B57" s="517" t="str">
        <f>+VLOOKUP($A57,Master!$D$30:$G$226,4,FALSE)</f>
        <v>Otplata hartija od vrijednosti i kredita nerezidentima</v>
      </c>
      <c r="C57" s="518"/>
      <c r="D57" s="518"/>
      <c r="E57" s="518"/>
      <c r="F57" s="518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5">
        <f t="shared" si="4"/>
        <v>10.073867878918195</v>
      </c>
      <c r="V57" s="297"/>
    </row>
    <row r="58" spans="1:22" ht="13.5" thickBot="1">
      <c r="A58" s="129">
        <v>4418</v>
      </c>
      <c r="B58" s="509" t="str">
        <f>+VLOOKUP($A58,Master!$D$30:$G$226,4,FALSE)</f>
        <v>Izdaci za kupovinu hartija od vrijednosti</v>
      </c>
      <c r="C58" s="510"/>
      <c r="D58" s="510"/>
      <c r="E58" s="510"/>
      <c r="F58" s="510"/>
      <c r="G58" s="431">
        <f>+INDEX(DataEx!$1:$1048576,MATCH('2020'!$A58,DataEx!$D:$D,0),MATCH('2020'!G$6,DataEx!$7:$7,0))</f>
        <v>0</v>
      </c>
      <c r="H58" s="431">
        <f>+INDEX(DataEx!$1:$1048576,MATCH('2020'!$A58,DataEx!$D:$D,0),MATCH('2020'!H$6,DataEx!$7:$7,0))</f>
        <v>0</v>
      </c>
      <c r="I58" s="431">
        <f>+INDEX(DataEx!$1:$1048576,MATCH('2020'!$A58,DataEx!$D:$D,0),MATCH('2020'!I$6,DataEx!$7:$7,0))</f>
        <v>0</v>
      </c>
      <c r="J58" s="431">
        <f>+INDEX(DataEx!$1:$1048576,MATCH('2020'!$A58,DataEx!$D:$D,0),MATCH('2020'!J$6,DataEx!$7:$7,0))</f>
        <v>0</v>
      </c>
      <c r="K58" s="431">
        <f>+INDEX(DataEx!$1:$1048576,MATCH('2020'!$A58,DataEx!$D:$D,0),MATCH('2020'!K$6,DataEx!$7:$7,0))</f>
        <v>0</v>
      </c>
      <c r="L58" s="431">
        <f>+INDEX(DataEx!$1:$1048576,MATCH('2020'!$A58,DataEx!$D:$D,0),MATCH('2020'!L$6,DataEx!$7:$7,0))</f>
        <v>0</v>
      </c>
      <c r="M58" s="431">
        <f>+INDEX(DataEx!$1:$1048576,MATCH('2020'!$A58,DataEx!$D:$D,0),MATCH('2020'!M$6,DataEx!$7:$7,0))</f>
        <v>0</v>
      </c>
      <c r="N58" s="431">
        <f>+INDEX(DataEx!$1:$1048576,MATCH('2020'!$A58,DataEx!$D:$D,0),MATCH('2020'!N$6,DataEx!$7:$7,0))</f>
        <v>0</v>
      </c>
      <c r="O58" s="431">
        <f>+INDEX(DataEx!$1:$1048576,MATCH('2020'!$A58,DataEx!$D:$D,0),MATCH('2020'!O$6,DataEx!$7:$7,0))</f>
        <v>940769.61</v>
      </c>
      <c r="P58" s="431">
        <f>+INDEX(DataEx!$1:$1048576,MATCH('2020'!$A58,DataEx!$D:$D,0),MATCH('2020'!P$6,DataEx!$7:$7,0))</f>
        <v>0</v>
      </c>
      <c r="Q58" s="431">
        <f>+INDEX(DataEx!$1:$1048576,MATCH('2020'!$A58,DataEx!$D:$D,0),MATCH('2020'!Q$6,DataEx!$7:$7,0))</f>
        <v>0</v>
      </c>
      <c r="R58" s="432">
        <f>+INDEX(DataEx!$1:$1048576,MATCH('2020'!$A58,DataEx!$D:$D,0),MATCH('2020'!R$6,DataEx!$7:$7,0))</f>
        <v>0</v>
      </c>
      <c r="S58" s="234">
        <f>SUM(G58:R58)</f>
        <v>940769.61</v>
      </c>
      <c r="T58" s="416">
        <f t="shared" si="4"/>
        <v>2.2476338159403669E-2</v>
      </c>
      <c r="V58" s="297"/>
    </row>
    <row r="59" spans="1:22" ht="13.5" thickBot="1">
      <c r="A59" s="129">
        <v>1002</v>
      </c>
      <c r="B59" s="543" t="str">
        <f>+VLOOKUP($A59,Master!$D$30:$G$226,4,FALSE)</f>
        <v>Nedostajuća sredstva</v>
      </c>
      <c r="C59" s="544"/>
      <c r="D59" s="544"/>
      <c r="E59" s="544"/>
      <c r="F59" s="544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7">
        <f t="shared" si="4"/>
        <v>-26.111885274034783</v>
      </c>
    </row>
    <row r="60" spans="1:22" ht="13.5" thickBot="1">
      <c r="A60" s="129">
        <v>1003</v>
      </c>
      <c r="B60" s="507" t="str">
        <f>+VLOOKUP($A60,Master!$D$30:$G$226,4,FALSE)</f>
        <v>Finansiranje</v>
      </c>
      <c r="C60" s="508"/>
      <c r="D60" s="508"/>
      <c r="E60" s="508"/>
      <c r="F60" s="508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8">
        <f t="shared" si="4"/>
        <v>26.111885274034783</v>
      </c>
    </row>
    <row r="61" spans="1:22">
      <c r="A61" s="129">
        <v>7511</v>
      </c>
      <c r="B61" s="541" t="str">
        <f>+VLOOKUP($A61,Master!$D$30:$G$226,4,FALSE)</f>
        <v>Pozajmice i krediti od domaćih izvora</v>
      </c>
      <c r="C61" s="542"/>
      <c r="D61" s="542"/>
      <c r="E61" s="542"/>
      <c r="F61" s="542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5">
        <f t="shared" si="4"/>
        <v>4.0025816879300455</v>
      </c>
    </row>
    <row r="62" spans="1:22">
      <c r="A62" s="129">
        <v>7512</v>
      </c>
      <c r="B62" s="517" t="str">
        <f>+VLOOKUP($A62,Master!$D$30:$G$226,4,FALSE)</f>
        <v>Pozajmice i krediti od inostranih izvora</v>
      </c>
      <c r="C62" s="518"/>
      <c r="D62" s="518"/>
      <c r="E62" s="518"/>
      <c r="F62" s="518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5">
        <f t="shared" si="4"/>
        <v>28.329148839353973</v>
      </c>
    </row>
    <row r="63" spans="1:22">
      <c r="A63" s="129">
        <v>72</v>
      </c>
      <c r="B63" s="517" t="str">
        <f>+VLOOKUP($A63,Master!$D$30:$G$226,4,FALSE)</f>
        <v>Primici od prodaje imovine</v>
      </c>
      <c r="C63" s="518"/>
      <c r="D63" s="518"/>
      <c r="E63" s="518"/>
      <c r="F63" s="518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5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19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573" t="str">
        <f>+Master!G253</f>
        <v>Plan ostvarenja budžeta</v>
      </c>
      <c r="C100" s="574"/>
      <c r="D100" s="574"/>
      <c r="E100" s="574"/>
      <c r="F100" s="574"/>
      <c r="G100" s="581">
        <v>2020</v>
      </c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  <c r="R100" s="583"/>
      <c r="S100" s="96" t="str">
        <f>+S7</f>
        <v>BDP</v>
      </c>
      <c r="T100" s="97">
        <v>4607300000</v>
      </c>
    </row>
    <row r="101" spans="1:21" ht="15.75" customHeight="1">
      <c r="B101" s="575"/>
      <c r="C101" s="576"/>
      <c r="D101" s="576"/>
      <c r="E101" s="576"/>
      <c r="F101" s="577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581" t="str">
        <f>+Master!G247</f>
        <v>Jan - Dec</v>
      </c>
      <c r="T101" s="583">
        <f>+T8</f>
        <v>0</v>
      </c>
    </row>
    <row r="102" spans="1:21" ht="13.5" thickBot="1">
      <c r="B102" s="578"/>
      <c r="C102" s="579"/>
      <c r="D102" s="579"/>
      <c r="E102" s="579"/>
      <c r="F102" s="580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596" t="str">
        <f>+VLOOKUP(LEFT($A103,LEN(A103)-1)*1,Master!$D$30:$G$226,4,FALSE)</f>
        <v>Prihodi budžeta</v>
      </c>
      <c r="C103" s="597"/>
      <c r="D103" s="597"/>
      <c r="E103" s="597"/>
      <c r="F103" s="597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4">
        <f>+SUM(G103:R103)</f>
        <v>1704989389.157774</v>
      </c>
      <c r="T103" s="425">
        <f>+S103/$T$100*100</f>
        <v>37.006259396127319</v>
      </c>
    </row>
    <row r="104" spans="1:21">
      <c r="A104" s="105" t="str">
        <f t="shared" si="16"/>
        <v>711p</v>
      </c>
      <c r="B104" s="571" t="str">
        <f>+VLOOKUP(LEFT($A104,LEN(A104)-1)*1,Master!$D$30:$G$226,4,FALSE)</f>
        <v>Porezi</v>
      </c>
      <c r="C104" s="572"/>
      <c r="D104" s="572"/>
      <c r="E104" s="572"/>
      <c r="F104" s="572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6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563" t="str">
        <f>+VLOOKUP(LEFT($A105,LEN(A105)-1)*1,Master!$D$30:$G$229,4,FALSE)</f>
        <v>Porez na dohodak fizičkih lica</v>
      </c>
      <c r="C105" s="564"/>
      <c r="D105" s="564"/>
      <c r="E105" s="564"/>
      <c r="F105" s="564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7">
        <f t="shared" si="20"/>
        <v>2.4452362067202373</v>
      </c>
    </row>
    <row r="106" spans="1:21">
      <c r="A106" s="105" t="str">
        <f t="shared" si="16"/>
        <v>7112p</v>
      </c>
      <c r="B106" s="563" t="str">
        <f>+VLOOKUP(LEFT($A106,LEN(A106)-1)*1,Master!$D$30:$G$229,4,FALSE)</f>
        <v>Porez na dobit pravnih lica</v>
      </c>
      <c r="C106" s="564"/>
      <c r="D106" s="564"/>
      <c r="E106" s="564"/>
      <c r="F106" s="564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7">
        <f t="shared" si="20"/>
        <v>1.4671745812461314</v>
      </c>
    </row>
    <row r="107" spans="1:21">
      <c r="A107" s="105" t="str">
        <f t="shared" si="16"/>
        <v>7113p</v>
      </c>
      <c r="B107" s="563" t="str">
        <f>+VLOOKUP(LEFT($A107,LEN(A107)-1)*1,Master!$D$30:$G$229,4,FALSE)</f>
        <v>Porez na promet nepokretnosti</v>
      </c>
      <c r="C107" s="564"/>
      <c r="D107" s="564"/>
      <c r="E107" s="564"/>
      <c r="F107" s="564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7">
        <f t="shared" si="20"/>
        <v>4.1303611443361622E-2</v>
      </c>
    </row>
    <row r="108" spans="1:21">
      <c r="A108" s="105" t="str">
        <f t="shared" si="16"/>
        <v>7114p</v>
      </c>
      <c r="B108" s="563" t="str">
        <f>+VLOOKUP(LEFT($A108,LEN(A108)-1)*1,Master!$D$30:$G$229,4,FALSE)</f>
        <v>Porez na dodatu vrijednost</v>
      </c>
      <c r="C108" s="564"/>
      <c r="D108" s="564"/>
      <c r="E108" s="564"/>
      <c r="F108" s="564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7">
        <f t="shared" si="20"/>
        <v>13.365384391976216</v>
      </c>
    </row>
    <row r="109" spans="1:21">
      <c r="A109" s="105" t="str">
        <f t="shared" si="16"/>
        <v>7115p</v>
      </c>
      <c r="B109" s="563" t="str">
        <f>+VLOOKUP(LEFT($A109,LEN(A109)-1)*1,Master!$D$30:$G$229,4,FALSE)</f>
        <v>Akcize</v>
      </c>
      <c r="C109" s="564"/>
      <c r="D109" s="564"/>
      <c r="E109" s="564"/>
      <c r="F109" s="564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7">
        <f t="shared" si="20"/>
        <v>4.8051517235226715</v>
      </c>
    </row>
    <row r="110" spans="1:21">
      <c r="A110" s="105" t="str">
        <f t="shared" si="16"/>
        <v>7116p</v>
      </c>
      <c r="B110" s="563" t="str">
        <f>+VLOOKUP(LEFT($A110,LEN(A110)-1)*1,Master!$D$30:$G$229,4,FALSE)</f>
        <v>Porez na međunarodnu trgovinu i transakcije</v>
      </c>
      <c r="C110" s="564"/>
      <c r="D110" s="564"/>
      <c r="E110" s="564"/>
      <c r="F110" s="564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7">
        <f t="shared" si="20"/>
        <v>0.58139087437023862</v>
      </c>
    </row>
    <row r="111" spans="1:21">
      <c r="A111" s="105" t="str">
        <f t="shared" si="16"/>
        <v>7118p</v>
      </c>
      <c r="B111" s="563" t="str">
        <f>+VLOOKUP(LEFT($A111,LEN(A111)-1)*1,Master!$D$30:$G$229,4,FALSE)</f>
        <v>Ostali državni porezi</v>
      </c>
      <c r="C111" s="564"/>
      <c r="D111" s="564"/>
      <c r="E111" s="564"/>
      <c r="F111" s="564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7">
        <f t="shared" si="20"/>
        <v>0.20229513960237019</v>
      </c>
    </row>
    <row r="112" spans="1:21">
      <c r="A112" s="105" t="str">
        <f t="shared" si="16"/>
        <v>712p</v>
      </c>
      <c r="B112" s="598" t="str">
        <f>+VLOOKUP(LEFT($A112,LEN(A112)-1)*1,Master!$D$30:$G$229,4,FALSE)</f>
        <v>Doprinosi</v>
      </c>
      <c r="C112" s="599"/>
      <c r="D112" s="599"/>
      <c r="E112" s="599"/>
      <c r="F112" s="599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8">
        <f t="shared" si="20"/>
        <v>10.68956613019113</v>
      </c>
    </row>
    <row r="113" spans="1:20">
      <c r="A113" s="105" t="str">
        <f t="shared" si="16"/>
        <v>7121p</v>
      </c>
      <c r="B113" s="563" t="str">
        <f>+VLOOKUP(LEFT($A113,LEN(A113)-1)*1,Master!$D$30:$G$229,4,FALSE)</f>
        <v>Doprinosi za penzijsko i invalidsko osiguranje</v>
      </c>
      <c r="C113" s="564"/>
      <c r="D113" s="564"/>
      <c r="E113" s="564"/>
      <c r="F113" s="564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7">
        <f t="shared" si="20"/>
        <v>6.6171744431734636</v>
      </c>
    </row>
    <row r="114" spans="1:20">
      <c r="A114" s="105" t="str">
        <f t="shared" si="16"/>
        <v>7122p</v>
      </c>
      <c r="B114" s="563" t="str">
        <f>+VLOOKUP(LEFT($A114,LEN(A114)-1)*1,Master!$D$30:$G$229,4,FALSE)</f>
        <v>Doprinosi za zdravstveno osiguranje</v>
      </c>
      <c r="C114" s="564"/>
      <c r="D114" s="564"/>
      <c r="E114" s="564"/>
      <c r="F114" s="564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7">
        <f t="shared" si="20"/>
        <v>3.4819631387690197</v>
      </c>
    </row>
    <row r="115" spans="1:20">
      <c r="A115" s="105" t="str">
        <f t="shared" si="16"/>
        <v>7123p</v>
      </c>
      <c r="B115" s="563" t="str">
        <f>+VLOOKUP(LEFT($A115,LEN(A115)-1)*1,Master!$D$30:$G$229,4,FALSE)</f>
        <v>Doprinosi za osiguranje od nezaposlenosti</v>
      </c>
      <c r="C115" s="564"/>
      <c r="D115" s="564"/>
      <c r="E115" s="564"/>
      <c r="F115" s="564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7">
        <f t="shared" si="20"/>
        <v>0.31374529664462025</v>
      </c>
    </row>
    <row r="116" spans="1:20">
      <c r="A116" s="105" t="str">
        <f t="shared" si="16"/>
        <v>7124p</v>
      </c>
      <c r="B116" s="563" t="str">
        <f>+VLOOKUP(LEFT($A116,LEN(A116)-1)*1,Master!$D$30:$G$229,4,FALSE)</f>
        <v>Ostali doprinosi</v>
      </c>
      <c r="C116" s="564"/>
      <c r="D116" s="564"/>
      <c r="E116" s="564"/>
      <c r="F116" s="564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7">
        <f t="shared" si="20"/>
        <v>0.2766832516040264</v>
      </c>
    </row>
    <row r="117" spans="1:20">
      <c r="A117" s="105" t="str">
        <f t="shared" si="16"/>
        <v>713p</v>
      </c>
      <c r="B117" s="569" t="str">
        <f>+VLOOKUP(LEFT($A117,LEN(A117)-1)*1,Master!$D$30:$G$229,4,FALSE)</f>
        <v>Takse</v>
      </c>
      <c r="C117" s="570"/>
      <c r="D117" s="570"/>
      <c r="E117" s="570"/>
      <c r="F117" s="570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8">
        <f t="shared" si="20"/>
        <v>0.26451836008573354</v>
      </c>
    </row>
    <row r="118" spans="1:20">
      <c r="A118" s="105" t="str">
        <f t="shared" si="16"/>
        <v>714p</v>
      </c>
      <c r="B118" s="569" t="str">
        <f>+VLOOKUP(LEFT($A118,LEN(A118)-1)*1,Master!$D$30:$G$229,4,FALSE)</f>
        <v>Naknade</v>
      </c>
      <c r="C118" s="570"/>
      <c r="D118" s="570"/>
      <c r="E118" s="570"/>
      <c r="F118" s="570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8">
        <f t="shared" si="20"/>
        <v>0.53882429835369972</v>
      </c>
    </row>
    <row r="119" spans="1:20">
      <c r="A119" s="105" t="str">
        <f t="shared" si="16"/>
        <v>715p</v>
      </c>
      <c r="B119" s="569" t="str">
        <f>+VLOOKUP(LEFT($A119,LEN(A119)-1)*1,Master!$D$30:$G$229,4,FALSE)</f>
        <v>Ostali prihodi</v>
      </c>
      <c r="C119" s="570"/>
      <c r="D119" s="570"/>
      <c r="E119" s="570"/>
      <c r="F119" s="570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8">
        <f t="shared" si="20"/>
        <v>1.148755088100482</v>
      </c>
    </row>
    <row r="120" spans="1:20">
      <c r="A120" s="105" t="str">
        <f t="shared" si="16"/>
        <v>73p</v>
      </c>
      <c r="B120" s="569" t="str">
        <f>+VLOOKUP(LEFT($A120,LEN(A120)-1)*1,Master!$D$30:$G$229,4,FALSE)</f>
        <v>Primici od otplate kredita i sredstva prenesena iz prethodne godine</v>
      </c>
      <c r="C120" s="570"/>
      <c r="D120" s="570"/>
      <c r="E120" s="570"/>
      <c r="F120" s="570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8">
        <f t="shared" si="20"/>
        <v>0.37142952358214143</v>
      </c>
    </row>
    <row r="121" spans="1:20" ht="13.5" thickBot="1">
      <c r="A121" s="105" t="str">
        <f t="shared" si="16"/>
        <v>74p</v>
      </c>
      <c r="B121" s="565" t="str">
        <f>+VLOOKUP(LEFT($A121,LEN(A121)-1)*1,Master!$D$30:$G$229,4,FALSE)</f>
        <v>Donacije i transferi</v>
      </c>
      <c r="C121" s="566"/>
      <c r="D121" s="566"/>
      <c r="E121" s="566"/>
      <c r="F121" s="566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09">
        <f t="shared" si="20"/>
        <v>1.0852294669329108</v>
      </c>
    </row>
    <row r="122" spans="1:20" ht="13.5" thickBot="1">
      <c r="A122" s="105" t="str">
        <f t="shared" si="16"/>
        <v>4p</v>
      </c>
      <c r="B122" s="547" t="str">
        <f>+VLOOKUP(LEFT($A122,LEN(A122)-1)*1,Master!$D$30:$G$229,4,FALSE)</f>
        <v>Izdaci budžeta</v>
      </c>
      <c r="C122" s="548"/>
      <c r="D122" s="548"/>
      <c r="E122" s="548"/>
      <c r="F122" s="548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2">
        <f>+SUM(G122:R122)</f>
        <v>2040879206.795902</v>
      </c>
      <c r="T122" s="423">
        <f t="shared" si="20"/>
        <v>44.296642432572263</v>
      </c>
    </row>
    <row r="123" spans="1:20">
      <c r="A123" s="105" t="str">
        <f t="shared" si="16"/>
        <v>41p</v>
      </c>
      <c r="B123" s="567" t="str">
        <f>+VLOOKUP(LEFT($A123,LEN(A123)-1)*1,Master!$D$30:$G$229,4,FALSE)</f>
        <v>Tekući izdaci</v>
      </c>
      <c r="C123" s="568"/>
      <c r="D123" s="568"/>
      <c r="E123" s="568"/>
      <c r="F123" s="568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6">
        <f t="shared" si="20"/>
        <v>18.234006898745513</v>
      </c>
    </row>
    <row r="124" spans="1:20">
      <c r="A124" s="105" t="str">
        <f t="shared" si="16"/>
        <v>411p</v>
      </c>
      <c r="B124" s="563" t="str">
        <f>+VLOOKUP(LEFT($A124,LEN(A124)-1)*1,Master!$D$30:$G$229,4,FALSE)</f>
        <v>Bruto zarade i doprinosi na teret poslodavca</v>
      </c>
      <c r="C124" s="564"/>
      <c r="D124" s="564"/>
      <c r="E124" s="564"/>
      <c r="F124" s="564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7">
        <f t="shared" si="20"/>
        <v>10.81917370889675</v>
      </c>
    </row>
    <row r="125" spans="1:20">
      <c r="A125" s="105" t="str">
        <f t="shared" si="16"/>
        <v>412p</v>
      </c>
      <c r="B125" s="563" t="str">
        <f>+VLOOKUP(LEFT($A125,LEN(A125)-1)*1,Master!$D$30:$G$229,4,FALSE)</f>
        <v>Ostala lična primanja</v>
      </c>
      <c r="C125" s="564"/>
      <c r="D125" s="564"/>
      <c r="E125" s="564"/>
      <c r="F125" s="564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7">
        <f t="shared" si="20"/>
        <v>0.32417865148785635</v>
      </c>
    </row>
    <row r="126" spans="1:20">
      <c r="A126" s="105" t="str">
        <f t="shared" si="16"/>
        <v>413p</v>
      </c>
      <c r="B126" s="563" t="str">
        <f>+VLOOKUP(LEFT($A126,LEN(A126)-1)*1,Master!$D$30:$G$229,4,FALSE)</f>
        <v>Rashodi za materijal</v>
      </c>
      <c r="C126" s="564"/>
      <c r="D126" s="564"/>
      <c r="E126" s="564"/>
      <c r="F126" s="564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7">
        <f t="shared" si="20"/>
        <v>0.77555155266429454</v>
      </c>
    </row>
    <row r="127" spans="1:20">
      <c r="A127" s="105" t="str">
        <f t="shared" si="16"/>
        <v>414p</v>
      </c>
      <c r="B127" s="563" t="str">
        <f>+VLOOKUP(LEFT($A127,LEN(A127)-1)*1,Master!$D$30:$G$229,4,FALSE)</f>
        <v>Rashodi za usluge</v>
      </c>
      <c r="C127" s="564"/>
      <c r="D127" s="564"/>
      <c r="E127" s="564"/>
      <c r="F127" s="564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7">
        <f t="shared" si="20"/>
        <v>1.3413157254791312</v>
      </c>
    </row>
    <row r="128" spans="1:20">
      <c r="A128" s="105" t="str">
        <f t="shared" si="16"/>
        <v>415p</v>
      </c>
      <c r="B128" s="563" t="str">
        <f>+VLOOKUP(LEFT($A128,LEN(A128)-1)*1,Master!$D$30:$G$229,4,FALSE)</f>
        <v>Rashodi za tekuće održavanje</v>
      </c>
      <c r="C128" s="564"/>
      <c r="D128" s="564"/>
      <c r="E128" s="564"/>
      <c r="F128" s="564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7">
        <f t="shared" si="20"/>
        <v>0.56486301651726611</v>
      </c>
    </row>
    <row r="129" spans="1:20">
      <c r="A129" s="105" t="str">
        <f t="shared" si="16"/>
        <v>416p</v>
      </c>
      <c r="B129" s="563" t="str">
        <f>+VLOOKUP(LEFT($A129,LEN(A129)-1)*1,Master!$D$30:$G$229,4,FALSE)</f>
        <v>Kamate</v>
      </c>
      <c r="C129" s="564"/>
      <c r="D129" s="564"/>
      <c r="E129" s="564"/>
      <c r="F129" s="564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7">
        <f t="shared" si="20"/>
        <v>2.2430494311201787</v>
      </c>
    </row>
    <row r="130" spans="1:20">
      <c r="A130" s="105" t="str">
        <f t="shared" si="16"/>
        <v>417p</v>
      </c>
      <c r="B130" s="563" t="str">
        <f>+VLOOKUP(LEFT($A130,LEN(A130)-1)*1,Master!$D$30:$G$229,4,FALSE)</f>
        <v>Renta</v>
      </c>
      <c r="C130" s="564"/>
      <c r="D130" s="564"/>
      <c r="E130" s="564"/>
      <c r="F130" s="564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7">
        <f t="shared" si="20"/>
        <v>0.24149152996331913</v>
      </c>
    </row>
    <row r="131" spans="1:20">
      <c r="A131" s="105" t="str">
        <f t="shared" si="16"/>
        <v>418p</v>
      </c>
      <c r="B131" s="563" t="str">
        <f>+VLOOKUP(LEFT($A131,LEN(A131)-1)*1,Master!$D$30:$G$229,4,FALSE)</f>
        <v>Subvencije</v>
      </c>
      <c r="C131" s="564"/>
      <c r="D131" s="564"/>
      <c r="E131" s="564"/>
      <c r="F131" s="564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7">
        <f t="shared" si="20"/>
        <v>0.84831977448831197</v>
      </c>
    </row>
    <row r="132" spans="1:20">
      <c r="A132" s="105" t="str">
        <f t="shared" si="16"/>
        <v>419p</v>
      </c>
      <c r="B132" s="563" t="str">
        <f>+VLOOKUP(LEFT($A132,LEN(A132)-1)*1,Master!$D$30:$G$229,4,FALSE)</f>
        <v>Ostali izdaci</v>
      </c>
      <c r="C132" s="564"/>
      <c r="D132" s="564"/>
      <c r="E132" s="564"/>
      <c r="F132" s="564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7">
        <f t="shared" si="20"/>
        <v>1.0760635081284049</v>
      </c>
    </row>
    <row r="133" spans="1:20">
      <c r="A133" s="105" t="str">
        <f t="shared" si="16"/>
        <v>42p</v>
      </c>
      <c r="B133" s="559" t="str">
        <f>+VLOOKUP(LEFT($A133,LEN(A133)-1)*1,Master!$D$30:$G$229,4,FALSE)</f>
        <v>Transferi za socijalnu zaštitu</v>
      </c>
      <c r="C133" s="560"/>
      <c r="D133" s="560"/>
      <c r="E133" s="560"/>
      <c r="F133" s="560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8">
        <f t="shared" si="20"/>
        <v>12.538545292470646</v>
      </c>
    </row>
    <row r="134" spans="1:20">
      <c r="A134" s="105" t="str">
        <f t="shared" si="16"/>
        <v>421p</v>
      </c>
      <c r="B134" s="563" t="str">
        <f>+VLOOKUP(LEFT($A134,LEN(A134)-1)*1,Master!$D$30:$G$229,4,FALSE)</f>
        <v>Prava iz oblasti socijalne zaštite</v>
      </c>
      <c r="C134" s="564"/>
      <c r="D134" s="564"/>
      <c r="E134" s="564"/>
      <c r="F134" s="564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7">
        <f t="shared" si="20"/>
        <v>1.8346971111062882</v>
      </c>
    </row>
    <row r="135" spans="1:20">
      <c r="A135" s="105" t="str">
        <f t="shared" si="16"/>
        <v>422p</v>
      </c>
      <c r="B135" s="563" t="str">
        <f>+VLOOKUP(LEFT($A135,LEN(A135)-1)*1,Master!$D$30:$G$229,4,FALSE)</f>
        <v>Sredstva za tehnološke viškove</v>
      </c>
      <c r="C135" s="564"/>
      <c r="D135" s="564"/>
      <c r="E135" s="564"/>
      <c r="F135" s="564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7">
        <f t="shared" si="20"/>
        <v>0.44186401406463649</v>
      </c>
    </row>
    <row r="136" spans="1:20">
      <c r="A136" s="105" t="str">
        <f t="shared" si="16"/>
        <v>423p</v>
      </c>
      <c r="B136" s="563" t="str">
        <f>+VLOOKUP(LEFT($A136,LEN(A136)-1)*1,Master!$D$30:$G$229,4,FALSE)</f>
        <v>Prava iz oblasti penzijskog i invalidskog osiguranja</v>
      </c>
      <c r="C136" s="564"/>
      <c r="D136" s="564"/>
      <c r="E136" s="564"/>
      <c r="F136" s="564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7">
        <f t="shared" si="20"/>
        <v>9.5972781138627852</v>
      </c>
    </row>
    <row r="137" spans="1:20">
      <c r="A137" s="105" t="str">
        <f t="shared" si="16"/>
        <v>424p</v>
      </c>
      <c r="B137" s="563" t="str">
        <f>+VLOOKUP(LEFT($A137,LEN(A137)-1)*1,Master!$D$30:$G$229,4,FALSE)</f>
        <v>Ostala prava iz oblasti zdravstvene zaštite</v>
      </c>
      <c r="C137" s="564"/>
      <c r="D137" s="564"/>
      <c r="E137" s="564"/>
      <c r="F137" s="564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7">
        <f t="shared" si="20"/>
        <v>0.43409374253901412</v>
      </c>
    </row>
    <row r="138" spans="1:20">
      <c r="A138" s="105" t="str">
        <f t="shared" si="16"/>
        <v>425p</v>
      </c>
      <c r="B138" s="563" t="str">
        <f>+VLOOKUP(LEFT($A138,LEN(A138)-1)*1,Master!$D$30:$G$229,4,FALSE)</f>
        <v>Ostala prava iz zdravstvenog osiguranja</v>
      </c>
      <c r="C138" s="564"/>
      <c r="D138" s="564"/>
      <c r="E138" s="564"/>
      <c r="F138" s="564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7">
        <f t="shared" si="20"/>
        <v>0.23061231089792286</v>
      </c>
    </row>
    <row r="139" spans="1:20">
      <c r="A139" s="105" t="str">
        <f t="shared" si="16"/>
        <v>43p</v>
      </c>
      <c r="B139" s="561" t="str">
        <f>+VLOOKUP(LEFT($A139,LEN(A139)-1)*1,Master!$D$30:$G$229,4,FALSE)</f>
        <v xml:space="preserve">Transferi institucijama, pojedincima, nevladinom i javnom sektoru </v>
      </c>
      <c r="C139" s="562"/>
      <c r="D139" s="562"/>
      <c r="E139" s="562"/>
      <c r="F139" s="562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8">
        <f t="shared" si="20"/>
        <v>6.0063028847698297</v>
      </c>
    </row>
    <row r="140" spans="1:20">
      <c r="A140" s="105" t="str">
        <f t="shared" si="16"/>
        <v>44p</v>
      </c>
      <c r="B140" s="561" t="str">
        <f>+VLOOKUP(LEFT($A140,LEN(A140)-1)*1,Master!$D$30:$G$229,4,FALSE)</f>
        <v>Kapitalni izdaci</v>
      </c>
      <c r="C140" s="562"/>
      <c r="D140" s="562"/>
      <c r="E140" s="562"/>
      <c r="F140" s="562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8">
        <f t="shared" si="20"/>
        <v>4.229181139713063</v>
      </c>
    </row>
    <row r="141" spans="1:20">
      <c r="A141" s="105" t="str">
        <f t="shared" si="16"/>
        <v>451p</v>
      </c>
      <c r="B141" s="553" t="str">
        <f>+VLOOKUP(LEFT($A141,LEN(A141)-1)*1,Master!$D$30:$G$229,4,FALSE)</f>
        <v>Pozajmice i krediti</v>
      </c>
      <c r="C141" s="554"/>
      <c r="D141" s="554"/>
      <c r="E141" s="554"/>
      <c r="F141" s="554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7">
        <f t="shared" si="20"/>
        <v>3.4293447355283994E-2</v>
      </c>
    </row>
    <row r="142" spans="1:20">
      <c r="A142" s="105" t="str">
        <f t="shared" si="16"/>
        <v>47p</v>
      </c>
      <c r="B142" s="553" t="str">
        <f>+VLOOKUP(LEFT($A142,LEN(A142)-1)*1,Master!$D$30:$G$229,4,FALSE)</f>
        <v>Rezerve</v>
      </c>
      <c r="C142" s="554"/>
      <c r="D142" s="554"/>
      <c r="E142" s="554"/>
      <c r="F142" s="554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7">
        <f t="shared" si="20"/>
        <v>2.9004080480975842</v>
      </c>
    </row>
    <row r="143" spans="1:20">
      <c r="A143" s="105" t="str">
        <f t="shared" si="16"/>
        <v>462p</v>
      </c>
      <c r="B143" s="553" t="str">
        <f>+VLOOKUP(LEFT($A143,LEN(A143)-1)*1,Master!$D$30:$G$229,4,FALSE)</f>
        <v>Otplata garancija</v>
      </c>
      <c r="C143" s="554"/>
      <c r="D143" s="554"/>
      <c r="E143" s="554"/>
      <c r="F143" s="554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7">
        <f t="shared" si="20"/>
        <v>0</v>
      </c>
    </row>
    <row r="144" spans="1:20">
      <c r="A144" s="106" t="str">
        <f t="shared" si="16"/>
        <v>4630p</v>
      </c>
      <c r="B144" s="553" t="str">
        <f>+VLOOKUP(LEFT($A144,LEN(A144)-1)*1,Master!$D$30:$G$229,4,FALSE)</f>
        <v>Otplata obaveza iz prethodnog perioda</v>
      </c>
      <c r="C144" s="554"/>
      <c r="D144" s="554"/>
      <c r="E144" s="554"/>
      <c r="F144" s="554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5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553" t="str">
        <f>+VLOOKUP(LEFT($A145,LEN(A145)-1)*1,Master!$D$30:$G$229,4,FALSE)</f>
        <v>Neto povećanje obaveza</v>
      </c>
      <c r="C145" s="554"/>
      <c r="D145" s="554"/>
      <c r="E145" s="554"/>
      <c r="F145" s="554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2">
        <f t="shared" si="20"/>
        <v>0</v>
      </c>
    </row>
    <row r="146" spans="1:23" ht="13.5" thickBot="1">
      <c r="A146" s="106" t="str">
        <f t="shared" si="25"/>
        <v>1000p</v>
      </c>
      <c r="B146" s="555" t="str">
        <f>+VLOOKUP(LEFT($A146,LEN(A146)-1)*1,Master!$D$30:$G$226,4,FALSE)</f>
        <v>Suficit / deficit</v>
      </c>
      <c r="C146" s="556"/>
      <c r="D146" s="556"/>
      <c r="E146" s="556"/>
      <c r="F146" s="556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3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557" t="str">
        <f>+VLOOKUP(LEFT($A147,LEN(A147)-1)*1,Master!$D$30:$G$226,4,FALSE)</f>
        <v>Primarni suficit/deficit</v>
      </c>
      <c r="C147" s="558"/>
      <c r="D147" s="558"/>
      <c r="E147" s="558"/>
      <c r="F147" s="558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3">
        <f t="shared" si="20"/>
        <v>-5.0473336053247726</v>
      </c>
    </row>
    <row r="148" spans="1:23">
      <c r="A148" s="106" t="str">
        <f t="shared" si="25"/>
        <v>46p</v>
      </c>
      <c r="B148" s="559" t="str">
        <f>+VLOOKUP(LEFT($A148,LEN(A148)-1)*1,Master!$D$30:$G$226,4,FALSE)</f>
        <v>Otplata dugova</v>
      </c>
      <c r="C148" s="560"/>
      <c r="D148" s="560"/>
      <c r="E148" s="560"/>
      <c r="F148" s="560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4">
        <f t="shared" si="20"/>
        <v>11.711631541249758</v>
      </c>
    </row>
    <row r="149" spans="1:23">
      <c r="A149" s="106" t="str">
        <f t="shared" si="25"/>
        <v>4611p</v>
      </c>
      <c r="B149" s="551" t="str">
        <f>+VLOOKUP(LEFT($A149,LEN(A149)-1)*1,Master!$D$30:$G$226,4,FALSE)</f>
        <v>Otplata hartija od vrijednosti i kredita rezidentima</v>
      </c>
      <c r="C149" s="552"/>
      <c r="D149" s="552"/>
      <c r="E149" s="552"/>
      <c r="F149" s="552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5">
        <f t="shared" si="20"/>
        <v>2.598267966053871</v>
      </c>
    </row>
    <row r="150" spans="1:23" ht="13.5" thickBot="1">
      <c r="A150" s="106" t="str">
        <f t="shared" si="25"/>
        <v>4612p</v>
      </c>
      <c r="B150" s="553" t="str">
        <f>+VLOOKUP(LEFT($A150,LEN(A150)-1)*1,Master!$D$30:$G$226,4,FALSE)</f>
        <v>Otplata hartija od vrijednosti i kredita nerezidentima</v>
      </c>
      <c r="C150" s="554"/>
      <c r="D150" s="554"/>
      <c r="E150" s="554"/>
      <c r="F150" s="554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5">
        <f t="shared" si="20"/>
        <v>9.1133635751958835</v>
      </c>
    </row>
    <row r="151" spans="1:23" ht="13.5" thickBot="1">
      <c r="A151" s="106" t="str">
        <f t="shared" si="25"/>
        <v>4418p</v>
      </c>
      <c r="B151" s="547" t="str">
        <f>+VLOOKUP(LEFT($A151,LEN(A151)-1)*1,Master!$D$30:$G$226,4,FALSE)</f>
        <v>Izdaci za kupovinu hartija od vrijednosti</v>
      </c>
      <c r="C151" s="548"/>
      <c r="D151" s="548"/>
      <c r="E151" s="548"/>
      <c r="F151" s="548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0">
        <f t="shared" si="19"/>
        <v>2010000</v>
      </c>
      <c r="T151" s="421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549" t="str">
        <f>+VLOOKUP(LEFT($A152,LEN(A152)-1)*1,Master!$D$30:$G$226,4,FALSE)</f>
        <v>Nedostajuća sredstva</v>
      </c>
      <c r="C152" s="550"/>
      <c r="D152" s="550"/>
      <c r="E152" s="550"/>
      <c r="F152" s="550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7">
        <f t="shared" si="20"/>
        <v>-19.045640996638557</v>
      </c>
    </row>
    <row r="153" spans="1:23" ht="13.5" thickBot="1">
      <c r="A153" s="106" t="str">
        <f t="shared" si="29"/>
        <v>1003p</v>
      </c>
      <c r="B153" s="547" t="str">
        <f>+VLOOKUP(LEFT($A153,LEN(A153)-1)*1,Master!$D$30:$G$226,4,FALSE)</f>
        <v>Finansiranje</v>
      </c>
      <c r="C153" s="548"/>
      <c r="D153" s="548"/>
      <c r="E153" s="548"/>
      <c r="F153" s="548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8">
        <f t="shared" si="20"/>
        <v>19.045640996638557</v>
      </c>
    </row>
    <row r="154" spans="1:23">
      <c r="A154" s="106" t="str">
        <f t="shared" si="29"/>
        <v>7511p</v>
      </c>
      <c r="B154" s="551" t="str">
        <f>+VLOOKUP(LEFT($A154,LEN(A154)-1)*1,Master!$D$30:$G$226,4,FALSE)</f>
        <v>Pozajmice i krediti od domaćih izvora</v>
      </c>
      <c r="C154" s="552"/>
      <c r="D154" s="552"/>
      <c r="E154" s="552"/>
      <c r="F154" s="552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5">
        <f t="shared" si="20"/>
        <v>0</v>
      </c>
    </row>
    <row r="155" spans="1:23">
      <c r="A155" s="106" t="str">
        <f t="shared" si="29"/>
        <v>7512p</v>
      </c>
      <c r="B155" s="553" t="str">
        <f>+VLOOKUP(LEFT($A155,LEN(A155)-1)*1,Master!$D$30:$G$226,4,FALSE)</f>
        <v>Pozajmice i krediti od inostranih izvora</v>
      </c>
      <c r="C155" s="554"/>
      <c r="D155" s="554"/>
      <c r="E155" s="554"/>
      <c r="F155" s="554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5">
        <f t="shared" si="20"/>
        <v>7.1948775823150264</v>
      </c>
    </row>
    <row r="156" spans="1:23">
      <c r="A156" s="106" t="str">
        <f t="shared" si="29"/>
        <v>72p</v>
      </c>
      <c r="B156" s="553" t="str">
        <f>+VLOOKUP(LEFT($A156,LEN(A156)-1)*1,Master!$D$30:$G$226,4,FALSE)</f>
        <v>Primici od prodaje imovine</v>
      </c>
      <c r="C156" s="554"/>
      <c r="D156" s="554"/>
      <c r="E156" s="554"/>
      <c r="F156" s="554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5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1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59"/>
  <sheetViews>
    <sheetView workbookViewId="0"/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4"/>
    </row>
    <row r="5" spans="1:20" s="1" customFormat="1" ht="26.25" customHeight="1">
      <c r="A5" s="216"/>
      <c r="B5" s="113"/>
      <c r="C5" s="113"/>
      <c r="D5" s="113"/>
      <c r="E5" s="468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27" t="s">
        <v>553</v>
      </c>
      <c r="C7" s="528"/>
      <c r="D7" s="528"/>
      <c r="E7" s="528"/>
      <c r="F7" s="528"/>
      <c r="G7" s="536">
        <v>2019</v>
      </c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40"/>
      <c r="S7" s="220" t="s">
        <v>419</v>
      </c>
      <c r="T7" s="221">
        <v>4951000000</v>
      </c>
    </row>
    <row r="8" spans="1:20" ht="16.5" customHeight="1">
      <c r="A8" s="129"/>
      <c r="B8" s="529"/>
      <c r="C8" s="530"/>
      <c r="D8" s="530"/>
      <c r="E8" s="530"/>
      <c r="F8" s="531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36" t="s">
        <v>806</v>
      </c>
      <c r="T8" s="540"/>
    </row>
    <row r="9" spans="1:20" ht="13.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07" t="s">
        <v>680</v>
      </c>
      <c r="C10" s="508"/>
      <c r="D10" s="508"/>
      <c r="E10" s="508"/>
      <c r="F10" s="508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5">
        <f>+SUM(G10:O10)</f>
        <v>1338151716.3200002</v>
      </c>
      <c r="T10" s="340">
        <f>+S10/$T$7</f>
        <v>0.2702790782306605</v>
      </c>
    </row>
    <row r="11" spans="1:20" ht="13.5" thickBot="1">
      <c r="A11" s="135">
        <v>711</v>
      </c>
      <c r="B11" s="497" t="s">
        <v>21</v>
      </c>
      <c r="C11" s="498"/>
      <c r="D11" s="498"/>
      <c r="E11" s="498"/>
      <c r="F11" s="498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5">
        <f t="shared" ref="S11:S28" si="3">+SUM(G11:O11)</f>
        <v>878844461.47000003</v>
      </c>
      <c r="T11" s="341">
        <f t="shared" ref="T11:T64" si="4">+S11/$T$7</f>
        <v>0.17750847535245406</v>
      </c>
    </row>
    <row r="12" spans="1:20" ht="13.5" thickBot="1">
      <c r="A12" s="135">
        <v>7111</v>
      </c>
      <c r="B12" s="499" t="s">
        <v>23</v>
      </c>
      <c r="C12" s="500"/>
      <c r="D12" s="500"/>
      <c r="E12" s="500"/>
      <c r="F12" s="500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5">
        <f t="shared" si="3"/>
        <v>85547113.409999996</v>
      </c>
      <c r="T12" s="342">
        <f t="shared" si="4"/>
        <v>1.727875447586346E-2</v>
      </c>
    </row>
    <row r="13" spans="1:20" ht="13.5" thickBot="1">
      <c r="A13" s="135">
        <v>7112</v>
      </c>
      <c r="B13" s="499" t="s">
        <v>25</v>
      </c>
      <c r="C13" s="500"/>
      <c r="D13" s="500"/>
      <c r="E13" s="500"/>
      <c r="F13" s="500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5">
        <f t="shared" si="3"/>
        <v>63460533.5</v>
      </c>
      <c r="T13" s="342">
        <f t="shared" si="4"/>
        <v>1.2817720359523329E-2</v>
      </c>
    </row>
    <row r="14" spans="1:20" ht="13.5" thickBot="1">
      <c r="A14" s="135">
        <v>7113</v>
      </c>
      <c r="B14" s="499" t="s">
        <v>27</v>
      </c>
      <c r="C14" s="500"/>
      <c r="D14" s="500"/>
      <c r="E14" s="500"/>
      <c r="F14" s="500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5">
        <f t="shared" si="3"/>
        <v>1401042.18</v>
      </c>
      <c r="T14" s="342">
        <f t="shared" si="4"/>
        <v>2.8298165623106441E-4</v>
      </c>
    </row>
    <row r="15" spans="1:20" ht="13.5" thickBot="1">
      <c r="A15" s="135">
        <v>7114</v>
      </c>
      <c r="B15" s="499" t="s">
        <v>29</v>
      </c>
      <c r="C15" s="500"/>
      <c r="D15" s="500"/>
      <c r="E15" s="500"/>
      <c r="F15" s="500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5">
        <f t="shared" si="3"/>
        <v>517818183.34000003</v>
      </c>
      <c r="T15" s="342">
        <f t="shared" si="4"/>
        <v>0.10458860499697031</v>
      </c>
    </row>
    <row r="16" spans="1:20" ht="13.5" thickBot="1">
      <c r="A16" s="135">
        <v>7115</v>
      </c>
      <c r="B16" s="499" t="s">
        <v>31</v>
      </c>
      <c r="C16" s="500"/>
      <c r="D16" s="500"/>
      <c r="E16" s="500"/>
      <c r="F16" s="500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5">
        <f t="shared" si="3"/>
        <v>178709360.70000002</v>
      </c>
      <c r="T16" s="342">
        <f t="shared" si="4"/>
        <v>3.6095609109270857E-2</v>
      </c>
    </row>
    <row r="17" spans="1:23" ht="13.5" thickBot="1">
      <c r="A17" s="135">
        <v>7116</v>
      </c>
      <c r="B17" s="499" t="s">
        <v>33</v>
      </c>
      <c r="C17" s="500"/>
      <c r="D17" s="500"/>
      <c r="E17" s="500"/>
      <c r="F17" s="500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5">
        <f t="shared" si="3"/>
        <v>21570886.120000001</v>
      </c>
      <c r="T17" s="342">
        <f t="shared" si="4"/>
        <v>4.3568745950313074E-3</v>
      </c>
    </row>
    <row r="18" spans="1:23" ht="13.5" thickBot="1">
      <c r="A18" s="135">
        <v>7118</v>
      </c>
      <c r="B18" s="499" t="s">
        <v>721</v>
      </c>
      <c r="C18" s="500"/>
      <c r="D18" s="500"/>
      <c r="E18" s="500"/>
      <c r="F18" s="500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5">
        <f t="shared" si="3"/>
        <v>10337342.220000001</v>
      </c>
      <c r="T18" s="342">
        <f t="shared" si="4"/>
        <v>2.0879301595637246E-3</v>
      </c>
    </row>
    <row r="19" spans="1:23" ht="13.5" thickBot="1">
      <c r="A19" s="135">
        <v>712</v>
      </c>
      <c r="B19" s="503" t="s">
        <v>37</v>
      </c>
      <c r="C19" s="504"/>
      <c r="D19" s="504"/>
      <c r="E19" s="504"/>
      <c r="F19" s="504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5">
        <f t="shared" si="3"/>
        <v>370571042.34999996</v>
      </c>
      <c r="T19" s="343">
        <f t="shared" si="4"/>
        <v>7.4847716087659055E-2</v>
      </c>
    </row>
    <row r="20" spans="1:23" ht="13.5" thickBot="1">
      <c r="A20" s="135">
        <v>7121</v>
      </c>
      <c r="B20" s="499" t="s">
        <v>39</v>
      </c>
      <c r="C20" s="500"/>
      <c r="D20" s="500"/>
      <c r="E20" s="500"/>
      <c r="F20" s="500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5">
        <f t="shared" si="3"/>
        <v>220192746.31</v>
      </c>
      <c r="T20" s="342">
        <f t="shared" si="4"/>
        <v>4.447439836598667E-2</v>
      </c>
    </row>
    <row r="21" spans="1:23" ht="13.5" thickBot="1">
      <c r="A21" s="135">
        <v>7122</v>
      </c>
      <c r="B21" s="499" t="s">
        <v>41</v>
      </c>
      <c r="C21" s="500"/>
      <c r="D21" s="500"/>
      <c r="E21" s="500"/>
      <c r="F21" s="500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5">
        <f t="shared" si="3"/>
        <v>130738336.89</v>
      </c>
      <c r="T21" s="342">
        <f t="shared" si="4"/>
        <v>2.6406450593819429E-2</v>
      </c>
    </row>
    <row r="22" spans="1:23" ht="13.5" thickBot="1">
      <c r="A22" s="135">
        <v>7123</v>
      </c>
      <c r="B22" s="499" t="s">
        <v>43</v>
      </c>
      <c r="C22" s="500"/>
      <c r="D22" s="500"/>
      <c r="E22" s="500"/>
      <c r="F22" s="500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5">
        <f t="shared" si="3"/>
        <v>10196734.950000001</v>
      </c>
      <c r="T22" s="342">
        <f t="shared" si="4"/>
        <v>2.0595303878004445E-3</v>
      </c>
    </row>
    <row r="23" spans="1:23" ht="13.5" thickBot="1">
      <c r="A23" s="135">
        <v>7124</v>
      </c>
      <c r="B23" s="499" t="s">
        <v>45</v>
      </c>
      <c r="C23" s="500"/>
      <c r="D23" s="500"/>
      <c r="E23" s="500"/>
      <c r="F23" s="500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5">
        <f t="shared" si="3"/>
        <v>9443224.1999999993</v>
      </c>
      <c r="T23" s="342">
        <f t="shared" si="4"/>
        <v>1.9073367400525144E-3</v>
      </c>
    </row>
    <row r="24" spans="1:23" ht="13.5" thickBot="1">
      <c r="A24" s="135">
        <v>713</v>
      </c>
      <c r="B24" s="501" t="s">
        <v>47</v>
      </c>
      <c r="C24" s="502"/>
      <c r="D24" s="502"/>
      <c r="E24" s="502"/>
      <c r="F24" s="502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5">
        <f t="shared" si="3"/>
        <v>11793221.899999999</v>
      </c>
      <c r="T24" s="343">
        <f t="shared" si="4"/>
        <v>2.3819878610381738E-3</v>
      </c>
    </row>
    <row r="25" spans="1:23" ht="13.5" thickBot="1">
      <c r="A25" s="135">
        <v>714</v>
      </c>
      <c r="B25" s="501" t="s">
        <v>61</v>
      </c>
      <c r="C25" s="502"/>
      <c r="D25" s="502"/>
      <c r="E25" s="502"/>
      <c r="F25" s="502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5">
        <f t="shared" si="3"/>
        <v>20484439.07</v>
      </c>
      <c r="T25" s="343">
        <f t="shared" si="4"/>
        <v>4.1374346738032725E-3</v>
      </c>
      <c r="W25" s="276"/>
    </row>
    <row r="26" spans="1:23" ht="13.5" thickBot="1">
      <c r="A26" s="135">
        <v>715</v>
      </c>
      <c r="B26" s="501" t="s">
        <v>81</v>
      </c>
      <c r="C26" s="502"/>
      <c r="D26" s="502"/>
      <c r="E26" s="502"/>
      <c r="F26" s="502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5">
        <f t="shared" si="3"/>
        <v>28696128.32</v>
      </c>
      <c r="T26" s="343">
        <f t="shared" si="4"/>
        <v>5.7960267259139567E-3</v>
      </c>
      <c r="W26" s="292"/>
    </row>
    <row r="27" spans="1:23" ht="13.5" thickBot="1">
      <c r="A27" s="135">
        <v>73</v>
      </c>
      <c r="B27" s="501" t="s">
        <v>99</v>
      </c>
      <c r="C27" s="502"/>
      <c r="D27" s="502"/>
      <c r="E27" s="502"/>
      <c r="F27" s="502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5">
        <f t="shared" si="3"/>
        <v>4775383.3</v>
      </c>
      <c r="T27" s="343">
        <f t="shared" si="4"/>
        <v>9.6452904463744694E-4</v>
      </c>
    </row>
    <row r="28" spans="1:23" ht="13.5" thickBot="1">
      <c r="A28" s="135">
        <v>74</v>
      </c>
      <c r="B28" s="505" t="s">
        <v>105</v>
      </c>
      <c r="C28" s="506"/>
      <c r="D28" s="506"/>
      <c r="E28" s="506"/>
      <c r="F28" s="506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5">
        <f t="shared" si="3"/>
        <v>22987039.909999996</v>
      </c>
      <c r="T28" s="344">
        <f t="shared" si="4"/>
        <v>4.6429084851545132E-3</v>
      </c>
    </row>
    <row r="29" spans="1:23" ht="13.5" thickBot="1">
      <c r="A29" s="135">
        <v>4</v>
      </c>
      <c r="B29" s="507" t="s">
        <v>801</v>
      </c>
      <c r="C29" s="508"/>
      <c r="D29" s="508"/>
      <c r="E29" s="508"/>
      <c r="F29" s="508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59">
        <f t="shared" ref="S29:S63" si="6">+SUM(G29:R29)</f>
        <v>2028496341.4899998</v>
      </c>
      <c r="T29" s="345">
        <f t="shared" si="4"/>
        <v>0.40971447010502926</v>
      </c>
    </row>
    <row r="30" spans="1:23" ht="13.5" thickBot="1">
      <c r="A30" s="135">
        <v>40</v>
      </c>
      <c r="B30" s="509" t="s">
        <v>120</v>
      </c>
      <c r="C30" s="510"/>
      <c r="D30" s="510"/>
      <c r="E30" s="510"/>
      <c r="F30" s="510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0">
        <f t="shared" si="6"/>
        <v>822772770.01999998</v>
      </c>
      <c r="T30" s="346">
        <f t="shared" si="4"/>
        <v>0.16618314886285598</v>
      </c>
      <c r="U30" s="227"/>
    </row>
    <row r="31" spans="1:23">
      <c r="A31" s="135">
        <v>411</v>
      </c>
      <c r="B31" s="499" t="s">
        <v>122</v>
      </c>
      <c r="C31" s="500"/>
      <c r="D31" s="500"/>
      <c r="E31" s="500"/>
      <c r="F31" s="500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7">
        <f>+SUM(G31:R31)</f>
        <v>472853876.71000004</v>
      </c>
      <c r="T31" s="342">
        <f t="shared" si="4"/>
        <v>9.5506741407796414E-2</v>
      </c>
      <c r="U31" s="428"/>
      <c r="W31" s="242"/>
    </row>
    <row r="32" spans="1:23">
      <c r="A32" s="135">
        <v>412</v>
      </c>
      <c r="B32" s="499" t="s">
        <v>133</v>
      </c>
      <c r="C32" s="500"/>
      <c r="D32" s="500"/>
      <c r="E32" s="500"/>
      <c r="F32" s="500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7">
        <f t="shared" si="6"/>
        <v>15228326.93</v>
      </c>
      <c r="T32" s="342">
        <f t="shared" si="4"/>
        <v>3.0758083074126437E-3</v>
      </c>
    </row>
    <row r="33" spans="1:23">
      <c r="A33" s="135">
        <v>413</v>
      </c>
      <c r="B33" s="499" t="s">
        <v>148</v>
      </c>
      <c r="C33" s="500"/>
      <c r="D33" s="500"/>
      <c r="E33" s="500"/>
      <c r="F33" s="500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7">
        <f t="shared" si="6"/>
        <v>33231725.990000002</v>
      </c>
      <c r="T33" s="342">
        <f t="shared" si="4"/>
        <v>6.7121240133306403E-3</v>
      </c>
      <c r="U33" s="277"/>
    </row>
    <row r="34" spans="1:23">
      <c r="A34" s="332">
        <v>414</v>
      </c>
      <c r="B34" s="499" t="s">
        <v>162</v>
      </c>
      <c r="C34" s="500"/>
      <c r="D34" s="500"/>
      <c r="E34" s="500"/>
      <c r="F34" s="500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7">
        <f t="shared" si="6"/>
        <v>77664645.890000001</v>
      </c>
      <c r="T34" s="342">
        <f t="shared" si="4"/>
        <v>1.5686658430620077E-2</v>
      </c>
      <c r="U34" s="292"/>
      <c r="V34" s="275"/>
    </row>
    <row r="35" spans="1:23" s="333" customFormat="1">
      <c r="A35" s="135">
        <v>415</v>
      </c>
      <c r="B35" s="594" t="s">
        <v>182</v>
      </c>
      <c r="C35" s="595"/>
      <c r="D35" s="595"/>
      <c r="E35" s="595"/>
      <c r="F35" s="595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7">
        <f t="shared" si="6"/>
        <v>22511706.030000001</v>
      </c>
      <c r="T35" s="342">
        <f t="shared" si="4"/>
        <v>4.5469008341749145E-3</v>
      </c>
      <c r="U35" s="292"/>
    </row>
    <row r="36" spans="1:23">
      <c r="A36" s="135">
        <v>416</v>
      </c>
      <c r="B36" s="499" t="s">
        <v>190</v>
      </c>
      <c r="C36" s="500"/>
      <c r="D36" s="500"/>
      <c r="E36" s="500"/>
      <c r="F36" s="500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7">
        <f t="shared" si="6"/>
        <v>105803340.84999999</v>
      </c>
      <c r="T36" s="342">
        <f t="shared" si="4"/>
        <v>2.1370095101999595E-2</v>
      </c>
      <c r="U36" s="292"/>
    </row>
    <row r="37" spans="1:23">
      <c r="A37" s="135">
        <v>417</v>
      </c>
      <c r="B37" s="499" t="s">
        <v>196</v>
      </c>
      <c r="C37" s="500"/>
      <c r="D37" s="500"/>
      <c r="E37" s="500"/>
      <c r="F37" s="500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7">
        <f>+SUM(G37:R37)</f>
        <v>10953661.65</v>
      </c>
      <c r="T37" s="342">
        <f t="shared" si="4"/>
        <v>2.2124139870733188E-3</v>
      </c>
      <c r="U37" s="292"/>
    </row>
    <row r="38" spans="1:23">
      <c r="A38" s="135">
        <v>418</v>
      </c>
      <c r="B38" s="499" t="s">
        <v>204</v>
      </c>
      <c r="C38" s="500"/>
      <c r="D38" s="500"/>
      <c r="E38" s="500"/>
      <c r="F38" s="500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7">
        <f t="shared" si="6"/>
        <v>34566147.960000001</v>
      </c>
      <c r="T38" s="342">
        <f t="shared" si="4"/>
        <v>6.9816497596445161E-3</v>
      </c>
      <c r="U38" s="292"/>
    </row>
    <row r="39" spans="1:23">
      <c r="A39" s="332">
        <v>419</v>
      </c>
      <c r="B39" s="499" t="s">
        <v>212</v>
      </c>
      <c r="C39" s="500"/>
      <c r="D39" s="500"/>
      <c r="E39" s="500"/>
      <c r="F39" s="500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7">
        <f t="shared" si="6"/>
        <v>49959338.009999998</v>
      </c>
      <c r="T39" s="342">
        <f t="shared" si="4"/>
        <v>1.0090757020803878E-2</v>
      </c>
      <c r="U39" s="292"/>
    </row>
    <row r="40" spans="1:23" s="333" customFormat="1">
      <c r="A40" s="135">
        <v>42</v>
      </c>
      <c r="B40" s="515" t="s">
        <v>230</v>
      </c>
      <c r="C40" s="516"/>
      <c r="D40" s="516"/>
      <c r="E40" s="516"/>
      <c r="F40" s="516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8">
        <f t="shared" si="6"/>
        <v>554348899.89999998</v>
      </c>
      <c r="T40" s="343">
        <f t="shared" si="4"/>
        <v>0.11196705713997172</v>
      </c>
      <c r="U40" s="292"/>
    </row>
    <row r="41" spans="1:23">
      <c r="A41" s="135">
        <v>421</v>
      </c>
      <c r="B41" s="499" t="s">
        <v>232</v>
      </c>
      <c r="C41" s="500"/>
      <c r="D41" s="500"/>
      <c r="E41" s="500"/>
      <c r="F41" s="500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7">
        <f t="shared" si="6"/>
        <v>79857118.899999991</v>
      </c>
      <c r="T41" s="342">
        <f t="shared" si="4"/>
        <v>1.6129492809533425E-2</v>
      </c>
      <c r="W41" s="290"/>
    </row>
    <row r="42" spans="1:23">
      <c r="A42" s="135">
        <v>422</v>
      </c>
      <c r="B42" s="499" t="s">
        <v>248</v>
      </c>
      <c r="C42" s="500"/>
      <c r="D42" s="500"/>
      <c r="E42" s="500"/>
      <c r="F42" s="500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7">
        <f t="shared" si="6"/>
        <v>20398152.109999999</v>
      </c>
      <c r="T42" s="342">
        <f t="shared" si="4"/>
        <v>4.1200064855584726E-3</v>
      </c>
    </row>
    <row r="43" spans="1:23">
      <c r="A43" s="135">
        <v>423</v>
      </c>
      <c r="B43" s="499" t="s">
        <v>259</v>
      </c>
      <c r="C43" s="500"/>
      <c r="D43" s="500"/>
      <c r="E43" s="500"/>
      <c r="F43" s="500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7">
        <f t="shared" si="6"/>
        <v>420870901.67999995</v>
      </c>
      <c r="T43" s="342">
        <f t="shared" si="4"/>
        <v>8.5007251399717224E-2</v>
      </c>
      <c r="V43" s="275"/>
    </row>
    <row r="44" spans="1:23">
      <c r="A44" s="135">
        <v>424</v>
      </c>
      <c r="B44" s="499" t="s">
        <v>274</v>
      </c>
      <c r="C44" s="500"/>
      <c r="D44" s="500"/>
      <c r="E44" s="500"/>
      <c r="F44" s="500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7">
        <f t="shared" si="6"/>
        <v>21699290.620000005</v>
      </c>
      <c r="T44" s="342">
        <f t="shared" si="4"/>
        <v>4.3828096586548178E-3</v>
      </c>
    </row>
    <row r="45" spans="1:23">
      <c r="A45" s="332">
        <v>425</v>
      </c>
      <c r="B45" s="499" t="s">
        <v>278</v>
      </c>
      <c r="C45" s="500"/>
      <c r="D45" s="500"/>
      <c r="E45" s="500"/>
      <c r="F45" s="500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7">
        <f t="shared" si="6"/>
        <v>11523436.590000002</v>
      </c>
      <c r="T45" s="342">
        <f t="shared" si="4"/>
        <v>2.3274967865077765E-3</v>
      </c>
      <c r="U45" s="62"/>
    </row>
    <row r="46" spans="1:23" s="333" customFormat="1">
      <c r="A46" s="135">
        <v>43</v>
      </c>
      <c r="B46" s="513" t="s">
        <v>286</v>
      </c>
      <c r="C46" s="514"/>
      <c r="D46" s="514"/>
      <c r="E46" s="514"/>
      <c r="F46" s="514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8">
        <f t="shared" si="6"/>
        <v>219689949.60999998</v>
      </c>
      <c r="T46" s="343">
        <f t="shared" si="4"/>
        <v>4.4372843791153298E-2</v>
      </c>
    </row>
    <row r="47" spans="1:23">
      <c r="A47" s="135">
        <v>44</v>
      </c>
      <c r="B47" s="513" t="s">
        <v>320</v>
      </c>
      <c r="C47" s="514"/>
      <c r="D47" s="514"/>
      <c r="E47" s="514"/>
      <c r="F47" s="514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8">
        <f t="shared" si="6"/>
        <v>344885621.69999993</v>
      </c>
      <c r="T47" s="343">
        <f t="shared" si="4"/>
        <v>6.965979028479094E-2</v>
      </c>
      <c r="U47" s="275"/>
    </row>
    <row r="48" spans="1:23">
      <c r="A48" s="135">
        <v>451</v>
      </c>
      <c r="B48" s="592" t="s">
        <v>113</v>
      </c>
      <c r="C48" s="593"/>
      <c r="D48" s="593"/>
      <c r="E48" s="593"/>
      <c r="F48" s="593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7">
        <f t="shared" si="6"/>
        <v>3176935.98</v>
      </c>
      <c r="T48" s="342">
        <f t="shared" si="4"/>
        <v>6.416756170470612E-4</v>
      </c>
    </row>
    <row r="49" spans="1:22" s="333" customFormat="1">
      <c r="A49" s="332">
        <v>47</v>
      </c>
      <c r="B49" s="584" t="s">
        <v>366</v>
      </c>
      <c r="C49" s="585"/>
      <c r="D49" s="585"/>
      <c r="E49" s="585"/>
      <c r="F49" s="585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7">
        <f t="shared" si="6"/>
        <v>24296455.589999996</v>
      </c>
      <c r="T49" s="342">
        <f t="shared" si="4"/>
        <v>4.9073834760654409E-3</v>
      </c>
    </row>
    <row r="50" spans="1:22" ht="13.5" thickBot="1">
      <c r="A50" s="135">
        <v>462</v>
      </c>
      <c r="B50" s="519" t="s">
        <v>359</v>
      </c>
      <c r="C50" s="520"/>
      <c r="D50" s="520"/>
      <c r="E50" s="520"/>
      <c r="F50" s="520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7">
        <f t="shared" si="6"/>
        <v>38684699.409999996</v>
      </c>
      <c r="T50" s="347">
        <f t="shared" si="4"/>
        <v>7.8135123025651378E-3</v>
      </c>
      <c r="U50" s="276"/>
      <c r="V50" s="277"/>
    </row>
    <row r="51" spans="1:22" ht="13.5" thickBot="1">
      <c r="A51" s="129">
        <v>4630</v>
      </c>
      <c r="B51" s="586" t="s">
        <v>794</v>
      </c>
      <c r="C51" s="587"/>
      <c r="D51" s="587"/>
      <c r="E51" s="587"/>
      <c r="F51" s="587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2">
        <f>+SUM(G51:R51)</f>
        <v>20641009.280000001</v>
      </c>
      <c r="T51" s="347">
        <f>+S51/$T$7</f>
        <v>4.1690586305796811E-3</v>
      </c>
    </row>
    <row r="52" spans="1:22" ht="13.5" thickBot="1">
      <c r="A52" s="61">
        <v>1005</v>
      </c>
      <c r="B52" s="588" t="s">
        <v>684</v>
      </c>
      <c r="C52" s="589"/>
      <c r="D52" s="589"/>
      <c r="E52" s="589"/>
      <c r="F52" s="589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3">
        <f>+SUM(G52:R52)</f>
        <v>0</v>
      </c>
      <c r="T52" s="348">
        <f>+S52/$T$7</f>
        <v>0</v>
      </c>
    </row>
    <row r="53" spans="1:22" ht="13.5" thickBot="1">
      <c r="A53" s="129">
        <v>1000</v>
      </c>
      <c r="B53" s="521" t="s">
        <v>545</v>
      </c>
      <c r="C53" s="522"/>
      <c r="D53" s="522"/>
      <c r="E53" s="522"/>
      <c r="F53" s="522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4">
        <f t="shared" si="6"/>
        <v>-143283723.32999992</v>
      </c>
      <c r="T53" s="349">
        <f t="shared" si="4"/>
        <v>-2.8940360195920001E-2</v>
      </c>
    </row>
    <row r="54" spans="1:22" ht="13.5" thickBot="1">
      <c r="A54" s="129">
        <v>1001</v>
      </c>
      <c r="B54" s="523" t="s">
        <v>792</v>
      </c>
      <c r="C54" s="524"/>
      <c r="D54" s="524"/>
      <c r="E54" s="524"/>
      <c r="F54" s="524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4">
        <f t="shared" si="6"/>
        <v>-37480382.479999945</v>
      </c>
      <c r="T54" s="349">
        <f t="shared" si="4"/>
        <v>-7.5702650939204093E-3</v>
      </c>
    </row>
    <row r="55" spans="1:22">
      <c r="A55" s="129">
        <v>46</v>
      </c>
      <c r="B55" s="545" t="s">
        <v>352</v>
      </c>
      <c r="C55" s="546"/>
      <c r="D55" s="546"/>
      <c r="E55" s="546"/>
      <c r="F55" s="546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5">
        <f t="shared" si="6"/>
        <v>507341253.08999997</v>
      </c>
      <c r="T55" s="350">
        <f t="shared" si="4"/>
        <v>0.10247248093112502</v>
      </c>
      <c r="V55" s="290"/>
    </row>
    <row r="56" spans="1:22">
      <c r="A56" s="129">
        <v>4611</v>
      </c>
      <c r="B56" s="541" t="s">
        <v>355</v>
      </c>
      <c r="C56" s="542"/>
      <c r="D56" s="542"/>
      <c r="E56" s="542"/>
      <c r="F56" s="542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6">
        <f t="shared" si="6"/>
        <v>178415558.27999997</v>
      </c>
      <c r="T56" s="351">
        <f t="shared" si="4"/>
        <v>3.6036267073318515E-2</v>
      </c>
      <c r="V56" s="62"/>
    </row>
    <row r="57" spans="1:22">
      <c r="A57" s="129">
        <v>4612</v>
      </c>
      <c r="B57" s="517" t="s">
        <v>357</v>
      </c>
      <c r="C57" s="518"/>
      <c r="D57" s="518"/>
      <c r="E57" s="518"/>
      <c r="F57" s="518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6">
        <f t="shared" si="6"/>
        <v>328925694.81</v>
      </c>
      <c r="T57" s="351">
        <f t="shared" si="4"/>
        <v>6.64362138578065E-2</v>
      </c>
      <c r="V57" s="297"/>
    </row>
    <row r="58" spans="1:22" ht="13.5" thickBot="1">
      <c r="A58" s="129">
        <v>4418</v>
      </c>
      <c r="B58" s="600" t="s">
        <v>336</v>
      </c>
      <c r="C58" s="601"/>
      <c r="D58" s="601"/>
      <c r="E58" s="601"/>
      <c r="F58" s="601"/>
      <c r="G58" s="465">
        <f>DataEx!FF167</f>
        <v>0</v>
      </c>
      <c r="H58" s="465">
        <f>DataEx!FG167</f>
        <v>35272.089999999997</v>
      </c>
      <c r="I58" s="465">
        <f>DataEx!FH167</f>
        <v>0</v>
      </c>
      <c r="J58" s="465">
        <f>DataEx!FI167</f>
        <v>39948396.369999997</v>
      </c>
      <c r="K58" s="465">
        <f>DataEx!FJ167</f>
        <v>0</v>
      </c>
      <c r="L58" s="465">
        <f>DataEx!FK167</f>
        <v>0</v>
      </c>
      <c r="M58" s="465">
        <f>DataEx!FL167</f>
        <v>0</v>
      </c>
      <c r="N58" s="465">
        <f>DataEx!FM167</f>
        <v>0</v>
      </c>
      <c r="O58" s="465">
        <f>DataEx!FN167</f>
        <v>0</v>
      </c>
      <c r="P58" s="465">
        <f>DataEx!FO167</f>
        <v>0</v>
      </c>
      <c r="Q58" s="465">
        <f>DataEx!FP167</f>
        <v>14495201.140000001</v>
      </c>
      <c r="R58" s="465">
        <f>DataEx!FQ167</f>
        <v>2849828.78</v>
      </c>
      <c r="S58" s="466">
        <f>SUM(G58:R58)</f>
        <v>57328698.380000003</v>
      </c>
      <c r="T58" s="467">
        <f>+S58/$T$7</f>
        <v>1.1579215992728742E-2</v>
      </c>
      <c r="V58" s="297"/>
    </row>
    <row r="59" spans="1:22" ht="13.5" thickBot="1">
      <c r="A59" s="129">
        <v>1002</v>
      </c>
      <c r="B59" s="543" t="s">
        <v>543</v>
      </c>
      <c r="C59" s="544"/>
      <c r="D59" s="544"/>
      <c r="E59" s="544"/>
      <c r="F59" s="544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7">
        <f t="shared" si="6"/>
        <v>-707953674.79999995</v>
      </c>
      <c r="T59" s="352">
        <f t="shared" si="4"/>
        <v>-0.14299205711977378</v>
      </c>
    </row>
    <row r="60" spans="1:22" ht="13.5" thickBot="1">
      <c r="A60" s="129">
        <v>1003</v>
      </c>
      <c r="B60" s="507" t="s">
        <v>544</v>
      </c>
      <c r="C60" s="508"/>
      <c r="D60" s="508"/>
      <c r="E60" s="508"/>
      <c r="F60" s="508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8">
        <f t="shared" si="6"/>
        <v>707953674.79999995</v>
      </c>
      <c r="T60" s="353">
        <f t="shared" si="4"/>
        <v>0.14299205711977378</v>
      </c>
    </row>
    <row r="61" spans="1:22">
      <c r="A61" s="129">
        <v>7511</v>
      </c>
      <c r="B61" s="541" t="s">
        <v>114</v>
      </c>
      <c r="C61" s="542"/>
      <c r="D61" s="542"/>
      <c r="E61" s="542"/>
      <c r="F61" s="542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6">
        <f t="shared" si="6"/>
        <v>363438000</v>
      </c>
      <c r="T61" s="351">
        <f t="shared" si="4"/>
        <v>7.3406988487174307E-2</v>
      </c>
    </row>
    <row r="62" spans="1:22">
      <c r="A62" s="129">
        <v>7512</v>
      </c>
      <c r="B62" s="517" t="s">
        <v>116</v>
      </c>
      <c r="C62" s="518"/>
      <c r="D62" s="518"/>
      <c r="E62" s="518"/>
      <c r="F62" s="518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6">
        <f t="shared" si="6"/>
        <v>651580293.42999995</v>
      </c>
      <c r="T62" s="351">
        <f t="shared" si="4"/>
        <v>0.13160579548172086</v>
      </c>
    </row>
    <row r="63" spans="1:22">
      <c r="A63" s="129">
        <v>72</v>
      </c>
      <c r="B63" s="517" t="s">
        <v>93</v>
      </c>
      <c r="C63" s="518"/>
      <c r="D63" s="518"/>
      <c r="E63" s="518"/>
      <c r="F63" s="518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6">
        <f t="shared" si="6"/>
        <v>4278082.92</v>
      </c>
      <c r="T63" s="351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69">
        <f>+SUM(G64:R64)</f>
        <v>-311342701.55000001</v>
      </c>
      <c r="T64" s="354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573" t="s">
        <v>551</v>
      </c>
      <c r="C100" s="574"/>
      <c r="D100" s="574"/>
      <c r="E100" s="574"/>
      <c r="F100" s="574"/>
      <c r="G100" s="581">
        <v>2019</v>
      </c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  <c r="R100" s="583"/>
      <c r="S100" s="96" t="str">
        <f>+S7</f>
        <v>BDP</v>
      </c>
      <c r="T100" s="97">
        <f>+T7</f>
        <v>4951000000</v>
      </c>
    </row>
    <row r="101" spans="1:21" ht="15.75" customHeight="1">
      <c r="B101" s="575"/>
      <c r="C101" s="576"/>
      <c r="D101" s="576"/>
      <c r="E101" s="576"/>
      <c r="F101" s="577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581" t="s">
        <v>806</v>
      </c>
      <c r="T101" s="583">
        <f>+T8</f>
        <v>0</v>
      </c>
    </row>
    <row r="102" spans="1:21" ht="13.5" thickBot="1">
      <c r="B102" s="578"/>
      <c r="C102" s="579"/>
      <c r="D102" s="579"/>
      <c r="E102" s="579"/>
      <c r="F102" s="580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596" t="s">
        <v>680</v>
      </c>
      <c r="C103" s="597"/>
      <c r="D103" s="597"/>
      <c r="E103" s="597"/>
      <c r="F103" s="597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0">
        <f>+SUM(G103:R103)</f>
        <v>1834032913.7635608</v>
      </c>
      <c r="T103" s="383">
        <f>+S103/$T$7</f>
        <v>0.37043686402010922</v>
      </c>
    </row>
    <row r="104" spans="1:21">
      <c r="A104" s="105" t="str">
        <f t="shared" si="17"/>
        <v>711p</v>
      </c>
      <c r="B104" s="571" t="s">
        <v>21</v>
      </c>
      <c r="C104" s="572"/>
      <c r="D104" s="572"/>
      <c r="E104" s="572"/>
      <c r="F104" s="572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1">
        <f t="shared" ref="S104:S159" si="20">+SUM(G104:R104)</f>
        <v>1122669950.9867301</v>
      </c>
      <c r="T104" s="384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563" t="s">
        <v>23</v>
      </c>
      <c r="C105" s="564"/>
      <c r="D105" s="564"/>
      <c r="E105" s="564"/>
      <c r="F105" s="564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2">
        <f t="shared" si="20"/>
        <v>120237518.04497004</v>
      </c>
      <c r="T105" s="385">
        <f t="shared" si="21"/>
        <v>2.4285501523928506E-2</v>
      </c>
    </row>
    <row r="106" spans="1:21">
      <c r="A106" s="105" t="str">
        <f t="shared" si="17"/>
        <v>7112p</v>
      </c>
      <c r="B106" s="563" t="s">
        <v>25</v>
      </c>
      <c r="C106" s="564"/>
      <c r="D106" s="564"/>
      <c r="E106" s="564"/>
      <c r="F106" s="564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2">
        <f t="shared" si="20"/>
        <v>71194860.131909981</v>
      </c>
      <c r="T106" s="385">
        <f t="shared" si="21"/>
        <v>1.4379894997356086E-2</v>
      </c>
    </row>
    <row r="107" spans="1:21">
      <c r="A107" s="105" t="str">
        <f t="shared" si="17"/>
        <v>7113p</v>
      </c>
      <c r="B107" s="563" t="s">
        <v>27</v>
      </c>
      <c r="C107" s="564"/>
      <c r="D107" s="564"/>
      <c r="E107" s="564"/>
      <c r="F107" s="564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2">
        <f t="shared" si="20"/>
        <v>1862816.4104000002</v>
      </c>
      <c r="T107" s="385">
        <f t="shared" si="21"/>
        <v>3.7625053734599074E-4</v>
      </c>
    </row>
    <row r="108" spans="1:21">
      <c r="A108" s="105" t="str">
        <f t="shared" si="17"/>
        <v>7114p</v>
      </c>
      <c r="B108" s="563" t="s">
        <v>29</v>
      </c>
      <c r="C108" s="564"/>
      <c r="D108" s="564"/>
      <c r="E108" s="564"/>
      <c r="F108" s="564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2">
        <f t="shared" si="20"/>
        <v>657905657.67184997</v>
      </c>
      <c r="T108" s="385">
        <f t="shared" si="21"/>
        <v>0.1328833887440618</v>
      </c>
    </row>
    <row r="109" spans="1:21">
      <c r="A109" s="105" t="str">
        <f t="shared" si="17"/>
        <v>7115p</v>
      </c>
      <c r="B109" s="563" t="s">
        <v>31</v>
      </c>
      <c r="C109" s="564"/>
      <c r="D109" s="564"/>
      <c r="E109" s="564"/>
      <c r="F109" s="564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2">
        <f t="shared" si="20"/>
        <v>234801605.29820004</v>
      </c>
      <c r="T109" s="385">
        <f t="shared" si="21"/>
        <v>4.7425086911371449E-2</v>
      </c>
    </row>
    <row r="110" spans="1:21">
      <c r="A110" s="105" t="str">
        <f t="shared" si="17"/>
        <v>7116p</v>
      </c>
      <c r="B110" s="563" t="s">
        <v>33</v>
      </c>
      <c r="C110" s="564"/>
      <c r="D110" s="564"/>
      <c r="E110" s="564"/>
      <c r="F110" s="564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2">
        <f t="shared" si="20"/>
        <v>27167589.829800002</v>
      </c>
      <c r="T110" s="385">
        <f t="shared" si="21"/>
        <v>5.4872934416885484E-3</v>
      </c>
    </row>
    <row r="111" spans="1:21">
      <c r="A111" s="105" t="str">
        <f t="shared" si="17"/>
        <v>7118p</v>
      </c>
      <c r="B111" s="563" t="s">
        <v>721</v>
      </c>
      <c r="C111" s="564"/>
      <c r="D111" s="564"/>
      <c r="E111" s="564"/>
      <c r="F111" s="564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2">
        <f t="shared" si="20"/>
        <v>9499903.5996000003</v>
      </c>
      <c r="T111" s="385">
        <f t="shared" si="21"/>
        <v>1.918784811068471E-3</v>
      </c>
    </row>
    <row r="112" spans="1:21">
      <c r="A112" s="105" t="str">
        <f t="shared" si="17"/>
        <v>712p</v>
      </c>
      <c r="B112" s="598" t="s">
        <v>37</v>
      </c>
      <c r="C112" s="599"/>
      <c r="D112" s="599"/>
      <c r="E112" s="599"/>
      <c r="F112" s="599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3">
        <f t="shared" si="20"/>
        <v>534213514.07533062</v>
      </c>
      <c r="T112" s="386">
        <f t="shared" si="21"/>
        <v>0.10790012403056566</v>
      </c>
    </row>
    <row r="113" spans="1:20">
      <c r="A113" s="105" t="str">
        <f t="shared" si="17"/>
        <v>7121p</v>
      </c>
      <c r="B113" s="563" t="s">
        <v>39</v>
      </c>
      <c r="C113" s="564"/>
      <c r="D113" s="564"/>
      <c r="E113" s="564"/>
      <c r="F113" s="564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2">
        <f t="shared" si="20"/>
        <v>327876749.17454183</v>
      </c>
      <c r="T113" s="385">
        <f t="shared" si="21"/>
        <v>6.6224348449715573E-2</v>
      </c>
    </row>
    <row r="114" spans="1:20">
      <c r="A114" s="105" t="str">
        <f t="shared" si="17"/>
        <v>7122p</v>
      </c>
      <c r="B114" s="563" t="s">
        <v>41</v>
      </c>
      <c r="C114" s="564"/>
      <c r="D114" s="564"/>
      <c r="E114" s="564"/>
      <c r="F114" s="564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2">
        <f t="shared" si="20"/>
        <v>178851341.72447601</v>
      </c>
      <c r="T114" s="385">
        <f t="shared" si="21"/>
        <v>3.6124286351136341E-2</v>
      </c>
    </row>
    <row r="115" spans="1:20">
      <c r="A115" s="105" t="str">
        <f t="shared" si="17"/>
        <v>7123p</v>
      </c>
      <c r="B115" s="563" t="s">
        <v>43</v>
      </c>
      <c r="C115" s="564"/>
      <c r="D115" s="564"/>
      <c r="E115" s="564"/>
      <c r="F115" s="564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2">
        <f t="shared" si="20"/>
        <v>14950709.439620741</v>
      </c>
      <c r="T115" s="385">
        <f t="shared" si="21"/>
        <v>3.0197352938034216E-3</v>
      </c>
    </row>
    <row r="116" spans="1:20">
      <c r="A116" s="105" t="str">
        <f t="shared" si="17"/>
        <v>7124p</v>
      </c>
      <c r="B116" s="563" t="s">
        <v>45</v>
      </c>
      <c r="C116" s="564"/>
      <c r="D116" s="564"/>
      <c r="E116" s="564"/>
      <c r="F116" s="564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2">
        <f t="shared" si="20"/>
        <v>12534713.736692008</v>
      </c>
      <c r="T116" s="385">
        <f t="shared" si="21"/>
        <v>2.5317539359103226E-3</v>
      </c>
    </row>
    <row r="117" spans="1:20">
      <c r="A117" s="105" t="str">
        <f t="shared" si="17"/>
        <v>713p</v>
      </c>
      <c r="B117" s="569" t="s">
        <v>47</v>
      </c>
      <c r="C117" s="570"/>
      <c r="D117" s="570"/>
      <c r="E117" s="570"/>
      <c r="F117" s="570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3">
        <f t="shared" si="20"/>
        <v>15318488.925500004</v>
      </c>
      <c r="T117" s="386">
        <f t="shared" si="21"/>
        <v>3.0940191729953554E-3</v>
      </c>
    </row>
    <row r="118" spans="1:20">
      <c r="A118" s="105" t="str">
        <f t="shared" si="17"/>
        <v>714p</v>
      </c>
      <c r="B118" s="569" t="s">
        <v>61</v>
      </c>
      <c r="C118" s="570"/>
      <c r="D118" s="570"/>
      <c r="E118" s="570"/>
      <c r="F118" s="570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3">
        <f t="shared" si="20"/>
        <v>31390844.861600004</v>
      </c>
      <c r="T118" s="386">
        <f t="shared" si="21"/>
        <v>6.3403039510401948E-3</v>
      </c>
    </row>
    <row r="119" spans="1:20">
      <c r="A119" s="105" t="str">
        <f t="shared" si="17"/>
        <v>715p</v>
      </c>
      <c r="B119" s="569" t="s">
        <v>81</v>
      </c>
      <c r="C119" s="570"/>
      <c r="D119" s="570"/>
      <c r="E119" s="570"/>
      <c r="F119" s="570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3">
        <f t="shared" si="20"/>
        <v>77448450.912399963</v>
      </c>
      <c r="T119" s="386">
        <f t="shared" si="21"/>
        <v>1.5642991499171876E-2</v>
      </c>
    </row>
    <row r="120" spans="1:20">
      <c r="A120" s="105" t="str">
        <f t="shared" si="17"/>
        <v>73p</v>
      </c>
      <c r="B120" s="569" t="s">
        <v>99</v>
      </c>
      <c r="C120" s="570"/>
      <c r="D120" s="570"/>
      <c r="E120" s="570"/>
      <c r="F120" s="570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3">
        <f t="shared" si="20"/>
        <v>8511664.0019999985</v>
      </c>
      <c r="T120" s="386">
        <f t="shared" si="21"/>
        <v>1.7191807719652591E-3</v>
      </c>
    </row>
    <row r="121" spans="1:20" ht="13.5" thickBot="1">
      <c r="A121" s="105" t="str">
        <f t="shared" si="17"/>
        <v>74p</v>
      </c>
      <c r="B121" s="565" t="s">
        <v>105</v>
      </c>
      <c r="C121" s="566"/>
      <c r="D121" s="566"/>
      <c r="E121" s="566"/>
      <c r="F121" s="566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4">
        <f t="shared" si="20"/>
        <v>44480000</v>
      </c>
      <c r="T121" s="387">
        <f t="shared" si="21"/>
        <v>8.98404362754999E-3</v>
      </c>
    </row>
    <row r="122" spans="1:20" ht="13.5" thickBot="1">
      <c r="A122" s="105" t="str">
        <f t="shared" si="17"/>
        <v>4p</v>
      </c>
      <c r="B122" s="547" t="s">
        <v>808</v>
      </c>
      <c r="C122" s="548"/>
      <c r="D122" s="548"/>
      <c r="E122" s="548"/>
      <c r="F122" s="548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5">
        <f>+SUM(G122:R122)</f>
        <v>1976630978.4000001</v>
      </c>
      <c r="T122" s="388">
        <f t="shared" si="21"/>
        <v>0.39923873528580089</v>
      </c>
    </row>
    <row r="123" spans="1:20" ht="13.5" thickBot="1">
      <c r="A123" s="105" t="str">
        <f t="shared" si="17"/>
        <v>40p</v>
      </c>
      <c r="B123" s="602" t="s">
        <v>773</v>
      </c>
      <c r="C123" s="603"/>
      <c r="D123" s="603"/>
      <c r="E123" s="603"/>
      <c r="F123" s="603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6">
        <f t="shared" si="20"/>
        <v>1680705978.4000001</v>
      </c>
      <c r="T123" s="389">
        <f t="shared" si="21"/>
        <v>0.33946798190264593</v>
      </c>
    </row>
    <row r="124" spans="1:20">
      <c r="A124" s="105" t="e">
        <f>+CONCATENATE(#REF!,"p")</f>
        <v>#REF!</v>
      </c>
      <c r="B124" s="567" t="e">
        <v>#REF!</v>
      </c>
      <c r="C124" s="568"/>
      <c r="D124" s="568"/>
      <c r="E124" s="568"/>
      <c r="F124" s="568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1">
        <f t="shared" si="20"/>
        <v>846670934.61000013</v>
      </c>
      <c r="T124" s="384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563" t="s">
        <v>122</v>
      </c>
      <c r="C125" s="564"/>
      <c r="D125" s="564"/>
      <c r="E125" s="564"/>
      <c r="F125" s="564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2">
        <f t="shared" si="20"/>
        <v>472054247.1500001</v>
      </c>
      <c r="T125" s="385">
        <f t="shared" si="21"/>
        <v>9.5345232710563541E-2</v>
      </c>
    </row>
    <row r="126" spans="1:20">
      <c r="A126" s="105" t="str">
        <f t="shared" si="26"/>
        <v>412p</v>
      </c>
      <c r="B126" s="563" t="s">
        <v>133</v>
      </c>
      <c r="C126" s="564"/>
      <c r="D126" s="564"/>
      <c r="E126" s="564"/>
      <c r="F126" s="564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2">
        <f t="shared" si="20"/>
        <v>15077125.449999996</v>
      </c>
      <c r="T126" s="385">
        <f t="shared" si="21"/>
        <v>3.0452687234902029E-3</v>
      </c>
    </row>
    <row r="127" spans="1:20">
      <c r="A127" s="105" t="str">
        <f t="shared" si="26"/>
        <v>413p</v>
      </c>
      <c r="B127" s="563" t="s">
        <v>148</v>
      </c>
      <c r="C127" s="564"/>
      <c r="D127" s="564"/>
      <c r="E127" s="564"/>
      <c r="F127" s="564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2">
        <f t="shared" si="20"/>
        <v>36652827.660000004</v>
      </c>
      <c r="T127" s="385">
        <f t="shared" si="21"/>
        <v>7.4031160694809136E-3</v>
      </c>
    </row>
    <row r="128" spans="1:20">
      <c r="A128" s="105" t="str">
        <f t="shared" si="26"/>
        <v>414p</v>
      </c>
      <c r="B128" s="563" t="s">
        <v>162</v>
      </c>
      <c r="C128" s="564"/>
      <c r="D128" s="564"/>
      <c r="E128" s="564"/>
      <c r="F128" s="564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2">
        <f t="shared" si="20"/>
        <v>63127045.969999991</v>
      </c>
      <c r="T128" s="385">
        <f t="shared" si="21"/>
        <v>1.2750362748939606E-2</v>
      </c>
    </row>
    <row r="129" spans="1:20">
      <c r="A129" s="105" t="str">
        <f t="shared" si="26"/>
        <v>415p</v>
      </c>
      <c r="B129" s="563" t="s">
        <v>182</v>
      </c>
      <c r="C129" s="564"/>
      <c r="D129" s="564"/>
      <c r="E129" s="564"/>
      <c r="F129" s="564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2">
        <f t="shared" si="20"/>
        <v>23117903.600000001</v>
      </c>
      <c r="T129" s="385">
        <f t="shared" si="21"/>
        <v>4.6693402544940423E-3</v>
      </c>
    </row>
    <row r="130" spans="1:20">
      <c r="A130" s="105" t="str">
        <f t="shared" si="26"/>
        <v>416p</v>
      </c>
      <c r="B130" s="563" t="s">
        <v>190</v>
      </c>
      <c r="C130" s="564"/>
      <c r="D130" s="564"/>
      <c r="E130" s="564"/>
      <c r="F130" s="564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2">
        <f t="shared" si="20"/>
        <v>95752699.999999985</v>
      </c>
      <c r="T130" s="385">
        <f t="shared" si="21"/>
        <v>1.9340072712583315E-2</v>
      </c>
    </row>
    <row r="131" spans="1:20">
      <c r="A131" s="105" t="str">
        <f t="shared" si="26"/>
        <v>417p</v>
      </c>
      <c r="B131" s="563" t="s">
        <v>196</v>
      </c>
      <c r="C131" s="564"/>
      <c r="D131" s="564"/>
      <c r="E131" s="564"/>
      <c r="F131" s="564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2">
        <f t="shared" si="20"/>
        <v>9821101.7599999998</v>
      </c>
      <c r="T131" s="385">
        <f t="shared" si="21"/>
        <v>1.9836602221773377E-3</v>
      </c>
    </row>
    <row r="132" spans="1:20">
      <c r="A132" s="105" t="str">
        <f t="shared" si="26"/>
        <v>418p</v>
      </c>
      <c r="B132" s="563" t="s">
        <v>204</v>
      </c>
      <c r="C132" s="564"/>
      <c r="D132" s="564"/>
      <c r="E132" s="564"/>
      <c r="F132" s="564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2">
        <f t="shared" si="20"/>
        <v>30814599.999999993</v>
      </c>
      <c r="T132" s="385">
        <f t="shared" si="21"/>
        <v>6.2239143607352035E-3</v>
      </c>
    </row>
    <row r="133" spans="1:20">
      <c r="A133" s="105" t="str">
        <f t="shared" si="26"/>
        <v>419p</v>
      </c>
      <c r="B133" s="563" t="s">
        <v>212</v>
      </c>
      <c r="C133" s="564"/>
      <c r="D133" s="564"/>
      <c r="E133" s="564"/>
      <c r="F133" s="564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2">
        <f t="shared" si="20"/>
        <v>41196323.400000006</v>
      </c>
      <c r="T133" s="385">
        <f t="shared" si="21"/>
        <v>8.3208086043223602E-3</v>
      </c>
    </row>
    <row r="134" spans="1:20">
      <c r="A134" s="105" t="e">
        <f>+CONCATENATE(#REF!,"p")</f>
        <v>#REF!</v>
      </c>
      <c r="B134" s="563" t="e">
        <v>#REF!</v>
      </c>
      <c r="C134" s="564"/>
      <c r="D134" s="564"/>
      <c r="E134" s="564"/>
      <c r="F134" s="564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2">
        <f t="shared" si="20"/>
        <v>59057059.620000012</v>
      </c>
      <c r="T134" s="385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559" t="s">
        <v>230</v>
      </c>
      <c r="C135" s="560"/>
      <c r="D135" s="560"/>
      <c r="E135" s="560"/>
      <c r="F135" s="560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3">
        <f t="shared" si="20"/>
        <v>557842584.41999996</v>
      </c>
      <c r="T135" s="386">
        <f t="shared" si="21"/>
        <v>0.11267270943647748</v>
      </c>
    </row>
    <row r="136" spans="1:20">
      <c r="A136" s="105" t="str">
        <f t="shared" si="27"/>
        <v>421p</v>
      </c>
      <c r="B136" s="563" t="s">
        <v>232</v>
      </c>
      <c r="C136" s="564"/>
      <c r="D136" s="564"/>
      <c r="E136" s="564"/>
      <c r="F136" s="564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2">
        <f t="shared" si="20"/>
        <v>80990000.000000015</v>
      </c>
      <c r="T136" s="385">
        <f t="shared" si="21"/>
        <v>1.6358311452231874E-2</v>
      </c>
    </row>
    <row r="137" spans="1:20">
      <c r="A137" s="105" t="str">
        <f t="shared" si="27"/>
        <v>422p</v>
      </c>
      <c r="B137" s="563" t="s">
        <v>248</v>
      </c>
      <c r="C137" s="564"/>
      <c r="D137" s="564"/>
      <c r="E137" s="564"/>
      <c r="F137" s="564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2">
        <f t="shared" si="20"/>
        <v>18202468.969999999</v>
      </c>
      <c r="T137" s="385">
        <f t="shared" si="21"/>
        <v>3.6765237265198947E-3</v>
      </c>
    </row>
    <row r="138" spans="1:20">
      <c r="A138" s="105" t="str">
        <f t="shared" si="27"/>
        <v>423p</v>
      </c>
      <c r="B138" s="563" t="s">
        <v>259</v>
      </c>
      <c r="C138" s="564"/>
      <c r="D138" s="564"/>
      <c r="E138" s="564"/>
      <c r="F138" s="564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2">
        <f t="shared" si="20"/>
        <v>429025014.44999993</v>
      </c>
      <c r="T138" s="385">
        <f t="shared" si="21"/>
        <v>8.6654214189052697E-2</v>
      </c>
    </row>
    <row r="139" spans="1:20">
      <c r="A139" s="105" t="str">
        <f t="shared" si="27"/>
        <v>424p</v>
      </c>
      <c r="B139" s="563" t="s">
        <v>274</v>
      </c>
      <c r="C139" s="564"/>
      <c r="D139" s="564"/>
      <c r="E139" s="564"/>
      <c r="F139" s="564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2">
        <f t="shared" si="20"/>
        <v>19000100</v>
      </c>
      <c r="T139" s="385">
        <f t="shared" si="21"/>
        <v>3.8376287618662897E-3</v>
      </c>
    </row>
    <row r="140" spans="1:20">
      <c r="A140" s="105" t="str">
        <f t="shared" si="27"/>
        <v>425p</v>
      </c>
      <c r="B140" s="563" t="s">
        <v>278</v>
      </c>
      <c r="C140" s="564"/>
      <c r="D140" s="564"/>
      <c r="E140" s="564"/>
      <c r="F140" s="564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2">
        <f t="shared" si="20"/>
        <v>10625001</v>
      </c>
      <c r="T140" s="385">
        <f t="shared" si="21"/>
        <v>2.1460313068067055E-3</v>
      </c>
    </row>
    <row r="141" spans="1:20">
      <c r="A141" s="105" t="str">
        <f t="shared" si="27"/>
        <v>43p</v>
      </c>
      <c r="B141" s="561" t="s">
        <v>286</v>
      </c>
      <c r="C141" s="562"/>
      <c r="D141" s="562"/>
      <c r="E141" s="562"/>
      <c r="F141" s="562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3">
        <f>+SUM(G141:R141)</f>
        <v>220947786.96000001</v>
      </c>
      <c r="T141" s="386">
        <f t="shared" si="21"/>
        <v>4.4626901022015754E-2</v>
      </c>
    </row>
    <row r="142" spans="1:20">
      <c r="A142" s="105" t="str">
        <f t="shared" si="27"/>
        <v>44p</v>
      </c>
      <c r="B142" s="561" t="s">
        <v>809</v>
      </c>
      <c r="C142" s="562"/>
      <c r="D142" s="562"/>
      <c r="E142" s="562"/>
      <c r="F142" s="562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3">
        <f t="shared" si="20"/>
        <v>295925000</v>
      </c>
      <c r="T142" s="386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553" t="s">
        <v>113</v>
      </c>
      <c r="C143" s="554"/>
      <c r="D143" s="554"/>
      <c r="E143" s="554"/>
      <c r="F143" s="554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2">
        <f t="shared" si="20"/>
        <v>2280000.9999999995</v>
      </c>
      <c r="T143" s="385">
        <f t="shared" si="21"/>
        <v>4.6051322965057553E-4</v>
      </c>
    </row>
    <row r="144" spans="1:20">
      <c r="A144" s="105" t="str">
        <f t="shared" si="29"/>
        <v>47p</v>
      </c>
      <c r="B144" s="553" t="s">
        <v>366</v>
      </c>
      <c r="C144" s="554"/>
      <c r="D144" s="554"/>
      <c r="E144" s="554"/>
      <c r="F144" s="554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2">
        <f t="shared" si="20"/>
        <v>24999999.999999996</v>
      </c>
      <c r="T144" s="385">
        <f t="shared" si="21"/>
        <v>5.0494849525348409E-3</v>
      </c>
    </row>
    <row r="145" spans="1:20">
      <c r="A145" s="105" t="str">
        <f t="shared" si="29"/>
        <v>462p</v>
      </c>
      <c r="B145" s="553" t="s">
        <v>359</v>
      </c>
      <c r="C145" s="554"/>
      <c r="D145" s="554"/>
      <c r="E145" s="554"/>
      <c r="F145" s="554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2">
        <f t="shared" si="20"/>
        <v>9434672.4100000001</v>
      </c>
      <c r="T145" s="385">
        <f t="shared" si="21"/>
        <v>1.9056094546556252E-3</v>
      </c>
    </row>
    <row r="146" spans="1:20">
      <c r="A146" s="106" t="str">
        <f>+CONCATENATE(A51,"p")</f>
        <v>4630p</v>
      </c>
      <c r="B146" s="553" t="s">
        <v>365</v>
      </c>
      <c r="C146" s="554"/>
      <c r="D146" s="554"/>
      <c r="E146" s="554"/>
      <c r="F146" s="554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7">
        <f>+SUM(G146:R146)</f>
        <v>18529999</v>
      </c>
      <c r="T146" s="390">
        <f>+S146/$T$7</f>
        <v>3.7426780448394266E-3</v>
      </c>
    </row>
    <row r="147" spans="1:20" ht="13.5" thickBot="1">
      <c r="A147" s="105"/>
      <c r="B147" s="604" t="s">
        <v>685</v>
      </c>
      <c r="C147" s="605"/>
      <c r="D147" s="605"/>
      <c r="E147" s="605"/>
      <c r="F147" s="605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3">
        <f>SUM(G147:R147)</f>
        <v>0</v>
      </c>
      <c r="T147" s="348">
        <f t="shared" si="21"/>
        <v>0</v>
      </c>
    </row>
    <row r="148" spans="1:20" ht="13.5" thickBot="1">
      <c r="A148" s="106" t="str">
        <f>+CONCATENATE(A53,"p")</f>
        <v>1000p</v>
      </c>
      <c r="B148" s="555" t="s">
        <v>545</v>
      </c>
      <c r="C148" s="556"/>
      <c r="D148" s="556"/>
      <c r="E148" s="556"/>
      <c r="F148" s="556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8">
        <f t="shared" si="20"/>
        <v>-142598064.63643947</v>
      </c>
      <c r="T148" s="391">
        <f t="shared" si="21"/>
        <v>-2.8801871265691673E-2</v>
      </c>
    </row>
    <row r="149" spans="1:20" ht="13.5" thickBot="1">
      <c r="A149" s="106" t="str">
        <f>+CONCATENATE(A54,"p")</f>
        <v>1001p</v>
      </c>
      <c r="B149" s="557" t="s">
        <v>810</v>
      </c>
      <c r="C149" s="558"/>
      <c r="D149" s="558"/>
      <c r="E149" s="558"/>
      <c r="F149" s="558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8">
        <f t="shared" si="20"/>
        <v>-46845364.63643948</v>
      </c>
      <c r="T149" s="391">
        <f t="shared" si="21"/>
        <v>-9.4617985531083582E-3</v>
      </c>
    </row>
    <row r="150" spans="1:20">
      <c r="A150" s="106" t="str">
        <f>+CONCATENATE(A55,"p")</f>
        <v>46p</v>
      </c>
      <c r="B150" s="559" t="s">
        <v>352</v>
      </c>
      <c r="C150" s="560"/>
      <c r="D150" s="560"/>
      <c r="E150" s="560"/>
      <c r="F150" s="560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79">
        <f t="shared" si="20"/>
        <v>373600000</v>
      </c>
      <c r="T150" s="392">
        <f t="shared" si="21"/>
        <v>7.5459503130680672E-2</v>
      </c>
    </row>
    <row r="151" spans="1:20">
      <c r="A151" s="106" t="str">
        <f>+CONCATENATE(A56,"p")</f>
        <v>4611p</v>
      </c>
      <c r="B151" s="551" t="s">
        <v>355</v>
      </c>
      <c r="C151" s="552"/>
      <c r="D151" s="552"/>
      <c r="E151" s="552"/>
      <c r="F151" s="552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7">
        <f t="shared" si="20"/>
        <v>44100000.039999999</v>
      </c>
      <c r="T151" s="390">
        <f t="shared" si="21"/>
        <v>8.9072914643506355E-3</v>
      </c>
    </row>
    <row r="152" spans="1:20">
      <c r="A152" s="106" t="str">
        <f>+CONCATENATE(A57,"p")</f>
        <v>4612p</v>
      </c>
      <c r="B152" s="553" t="s">
        <v>357</v>
      </c>
      <c r="C152" s="554"/>
      <c r="D152" s="554"/>
      <c r="E152" s="554"/>
      <c r="F152" s="554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7">
        <f t="shared" si="20"/>
        <v>329499999.95999998</v>
      </c>
      <c r="T152" s="390">
        <f t="shared" si="21"/>
        <v>6.6552211666330033E-2</v>
      </c>
    </row>
    <row r="153" spans="1:20" ht="13.5" thickBot="1">
      <c r="A153" s="106"/>
      <c r="B153" s="600" t="s">
        <v>336</v>
      </c>
      <c r="C153" s="601"/>
      <c r="D153" s="601"/>
      <c r="E153" s="601"/>
      <c r="F153" s="601"/>
      <c r="G153" s="462">
        <v>26666.67</v>
      </c>
      <c r="H153" s="462">
        <v>26666.67</v>
      </c>
      <c r="I153" s="462">
        <v>26666.67</v>
      </c>
      <c r="J153" s="462">
        <v>39926666.670000002</v>
      </c>
      <c r="K153" s="462">
        <v>26666.67</v>
      </c>
      <c r="L153" s="462">
        <v>26666.67</v>
      </c>
      <c r="M153" s="462">
        <v>26666.67</v>
      </c>
      <c r="N153" s="462">
        <v>26666.67</v>
      </c>
      <c r="O153" s="462">
        <v>26666.67</v>
      </c>
      <c r="P153" s="462">
        <v>26666.67</v>
      </c>
      <c r="Q153" s="462">
        <v>26666.67</v>
      </c>
      <c r="R153" s="462">
        <v>26666.63</v>
      </c>
      <c r="S153" s="463">
        <f t="shared" si="20"/>
        <v>40220000.000000015</v>
      </c>
      <c r="T153" s="464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549" t="s">
        <v>543</v>
      </c>
      <c r="C154" s="550"/>
      <c r="D154" s="550"/>
      <c r="E154" s="550"/>
      <c r="F154" s="550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0">
        <f t="shared" si="20"/>
        <v>-556418064.63643956</v>
      </c>
      <c r="T154" s="393">
        <f t="shared" si="21"/>
        <v>-0.11238498578801041</v>
      </c>
    </row>
    <row r="155" spans="1:20" ht="13.5" thickBot="1">
      <c r="A155" s="106" t="str">
        <f t="shared" si="33"/>
        <v>1003p</v>
      </c>
      <c r="B155" s="547" t="s">
        <v>544</v>
      </c>
      <c r="C155" s="548"/>
      <c r="D155" s="548"/>
      <c r="E155" s="548"/>
      <c r="F155" s="548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1">
        <f t="shared" si="20"/>
        <v>556418064.63643956</v>
      </c>
      <c r="T155" s="394">
        <f t="shared" si="21"/>
        <v>0.11238498578801041</v>
      </c>
    </row>
    <row r="156" spans="1:20">
      <c r="A156" s="106" t="str">
        <f t="shared" si="33"/>
        <v>7511p</v>
      </c>
      <c r="B156" s="551" t="s">
        <v>114</v>
      </c>
      <c r="C156" s="552"/>
      <c r="D156" s="552"/>
      <c r="E156" s="552"/>
      <c r="F156" s="552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7">
        <f t="shared" si="20"/>
        <v>190000000</v>
      </c>
      <c r="T156" s="390">
        <f t="shared" si="21"/>
        <v>3.8376085639264798E-2</v>
      </c>
    </row>
    <row r="157" spans="1:20">
      <c r="A157" s="106" t="str">
        <f t="shared" si="33"/>
        <v>7512p</v>
      </c>
      <c r="B157" s="553" t="s">
        <v>116</v>
      </c>
      <c r="C157" s="554"/>
      <c r="D157" s="554"/>
      <c r="E157" s="554"/>
      <c r="F157" s="554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7">
        <f t="shared" si="20"/>
        <v>180405268.74155378</v>
      </c>
      <c r="T157" s="390">
        <f t="shared" si="21"/>
        <v>3.6438147594739199E-2</v>
      </c>
    </row>
    <row r="158" spans="1:20">
      <c r="A158" s="106" t="str">
        <f t="shared" si="33"/>
        <v>72p</v>
      </c>
      <c r="B158" s="553" t="s">
        <v>93</v>
      </c>
      <c r="C158" s="554"/>
      <c r="D158" s="554"/>
      <c r="E158" s="554"/>
      <c r="F158" s="554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7">
        <f t="shared" si="20"/>
        <v>6000000</v>
      </c>
      <c r="T158" s="390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2">
        <f t="shared" si="20"/>
        <v>180012795.89488566</v>
      </c>
      <c r="T159" s="395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162"/>
  <sheetViews>
    <sheetView workbookViewId="0"/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27" t="s">
        <v>553</v>
      </c>
      <c r="C7" s="528"/>
      <c r="D7" s="528"/>
      <c r="E7" s="528"/>
      <c r="F7" s="528"/>
      <c r="G7" s="536">
        <v>2018</v>
      </c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40"/>
      <c r="S7" s="220" t="s">
        <v>419</v>
      </c>
      <c r="T7" s="221">
        <v>4663130000</v>
      </c>
    </row>
    <row r="8" spans="1:20" ht="16.5" customHeight="1">
      <c r="A8" s="129"/>
      <c r="B8" s="529"/>
      <c r="C8" s="530"/>
      <c r="D8" s="530"/>
      <c r="E8" s="530"/>
      <c r="F8" s="531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36" t="s">
        <v>806</v>
      </c>
      <c r="T8" s="540"/>
    </row>
    <row r="9" spans="1:20" ht="13.5" thickBot="1">
      <c r="A9" s="129"/>
      <c r="B9" s="532"/>
      <c r="C9" s="533"/>
      <c r="D9" s="533"/>
      <c r="E9" s="533"/>
      <c r="F9" s="534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495" t="s">
        <v>680</v>
      </c>
      <c r="C10" s="496"/>
      <c r="D10" s="496"/>
      <c r="E10" s="496"/>
      <c r="F10" s="496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5">
        <f>+SUM(G10:R10)</f>
        <v>1746018287.1400003</v>
      </c>
      <c r="T10" s="340">
        <f>+S10/$T$7</f>
        <v>0.3744305406754691</v>
      </c>
    </row>
    <row r="11" spans="1:20">
      <c r="A11" s="135">
        <v>711</v>
      </c>
      <c r="B11" s="497" t="s">
        <v>21</v>
      </c>
      <c r="C11" s="498"/>
      <c r="D11" s="498"/>
      <c r="E11" s="498"/>
      <c r="F11" s="498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6">
        <f t="shared" ref="S11:S66" si="3">+SUM(G11:R11)</f>
        <v>1068947201.3</v>
      </c>
      <c r="T11" s="341">
        <f t="shared" ref="T11:T67" si="4">+S11/$T$7</f>
        <v>0.22923384106812375</v>
      </c>
    </row>
    <row r="12" spans="1:20">
      <c r="A12" s="135">
        <v>7111</v>
      </c>
      <c r="B12" s="499" t="s">
        <v>23</v>
      </c>
      <c r="C12" s="500"/>
      <c r="D12" s="500"/>
      <c r="E12" s="500"/>
      <c r="F12" s="500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7">
        <f t="shared" si="3"/>
        <v>124898382.06000002</v>
      </c>
      <c r="T12" s="342">
        <f t="shared" si="4"/>
        <v>2.6784237638667593E-2</v>
      </c>
    </row>
    <row r="13" spans="1:20">
      <c r="A13" s="135">
        <v>7112</v>
      </c>
      <c r="B13" s="499" t="s">
        <v>25</v>
      </c>
      <c r="C13" s="500"/>
      <c r="D13" s="500"/>
      <c r="E13" s="500"/>
      <c r="F13" s="500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7">
        <f t="shared" si="3"/>
        <v>68172478.429999992</v>
      </c>
      <c r="T13" s="342">
        <f t="shared" si="4"/>
        <v>1.4619467703023505E-2</v>
      </c>
    </row>
    <row r="14" spans="1:20">
      <c r="A14" s="135">
        <v>7113</v>
      </c>
      <c r="B14" s="499" t="s">
        <v>27</v>
      </c>
      <c r="C14" s="500"/>
      <c r="D14" s="500"/>
      <c r="E14" s="500"/>
      <c r="F14" s="500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7">
        <f t="shared" si="3"/>
        <v>1836094.52</v>
      </c>
      <c r="T14" s="342">
        <f t="shared" si="4"/>
        <v>3.9374722986491905E-4</v>
      </c>
    </row>
    <row r="15" spans="1:20">
      <c r="A15" s="135">
        <v>7114</v>
      </c>
      <c r="B15" s="499" t="s">
        <v>29</v>
      </c>
      <c r="C15" s="500"/>
      <c r="D15" s="500"/>
      <c r="E15" s="500"/>
      <c r="F15" s="500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7">
        <f t="shared" si="3"/>
        <v>616913678.91000009</v>
      </c>
      <c r="T15" s="342">
        <f t="shared" si="4"/>
        <v>0.13229604984420337</v>
      </c>
    </row>
    <row r="16" spans="1:20">
      <c r="A16" s="135">
        <v>7115</v>
      </c>
      <c r="B16" s="499" t="s">
        <v>31</v>
      </c>
      <c r="C16" s="500"/>
      <c r="D16" s="500"/>
      <c r="E16" s="500"/>
      <c r="F16" s="500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7">
        <f t="shared" si="3"/>
        <v>221178044.41</v>
      </c>
      <c r="T16" s="342">
        <f t="shared" si="4"/>
        <v>4.7431241335755166E-2</v>
      </c>
    </row>
    <row r="17" spans="1:23">
      <c r="A17" s="135">
        <v>7116</v>
      </c>
      <c r="B17" s="499" t="s">
        <v>33</v>
      </c>
      <c r="C17" s="500"/>
      <c r="D17" s="500"/>
      <c r="E17" s="500"/>
      <c r="F17" s="500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7">
        <f t="shared" si="3"/>
        <v>26634891.989999998</v>
      </c>
      <c r="T17" s="342">
        <f t="shared" si="4"/>
        <v>5.7118055876632214E-3</v>
      </c>
    </row>
    <row r="18" spans="1:23">
      <c r="A18" s="135">
        <v>7118</v>
      </c>
      <c r="B18" s="499" t="s">
        <v>721</v>
      </c>
      <c r="C18" s="500"/>
      <c r="D18" s="500"/>
      <c r="E18" s="500"/>
      <c r="F18" s="500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7">
        <f t="shared" si="3"/>
        <v>9313630.9799999986</v>
      </c>
      <c r="T18" s="342">
        <f t="shared" si="4"/>
        <v>1.9972917289460082E-3</v>
      </c>
    </row>
    <row r="19" spans="1:23">
      <c r="A19" s="135">
        <v>712</v>
      </c>
      <c r="B19" s="503" t="s">
        <v>37</v>
      </c>
      <c r="C19" s="504"/>
      <c r="D19" s="504"/>
      <c r="E19" s="504"/>
      <c r="F19" s="504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8">
        <f t="shared" si="3"/>
        <v>524440114.39999998</v>
      </c>
      <c r="T19" s="343">
        <f t="shared" si="4"/>
        <v>0.11246525711271184</v>
      </c>
    </row>
    <row r="20" spans="1:23">
      <c r="A20" s="135">
        <v>7121</v>
      </c>
      <c r="B20" s="499" t="s">
        <v>39</v>
      </c>
      <c r="C20" s="500"/>
      <c r="D20" s="500"/>
      <c r="E20" s="500"/>
      <c r="F20" s="500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7">
        <f t="shared" si="3"/>
        <v>316982958.28000003</v>
      </c>
      <c r="T20" s="342">
        <f t="shared" si="4"/>
        <v>6.7976436059041898E-2</v>
      </c>
    </row>
    <row r="21" spans="1:23">
      <c r="A21" s="135">
        <v>7122</v>
      </c>
      <c r="B21" s="499" t="s">
        <v>41</v>
      </c>
      <c r="C21" s="500"/>
      <c r="D21" s="500"/>
      <c r="E21" s="500"/>
      <c r="F21" s="500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7">
        <f t="shared" si="3"/>
        <v>182045765.34999999</v>
      </c>
      <c r="T21" s="342">
        <f t="shared" si="4"/>
        <v>3.9039393143661019E-2</v>
      </c>
    </row>
    <row r="22" spans="1:23">
      <c r="A22" s="135">
        <v>7123</v>
      </c>
      <c r="B22" s="499" t="s">
        <v>43</v>
      </c>
      <c r="C22" s="500"/>
      <c r="D22" s="500"/>
      <c r="E22" s="500"/>
      <c r="F22" s="500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7">
        <f t="shared" si="3"/>
        <v>13590597.370000001</v>
      </c>
      <c r="T22" s="342">
        <f t="shared" si="4"/>
        <v>2.9144796242009125E-3</v>
      </c>
    </row>
    <row r="23" spans="1:23">
      <c r="A23" s="135">
        <v>7124</v>
      </c>
      <c r="B23" s="499" t="s">
        <v>45</v>
      </c>
      <c r="C23" s="500"/>
      <c r="D23" s="500"/>
      <c r="E23" s="500"/>
      <c r="F23" s="500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7">
        <f t="shared" si="3"/>
        <v>11820793.4</v>
      </c>
      <c r="T23" s="342">
        <f t="shared" si="4"/>
        <v>2.5349482858080304E-3</v>
      </c>
    </row>
    <row r="24" spans="1:23">
      <c r="A24" s="135">
        <v>713</v>
      </c>
      <c r="B24" s="501" t="s">
        <v>47</v>
      </c>
      <c r="C24" s="502"/>
      <c r="D24" s="502"/>
      <c r="E24" s="502"/>
      <c r="F24" s="502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8">
        <f t="shared" si="3"/>
        <v>16901007.650000002</v>
      </c>
      <c r="T24" s="343">
        <f t="shared" si="4"/>
        <v>3.6243912672389582E-3</v>
      </c>
    </row>
    <row r="25" spans="1:23">
      <c r="A25" s="135">
        <v>714</v>
      </c>
      <c r="B25" s="501" t="s">
        <v>61</v>
      </c>
      <c r="C25" s="502"/>
      <c r="D25" s="502"/>
      <c r="E25" s="502"/>
      <c r="F25" s="502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8">
        <f t="shared" si="3"/>
        <v>26419539.080000002</v>
      </c>
      <c r="T25" s="343">
        <f t="shared" si="4"/>
        <v>5.6656235361227337E-3</v>
      </c>
      <c r="W25" s="276"/>
    </row>
    <row r="26" spans="1:23">
      <c r="A26" s="135">
        <v>715</v>
      </c>
      <c r="B26" s="501" t="s">
        <v>81</v>
      </c>
      <c r="C26" s="502"/>
      <c r="D26" s="502"/>
      <c r="E26" s="502"/>
      <c r="F26" s="502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8">
        <f t="shared" si="3"/>
        <v>71315064.620000005</v>
      </c>
      <c r="T26" s="343">
        <f t="shared" si="4"/>
        <v>1.529338976610131E-2</v>
      </c>
    </row>
    <row r="27" spans="1:23">
      <c r="A27" s="135">
        <v>73</v>
      </c>
      <c r="B27" s="501" t="s">
        <v>99</v>
      </c>
      <c r="C27" s="502"/>
      <c r="D27" s="502"/>
      <c r="E27" s="502"/>
      <c r="F27" s="502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8">
        <f t="shared" si="3"/>
        <v>11285945.1</v>
      </c>
      <c r="T27" s="343">
        <f t="shared" si="4"/>
        <v>2.4202510116595505E-3</v>
      </c>
    </row>
    <row r="28" spans="1:23" ht="13.5" thickBot="1">
      <c r="A28" s="135">
        <v>74</v>
      </c>
      <c r="B28" s="505" t="s">
        <v>105</v>
      </c>
      <c r="C28" s="506"/>
      <c r="D28" s="506"/>
      <c r="E28" s="506"/>
      <c r="F28" s="506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8">
        <f t="shared" si="3"/>
        <v>26709414.990000006</v>
      </c>
      <c r="T28" s="344">
        <f t="shared" si="4"/>
        <v>5.7277869135108836E-3</v>
      </c>
    </row>
    <row r="29" spans="1:23" ht="13.5" thickBot="1">
      <c r="A29" s="135">
        <v>4</v>
      </c>
      <c r="B29" s="507" t="s">
        <v>801</v>
      </c>
      <c r="C29" s="508"/>
      <c r="D29" s="508"/>
      <c r="E29" s="508"/>
      <c r="F29" s="508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59">
        <f t="shared" si="3"/>
        <v>1914918461.6599998</v>
      </c>
      <c r="T29" s="345">
        <f t="shared" si="4"/>
        <v>0.41065088506217923</v>
      </c>
    </row>
    <row r="30" spans="1:23" ht="13.5" thickBot="1">
      <c r="A30" s="135">
        <v>40</v>
      </c>
      <c r="B30" s="509" t="s">
        <v>773</v>
      </c>
      <c r="C30" s="510"/>
      <c r="D30" s="510"/>
      <c r="E30" s="510"/>
      <c r="F30" s="510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0">
        <f t="shared" si="3"/>
        <v>1671556011.4800003</v>
      </c>
      <c r="T30" s="346">
        <f t="shared" si="4"/>
        <v>0.35846223705536845</v>
      </c>
    </row>
    <row r="31" spans="1:23">
      <c r="A31" s="135">
        <v>41</v>
      </c>
      <c r="B31" s="511" t="s">
        <v>120</v>
      </c>
      <c r="C31" s="512"/>
      <c r="D31" s="512"/>
      <c r="E31" s="512"/>
      <c r="F31" s="512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1">
        <f t="shared" si="3"/>
        <v>866631492.57999992</v>
      </c>
      <c r="T31" s="341">
        <f t="shared" si="4"/>
        <v>0.185847594336851</v>
      </c>
    </row>
    <row r="32" spans="1:23">
      <c r="A32" s="135">
        <v>411</v>
      </c>
      <c r="B32" s="499" t="s">
        <v>122</v>
      </c>
      <c r="C32" s="500"/>
      <c r="D32" s="500"/>
      <c r="E32" s="500"/>
      <c r="F32" s="500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7">
        <f t="shared" si="3"/>
        <v>459796234.55000001</v>
      </c>
      <c r="T32" s="342">
        <f t="shared" si="4"/>
        <v>9.860249114864908E-2</v>
      </c>
    </row>
    <row r="33" spans="1:22">
      <c r="A33" s="135">
        <v>412</v>
      </c>
      <c r="B33" s="499" t="s">
        <v>133</v>
      </c>
      <c r="C33" s="500"/>
      <c r="D33" s="500"/>
      <c r="E33" s="500"/>
      <c r="F33" s="500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7">
        <f t="shared" si="3"/>
        <v>13212940.209999999</v>
      </c>
      <c r="T33" s="342">
        <f t="shared" si="4"/>
        <v>2.8334917126479424E-3</v>
      </c>
      <c r="U33" s="277"/>
    </row>
    <row r="34" spans="1:22">
      <c r="A34" s="135">
        <v>413</v>
      </c>
      <c r="B34" s="499" t="s">
        <v>148</v>
      </c>
      <c r="C34" s="500"/>
      <c r="D34" s="500"/>
      <c r="E34" s="500"/>
      <c r="F34" s="500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7">
        <f t="shared" si="3"/>
        <v>36731134.720000006</v>
      </c>
      <c r="T34" s="342">
        <f t="shared" si="4"/>
        <v>7.8769270254099733E-3</v>
      </c>
      <c r="U34" s="292"/>
      <c r="V34" s="275"/>
    </row>
    <row r="35" spans="1:22">
      <c r="A35" s="135">
        <v>414</v>
      </c>
      <c r="B35" s="499" t="s">
        <v>162</v>
      </c>
      <c r="C35" s="500"/>
      <c r="D35" s="500"/>
      <c r="E35" s="500"/>
      <c r="F35" s="500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7">
        <f t="shared" si="3"/>
        <v>75138922.689999998</v>
      </c>
      <c r="T35" s="342">
        <f t="shared" si="4"/>
        <v>1.6113409381681404E-2</v>
      </c>
    </row>
    <row r="36" spans="1:22">
      <c r="A36" s="135">
        <v>415</v>
      </c>
      <c r="B36" s="499" t="s">
        <v>182</v>
      </c>
      <c r="C36" s="500"/>
      <c r="D36" s="500"/>
      <c r="E36" s="500"/>
      <c r="F36" s="500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7">
        <f t="shared" si="3"/>
        <v>20973232.77</v>
      </c>
      <c r="T36" s="342">
        <f t="shared" si="4"/>
        <v>4.4976727584262076E-3</v>
      </c>
    </row>
    <row r="37" spans="1:22">
      <c r="A37" s="135">
        <v>416</v>
      </c>
      <c r="B37" s="499" t="s">
        <v>190</v>
      </c>
      <c r="C37" s="500"/>
      <c r="D37" s="500"/>
      <c r="E37" s="500"/>
      <c r="F37" s="500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7">
        <f>+SUM(G37:R37)</f>
        <v>97597309.48999998</v>
      </c>
      <c r="T37" s="342">
        <f t="shared" si="4"/>
        <v>2.0929570801157159E-2</v>
      </c>
    </row>
    <row r="38" spans="1:22">
      <c r="A38" s="135">
        <v>417</v>
      </c>
      <c r="B38" s="499" t="s">
        <v>196</v>
      </c>
      <c r="C38" s="500"/>
      <c r="D38" s="500"/>
      <c r="E38" s="500"/>
      <c r="F38" s="500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7">
        <f t="shared" si="3"/>
        <v>10693128.550000001</v>
      </c>
      <c r="T38" s="342">
        <f t="shared" si="4"/>
        <v>2.2931225485886093E-3</v>
      </c>
    </row>
    <row r="39" spans="1:22">
      <c r="A39" s="135">
        <v>418</v>
      </c>
      <c r="B39" s="499" t="s">
        <v>204</v>
      </c>
      <c r="C39" s="500"/>
      <c r="D39" s="500"/>
      <c r="E39" s="500"/>
      <c r="F39" s="500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7">
        <f t="shared" si="3"/>
        <v>30560884.969999999</v>
      </c>
      <c r="T39" s="342">
        <f t="shared" si="4"/>
        <v>6.5537278544668493E-3</v>
      </c>
    </row>
    <row r="40" spans="1:22">
      <c r="A40" s="135">
        <v>419</v>
      </c>
      <c r="B40" s="499" t="s">
        <v>212</v>
      </c>
      <c r="C40" s="500"/>
      <c r="D40" s="500"/>
      <c r="E40" s="500"/>
      <c r="F40" s="500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7">
        <f t="shared" si="3"/>
        <v>43556427.669999994</v>
      </c>
      <c r="T40" s="342">
        <f t="shared" si="4"/>
        <v>9.3405990547121773E-3</v>
      </c>
    </row>
    <row r="41" spans="1:22">
      <c r="A41" s="135">
        <v>440</v>
      </c>
      <c r="B41" s="499" t="s">
        <v>802</v>
      </c>
      <c r="C41" s="500"/>
      <c r="D41" s="500"/>
      <c r="E41" s="500"/>
      <c r="F41" s="500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7">
        <f t="shared" si="3"/>
        <v>78371276.960000008</v>
      </c>
      <c r="T41" s="342">
        <f t="shared" si="4"/>
        <v>1.6806582051111595E-2</v>
      </c>
    </row>
    <row r="42" spans="1:22">
      <c r="A42" s="135">
        <v>42</v>
      </c>
      <c r="B42" s="515" t="s">
        <v>230</v>
      </c>
      <c r="C42" s="516"/>
      <c r="D42" s="516"/>
      <c r="E42" s="516"/>
      <c r="F42" s="516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8">
        <f t="shared" si="3"/>
        <v>544485571.48000002</v>
      </c>
      <c r="T42" s="343">
        <f t="shared" si="4"/>
        <v>0.11676397001155876</v>
      </c>
    </row>
    <row r="43" spans="1:22">
      <c r="A43" s="135">
        <v>421</v>
      </c>
      <c r="B43" s="499" t="s">
        <v>232</v>
      </c>
      <c r="C43" s="500"/>
      <c r="D43" s="500"/>
      <c r="E43" s="500"/>
      <c r="F43" s="500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7">
        <f t="shared" si="3"/>
        <v>82294784.480000004</v>
      </c>
      <c r="T43" s="342">
        <f t="shared" si="4"/>
        <v>1.7647971315404031E-2</v>
      </c>
    </row>
    <row r="44" spans="1:22">
      <c r="A44" s="135">
        <v>422</v>
      </c>
      <c r="B44" s="499" t="s">
        <v>248</v>
      </c>
      <c r="C44" s="500"/>
      <c r="D44" s="500"/>
      <c r="E44" s="500"/>
      <c r="F44" s="500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7">
        <f t="shared" si="3"/>
        <v>14196791.939999998</v>
      </c>
      <c r="T44" s="342">
        <f t="shared" si="4"/>
        <v>3.0444769800541693E-3</v>
      </c>
    </row>
    <row r="45" spans="1:22">
      <c r="A45" s="135">
        <v>423</v>
      </c>
      <c r="B45" s="499" t="s">
        <v>259</v>
      </c>
      <c r="C45" s="500"/>
      <c r="D45" s="500"/>
      <c r="E45" s="500"/>
      <c r="F45" s="500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7">
        <f t="shared" si="3"/>
        <v>414750265.80000001</v>
      </c>
      <c r="T45" s="342">
        <f t="shared" si="4"/>
        <v>8.8942462637756181E-2</v>
      </c>
    </row>
    <row r="46" spans="1:22">
      <c r="A46" s="135">
        <v>424</v>
      </c>
      <c r="B46" s="499" t="s">
        <v>274</v>
      </c>
      <c r="C46" s="500"/>
      <c r="D46" s="500"/>
      <c r="E46" s="500"/>
      <c r="F46" s="500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7">
        <f t="shared" si="3"/>
        <v>20004829.280000001</v>
      </c>
      <c r="T46" s="342">
        <f t="shared" si="4"/>
        <v>4.2900003388282124E-3</v>
      </c>
    </row>
    <row r="47" spans="1:22">
      <c r="A47" s="135">
        <v>425</v>
      </c>
      <c r="B47" s="606" t="s">
        <v>278</v>
      </c>
      <c r="C47" s="607"/>
      <c r="D47" s="607"/>
      <c r="E47" s="607"/>
      <c r="F47" s="607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7">
        <f t="shared" si="3"/>
        <v>13238899.98</v>
      </c>
      <c r="T47" s="342">
        <f t="shared" si="4"/>
        <v>2.8390587395161621E-3</v>
      </c>
    </row>
    <row r="48" spans="1:22">
      <c r="A48" s="135">
        <v>43</v>
      </c>
      <c r="B48" s="513" t="s">
        <v>286</v>
      </c>
      <c r="C48" s="514"/>
      <c r="D48" s="514"/>
      <c r="E48" s="514"/>
      <c r="F48" s="514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8">
        <f t="shared" si="3"/>
        <v>208726710.33999997</v>
      </c>
      <c r="T48" s="343">
        <f t="shared" si="4"/>
        <v>4.4761074715909697E-2</v>
      </c>
    </row>
    <row r="49" spans="1:22">
      <c r="A49" s="135">
        <v>44</v>
      </c>
      <c r="B49" s="513" t="s">
        <v>320</v>
      </c>
      <c r="C49" s="514"/>
      <c r="D49" s="514"/>
      <c r="E49" s="514"/>
      <c r="F49" s="514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8">
        <f t="shared" si="3"/>
        <v>243362450.18000001</v>
      </c>
      <c r="T49" s="343">
        <f t="shared" si="4"/>
        <v>5.2188648006810875E-2</v>
      </c>
    </row>
    <row r="50" spans="1:22">
      <c r="A50" s="135">
        <v>451</v>
      </c>
      <c r="B50" s="592" t="s">
        <v>113</v>
      </c>
      <c r="C50" s="593"/>
      <c r="D50" s="593"/>
      <c r="E50" s="593"/>
      <c r="F50" s="593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7">
        <f t="shared" si="3"/>
        <v>4596369</v>
      </c>
      <c r="T50" s="342">
        <f t="shared" si="4"/>
        <v>9.8568322135561309E-4</v>
      </c>
    </row>
    <row r="51" spans="1:22">
      <c r="A51" s="135">
        <v>47</v>
      </c>
      <c r="B51" s="517" t="s">
        <v>366</v>
      </c>
      <c r="C51" s="518"/>
      <c r="D51" s="518"/>
      <c r="E51" s="518"/>
      <c r="F51" s="518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7">
        <f t="shared" si="3"/>
        <v>23887500.050000001</v>
      </c>
      <c r="T51" s="342">
        <f t="shared" si="4"/>
        <v>5.1226322341431617E-3</v>
      </c>
      <c r="U51" s="62"/>
    </row>
    <row r="52" spans="1:22" ht="13.5" thickBot="1">
      <c r="A52" s="135">
        <v>462</v>
      </c>
      <c r="B52" s="519" t="s">
        <v>359</v>
      </c>
      <c r="C52" s="520"/>
      <c r="D52" s="520"/>
      <c r="E52" s="520"/>
      <c r="F52" s="520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7">
        <f t="shared" si="3"/>
        <v>0</v>
      </c>
      <c r="T52" s="347">
        <f t="shared" si="4"/>
        <v>0</v>
      </c>
      <c r="U52" s="276"/>
    </row>
    <row r="53" spans="1:22" ht="13.5" thickBot="1">
      <c r="A53" s="129">
        <v>4630</v>
      </c>
      <c r="B53" s="586" t="s">
        <v>794</v>
      </c>
      <c r="C53" s="587"/>
      <c r="D53" s="587"/>
      <c r="E53" s="587"/>
      <c r="F53" s="587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2">
        <f>+SUM(G53:R53)</f>
        <v>23228368.030000001</v>
      </c>
      <c r="T53" s="347">
        <f>+S53/$T$7</f>
        <v>4.9812825355501564E-3</v>
      </c>
    </row>
    <row r="54" spans="1:22" ht="13.5" thickBot="1">
      <c r="A54" s="61">
        <v>1005</v>
      </c>
      <c r="B54" s="588" t="s">
        <v>684</v>
      </c>
      <c r="C54" s="589"/>
      <c r="D54" s="589"/>
      <c r="E54" s="589"/>
      <c r="F54" s="589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3">
        <f>+SUM(G54:R54)</f>
        <v>28097590.27</v>
      </c>
      <c r="T54" s="348">
        <f>+S54/$T$7</f>
        <v>6.0254786527504057E-3</v>
      </c>
    </row>
    <row r="55" spans="1:22" ht="13.5" thickBot="1">
      <c r="A55" s="129">
        <v>1000</v>
      </c>
      <c r="B55" s="521" t="s">
        <v>545</v>
      </c>
      <c r="C55" s="522"/>
      <c r="D55" s="522"/>
      <c r="E55" s="522"/>
      <c r="F55" s="522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4">
        <f t="shared" si="3"/>
        <v>-168900174.51999998</v>
      </c>
      <c r="T55" s="349">
        <f t="shared" si="4"/>
        <v>-3.6220344386710207E-2</v>
      </c>
    </row>
    <row r="56" spans="1:22" ht="13.5" thickBot="1">
      <c r="A56" s="129"/>
      <c r="B56" s="336" t="s">
        <v>803</v>
      </c>
      <c r="C56" s="337"/>
      <c r="D56" s="337"/>
      <c r="E56" s="337"/>
      <c r="F56" s="337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4">
        <f t="shared" si="3"/>
        <v>-196997764.78999999</v>
      </c>
      <c r="T56" s="349">
        <f t="shared" si="4"/>
        <v>-4.2245823039460617E-2</v>
      </c>
    </row>
    <row r="57" spans="1:22" ht="13.5" thickBot="1">
      <c r="A57" s="129">
        <v>1001</v>
      </c>
      <c r="B57" s="523" t="s">
        <v>793</v>
      </c>
      <c r="C57" s="524"/>
      <c r="D57" s="524"/>
      <c r="E57" s="524"/>
      <c r="F57" s="524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4">
        <f t="shared" si="3"/>
        <v>-99400455.299999982</v>
      </c>
      <c r="T57" s="349">
        <f t="shared" si="4"/>
        <v>-2.1316252238303454E-2</v>
      </c>
    </row>
    <row r="58" spans="1:22">
      <c r="A58" s="129">
        <v>46</v>
      </c>
      <c r="B58" s="545" t="s">
        <v>352</v>
      </c>
      <c r="C58" s="546"/>
      <c r="D58" s="546"/>
      <c r="E58" s="546"/>
      <c r="F58" s="546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5">
        <f t="shared" si="3"/>
        <v>696281459.90999997</v>
      </c>
      <c r="T58" s="350">
        <f t="shared" si="4"/>
        <v>0.14931633042827455</v>
      </c>
      <c r="V58" s="290"/>
    </row>
    <row r="59" spans="1:22">
      <c r="A59" s="129">
        <v>4611</v>
      </c>
      <c r="B59" s="541" t="s">
        <v>355</v>
      </c>
      <c r="C59" s="542"/>
      <c r="D59" s="542"/>
      <c r="E59" s="542"/>
      <c r="F59" s="542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6">
        <f t="shared" si="3"/>
        <v>234823593.10000002</v>
      </c>
      <c r="T59" s="351">
        <f t="shared" si="4"/>
        <v>5.0357505173563681E-2</v>
      </c>
    </row>
    <row r="60" spans="1:22" ht="13.5" thickBot="1">
      <c r="A60" s="129">
        <v>4612</v>
      </c>
      <c r="B60" s="517" t="s">
        <v>357</v>
      </c>
      <c r="C60" s="518"/>
      <c r="D60" s="518"/>
      <c r="E60" s="518"/>
      <c r="F60" s="518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6">
        <f t="shared" si="3"/>
        <v>461457866.81</v>
      </c>
      <c r="T60" s="351">
        <f t="shared" si="4"/>
        <v>9.8958825254710892E-2</v>
      </c>
      <c r="V60" s="297"/>
    </row>
    <row r="61" spans="1:22" ht="13.5" thickBot="1">
      <c r="A61" s="129">
        <v>4418</v>
      </c>
      <c r="B61" s="608" t="s">
        <v>336</v>
      </c>
      <c r="C61" s="609"/>
      <c r="D61" s="609"/>
      <c r="E61" s="609"/>
      <c r="F61" s="609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5">
        <f>SUM(G61:R61)</f>
        <v>69245296.659999996</v>
      </c>
      <c r="T61" s="350">
        <f>+S61/$T$7</f>
        <v>1.4849531679365575E-2</v>
      </c>
      <c r="V61" s="297"/>
    </row>
    <row r="62" spans="1:22" ht="13.5" thickBot="1">
      <c r="A62" s="129">
        <v>1002</v>
      </c>
      <c r="B62" s="543" t="s">
        <v>543</v>
      </c>
      <c r="C62" s="544"/>
      <c r="D62" s="544"/>
      <c r="E62" s="544"/>
      <c r="F62" s="544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7">
        <f t="shared" si="3"/>
        <v>-962524521.35999966</v>
      </c>
      <c r="T62" s="352">
        <f t="shared" si="4"/>
        <v>-0.2064116851471007</v>
      </c>
    </row>
    <row r="63" spans="1:22" ht="13.5" thickBot="1">
      <c r="A63" s="129">
        <v>1003</v>
      </c>
      <c r="B63" s="507" t="s">
        <v>544</v>
      </c>
      <c r="C63" s="508"/>
      <c r="D63" s="508"/>
      <c r="E63" s="508"/>
      <c r="F63" s="508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8">
        <f t="shared" si="3"/>
        <v>962524521.35999966</v>
      </c>
      <c r="T63" s="353">
        <f t="shared" si="4"/>
        <v>0.2064116851471007</v>
      </c>
    </row>
    <row r="64" spans="1:22">
      <c r="A64" s="129">
        <v>7511</v>
      </c>
      <c r="B64" s="541" t="s">
        <v>114</v>
      </c>
      <c r="C64" s="542"/>
      <c r="D64" s="542"/>
      <c r="E64" s="542"/>
      <c r="F64" s="542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6">
        <f t="shared" si="3"/>
        <v>213600000</v>
      </c>
      <c r="T64" s="351">
        <f t="shared" si="4"/>
        <v>4.5806143084151631E-2</v>
      </c>
    </row>
    <row r="65" spans="1:20">
      <c r="A65" s="129">
        <v>7512</v>
      </c>
      <c r="B65" s="517" t="s">
        <v>116</v>
      </c>
      <c r="C65" s="518"/>
      <c r="D65" s="518"/>
      <c r="E65" s="518"/>
      <c r="F65" s="518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6">
        <f t="shared" si="3"/>
        <v>909773438.82000017</v>
      </c>
      <c r="T65" s="351">
        <f t="shared" si="4"/>
        <v>0.19509930858028837</v>
      </c>
    </row>
    <row r="66" spans="1:20">
      <c r="A66" s="129">
        <v>72</v>
      </c>
      <c r="B66" s="517" t="s">
        <v>93</v>
      </c>
      <c r="C66" s="518"/>
      <c r="D66" s="518"/>
      <c r="E66" s="518"/>
      <c r="F66" s="518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6">
        <f t="shared" si="3"/>
        <v>15749081.709999999</v>
      </c>
      <c r="T66" s="351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69">
        <f>+SUM(G67:R67)</f>
        <v>-176597999.17000002</v>
      </c>
      <c r="T67" s="354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573" t="s">
        <v>551</v>
      </c>
      <c r="C103" s="574"/>
      <c r="D103" s="574"/>
      <c r="E103" s="574"/>
      <c r="F103" s="574"/>
      <c r="G103" s="581">
        <v>2018</v>
      </c>
      <c r="H103" s="582"/>
      <c r="I103" s="582"/>
      <c r="J103" s="582"/>
      <c r="K103" s="582"/>
      <c r="L103" s="582"/>
      <c r="M103" s="582"/>
      <c r="N103" s="582"/>
      <c r="O103" s="582"/>
      <c r="P103" s="582"/>
      <c r="Q103" s="582"/>
      <c r="R103" s="583"/>
      <c r="S103" s="96" t="str">
        <f>+S7</f>
        <v>BDP</v>
      </c>
      <c r="T103" s="97">
        <f>+T7</f>
        <v>4663130000</v>
      </c>
    </row>
    <row r="104" spans="1:21" ht="15.75" customHeight="1">
      <c r="B104" s="575"/>
      <c r="C104" s="576"/>
      <c r="D104" s="576"/>
      <c r="E104" s="576"/>
      <c r="F104" s="577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581" t="s">
        <v>806</v>
      </c>
      <c r="T104" s="583">
        <f>+T8</f>
        <v>0</v>
      </c>
    </row>
    <row r="105" spans="1:21" ht="13.5" thickBot="1">
      <c r="B105" s="578"/>
      <c r="C105" s="579"/>
      <c r="D105" s="579"/>
      <c r="E105" s="579"/>
      <c r="F105" s="580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596" t="s">
        <v>680</v>
      </c>
      <c r="C106" s="597"/>
      <c r="D106" s="597"/>
      <c r="E106" s="597"/>
      <c r="F106" s="597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0">
        <f>+SUM(G106:R106)</f>
        <v>1757003221.1342125</v>
      </c>
      <c r="T106" s="383">
        <f>+S106/$T$7</f>
        <v>0.37678624038665287</v>
      </c>
    </row>
    <row r="107" spans="1:21">
      <c r="A107" s="105" t="str">
        <f t="shared" si="18"/>
        <v>711p</v>
      </c>
      <c r="B107" s="571" t="s">
        <v>21</v>
      </c>
      <c r="C107" s="572"/>
      <c r="D107" s="572"/>
      <c r="E107" s="572"/>
      <c r="F107" s="572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1">
        <f t="shared" ref="S107:S162" si="21">+SUM(G107:R107)</f>
        <v>1078397189.3971882</v>
      </c>
      <c r="T107" s="384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563" t="s">
        <v>23</v>
      </c>
      <c r="C108" s="564"/>
      <c r="D108" s="564"/>
      <c r="E108" s="564"/>
      <c r="F108" s="564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2">
        <f t="shared" si="21"/>
        <v>121359662.16838756</v>
      </c>
      <c r="T108" s="385">
        <f t="shared" si="22"/>
        <v>2.60253654022915E-2</v>
      </c>
    </row>
    <row r="109" spans="1:21">
      <c r="A109" s="105" t="str">
        <f t="shared" si="18"/>
        <v>7112p</v>
      </c>
      <c r="B109" s="563" t="s">
        <v>25</v>
      </c>
      <c r="C109" s="564"/>
      <c r="D109" s="564"/>
      <c r="E109" s="564"/>
      <c r="F109" s="564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2">
        <f t="shared" si="21"/>
        <v>61678365.370406665</v>
      </c>
      <c r="T109" s="385">
        <f t="shared" si="22"/>
        <v>1.3226816616823178E-2</v>
      </c>
    </row>
    <row r="110" spans="1:21">
      <c r="A110" s="105" t="str">
        <f t="shared" si="18"/>
        <v>7113p</v>
      </c>
      <c r="B110" s="563" t="s">
        <v>27</v>
      </c>
      <c r="C110" s="564"/>
      <c r="D110" s="564"/>
      <c r="E110" s="564"/>
      <c r="F110" s="564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2">
        <f t="shared" si="21"/>
        <v>1854898.1305385595</v>
      </c>
      <c r="T110" s="385">
        <f t="shared" si="22"/>
        <v>3.9777963096430068E-4</v>
      </c>
    </row>
    <row r="111" spans="1:21">
      <c r="A111" s="105" t="str">
        <f t="shared" si="18"/>
        <v>7114p</v>
      </c>
      <c r="B111" s="563" t="s">
        <v>29</v>
      </c>
      <c r="C111" s="564"/>
      <c r="D111" s="564"/>
      <c r="E111" s="564"/>
      <c r="F111" s="564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2">
        <f t="shared" si="21"/>
        <v>624391782.02119482</v>
      </c>
      <c r="T111" s="385">
        <f t="shared" si="22"/>
        <v>0.13389971586063326</v>
      </c>
    </row>
    <row r="112" spans="1:21">
      <c r="A112" s="105" t="str">
        <f t="shared" si="18"/>
        <v>7115p</v>
      </c>
      <c r="B112" s="563" t="s">
        <v>31</v>
      </c>
      <c r="C112" s="564"/>
      <c r="D112" s="564"/>
      <c r="E112" s="564"/>
      <c r="F112" s="564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2">
        <f t="shared" si="21"/>
        <v>232697830.94442701</v>
      </c>
      <c r="T112" s="385">
        <f t="shared" si="22"/>
        <v>4.9901639230393965E-2</v>
      </c>
    </row>
    <row r="113" spans="1:20">
      <c r="A113" s="105" t="str">
        <f t="shared" si="18"/>
        <v>7116p</v>
      </c>
      <c r="B113" s="563" t="s">
        <v>33</v>
      </c>
      <c r="C113" s="564"/>
      <c r="D113" s="564"/>
      <c r="E113" s="564"/>
      <c r="F113" s="564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2">
        <f t="shared" si="21"/>
        <v>26860004.877748117</v>
      </c>
      <c r="T113" s="385">
        <f t="shared" si="22"/>
        <v>5.7600806492094613E-3</v>
      </c>
    </row>
    <row r="114" spans="1:20">
      <c r="A114" s="105" t="str">
        <f t="shared" si="18"/>
        <v>7118p</v>
      </c>
      <c r="B114" s="563" t="s">
        <v>721</v>
      </c>
      <c r="C114" s="564"/>
      <c r="D114" s="564"/>
      <c r="E114" s="564"/>
      <c r="F114" s="564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2">
        <f t="shared" si="21"/>
        <v>9554645.8844855782</v>
      </c>
      <c r="T114" s="385">
        <f t="shared" si="22"/>
        <v>2.0489769499210998E-3</v>
      </c>
    </row>
    <row r="115" spans="1:20">
      <c r="A115" s="105" t="str">
        <f t="shared" si="18"/>
        <v>712p</v>
      </c>
      <c r="B115" s="598" t="s">
        <v>37</v>
      </c>
      <c r="C115" s="599"/>
      <c r="D115" s="599"/>
      <c r="E115" s="599"/>
      <c r="F115" s="599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3">
        <f t="shared" si="21"/>
        <v>522253828.92039472</v>
      </c>
      <c r="T115" s="386">
        <f t="shared" si="22"/>
        <v>0.1119964120495021</v>
      </c>
    </row>
    <row r="116" spans="1:20">
      <c r="A116" s="105" t="str">
        <f t="shared" si="18"/>
        <v>7121p</v>
      </c>
      <c r="B116" s="563" t="s">
        <v>39</v>
      </c>
      <c r="C116" s="564"/>
      <c r="D116" s="564"/>
      <c r="E116" s="564"/>
      <c r="F116" s="564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2">
        <f t="shared" si="21"/>
        <v>314496114.9625507</v>
      </c>
      <c r="T116" s="385">
        <f t="shared" si="22"/>
        <v>6.7443136897867031E-2</v>
      </c>
    </row>
    <row r="117" spans="1:20">
      <c r="A117" s="105" t="str">
        <f t="shared" si="18"/>
        <v>7122p</v>
      </c>
      <c r="B117" s="563" t="s">
        <v>41</v>
      </c>
      <c r="C117" s="564"/>
      <c r="D117" s="564"/>
      <c r="E117" s="564"/>
      <c r="F117" s="564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2">
        <f t="shared" si="21"/>
        <v>180896074.44659218</v>
      </c>
      <c r="T117" s="385">
        <f t="shared" si="22"/>
        <v>3.8792843958155181E-2</v>
      </c>
    </row>
    <row r="118" spans="1:20">
      <c r="A118" s="105" t="str">
        <f t="shared" si="18"/>
        <v>7123p</v>
      </c>
      <c r="B118" s="563" t="s">
        <v>43</v>
      </c>
      <c r="C118" s="564"/>
      <c r="D118" s="564"/>
      <c r="E118" s="564"/>
      <c r="F118" s="564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2">
        <f t="shared" si="21"/>
        <v>14149151.623339836</v>
      </c>
      <c r="T118" s="385">
        <f t="shared" si="22"/>
        <v>3.0342605982118954E-3</v>
      </c>
    </row>
    <row r="119" spans="1:20">
      <c r="A119" s="105" t="str">
        <f t="shared" si="18"/>
        <v>7124p</v>
      </c>
      <c r="B119" s="563" t="s">
        <v>45</v>
      </c>
      <c r="C119" s="564"/>
      <c r="D119" s="564"/>
      <c r="E119" s="564"/>
      <c r="F119" s="564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2">
        <f t="shared" si="21"/>
        <v>12712487.887912013</v>
      </c>
      <c r="T119" s="385">
        <f t="shared" si="22"/>
        <v>2.7261705952679881E-3</v>
      </c>
    </row>
    <row r="120" spans="1:20">
      <c r="A120" s="105" t="str">
        <f t="shared" si="18"/>
        <v>713p</v>
      </c>
      <c r="B120" s="569" t="s">
        <v>47</v>
      </c>
      <c r="C120" s="570"/>
      <c r="D120" s="570"/>
      <c r="E120" s="570"/>
      <c r="F120" s="570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3">
        <f t="shared" si="21"/>
        <v>17700468.388223864</v>
      </c>
      <c r="T120" s="386">
        <f t="shared" si="22"/>
        <v>3.7958342118327958E-3</v>
      </c>
    </row>
    <row r="121" spans="1:20">
      <c r="A121" s="105" t="str">
        <f t="shared" si="18"/>
        <v>714p</v>
      </c>
      <c r="B121" s="569" t="s">
        <v>61</v>
      </c>
      <c r="C121" s="570"/>
      <c r="D121" s="570"/>
      <c r="E121" s="570"/>
      <c r="F121" s="570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3">
        <f t="shared" si="21"/>
        <v>28128126.097135291</v>
      </c>
      <c r="T121" s="386">
        <f t="shared" si="22"/>
        <v>6.0320270069964361E-3</v>
      </c>
    </row>
    <row r="122" spans="1:20">
      <c r="A122" s="105" t="str">
        <f t="shared" si="18"/>
        <v>715p</v>
      </c>
      <c r="B122" s="569" t="s">
        <v>81</v>
      </c>
      <c r="C122" s="570"/>
      <c r="D122" s="570"/>
      <c r="E122" s="570"/>
      <c r="F122" s="570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3">
        <f t="shared" si="21"/>
        <v>71732904.669780642</v>
      </c>
      <c r="T122" s="386">
        <f t="shared" si="22"/>
        <v>1.5382994827461522E-2</v>
      </c>
    </row>
    <row r="123" spans="1:20">
      <c r="A123" s="105" t="str">
        <f t="shared" si="18"/>
        <v>73p</v>
      </c>
      <c r="B123" s="569" t="s">
        <v>99</v>
      </c>
      <c r="C123" s="570"/>
      <c r="D123" s="570"/>
      <c r="E123" s="570"/>
      <c r="F123" s="570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3">
        <f t="shared" si="21"/>
        <v>7262314.2406375092</v>
      </c>
      <c r="T123" s="386">
        <f t="shared" si="22"/>
        <v>1.5573904739171992E-3</v>
      </c>
    </row>
    <row r="124" spans="1:20" ht="13.5" thickBot="1">
      <c r="A124" s="105" t="str">
        <f t="shared" si="18"/>
        <v>74p</v>
      </c>
      <c r="B124" s="565" t="s">
        <v>105</v>
      </c>
      <c r="C124" s="566"/>
      <c r="D124" s="566"/>
      <c r="E124" s="566"/>
      <c r="F124" s="566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4">
        <f t="shared" si="21"/>
        <v>31528389.420852099</v>
      </c>
      <c r="T124" s="387">
        <f t="shared" si="22"/>
        <v>6.7612074767060106E-3</v>
      </c>
    </row>
    <row r="125" spans="1:20" ht="13.5" thickBot="1">
      <c r="A125" s="105" t="str">
        <f t="shared" si="18"/>
        <v>4p</v>
      </c>
      <c r="B125" s="547" t="s">
        <v>808</v>
      </c>
      <c r="C125" s="548"/>
      <c r="D125" s="548"/>
      <c r="E125" s="548"/>
      <c r="F125" s="548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5">
        <f>+SUM(G125:R125)</f>
        <v>1899843074.6966665</v>
      </c>
      <c r="T125" s="388">
        <f t="shared" si="22"/>
        <v>0.40741799492972885</v>
      </c>
    </row>
    <row r="126" spans="1:20" ht="13.5" thickBot="1">
      <c r="A126" s="105" t="str">
        <f t="shared" si="18"/>
        <v>40p</v>
      </c>
      <c r="B126" s="602" t="s">
        <v>773</v>
      </c>
      <c r="C126" s="603"/>
      <c r="D126" s="603"/>
      <c r="E126" s="603"/>
      <c r="F126" s="603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6">
        <f t="shared" si="21"/>
        <v>1610768074.6999998</v>
      </c>
      <c r="T126" s="389">
        <f t="shared" si="22"/>
        <v>0.34542637127851888</v>
      </c>
    </row>
    <row r="127" spans="1:20">
      <c r="A127" s="105" t="str">
        <f t="shared" si="18"/>
        <v>41p</v>
      </c>
      <c r="B127" s="567" t="s">
        <v>120</v>
      </c>
      <c r="C127" s="568"/>
      <c r="D127" s="568"/>
      <c r="E127" s="568"/>
      <c r="F127" s="568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1">
        <f t="shared" si="21"/>
        <v>812630572.90999997</v>
      </c>
      <c r="T127" s="384">
        <f t="shared" si="22"/>
        <v>0.17426719240295679</v>
      </c>
    </row>
    <row r="128" spans="1:20">
      <c r="A128" s="105" t="str">
        <f t="shared" si="18"/>
        <v>411p</v>
      </c>
      <c r="B128" s="563" t="s">
        <v>122</v>
      </c>
      <c r="C128" s="564"/>
      <c r="D128" s="564"/>
      <c r="E128" s="564"/>
      <c r="F128" s="564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2">
        <f t="shared" si="21"/>
        <v>461973796.46999985</v>
      </c>
      <c r="T128" s="385">
        <f t="shared" si="22"/>
        <v>9.9069465459894937E-2</v>
      </c>
    </row>
    <row r="129" spans="1:20">
      <c r="A129" s="105" t="str">
        <f t="shared" si="18"/>
        <v>412p</v>
      </c>
      <c r="B129" s="563" t="s">
        <v>133</v>
      </c>
      <c r="C129" s="564"/>
      <c r="D129" s="564"/>
      <c r="E129" s="564"/>
      <c r="F129" s="564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2">
        <f t="shared" si="21"/>
        <v>13262623.179999996</v>
      </c>
      <c r="T129" s="385">
        <f t="shared" si="22"/>
        <v>2.8441461378945036E-3</v>
      </c>
    </row>
    <row r="130" spans="1:20">
      <c r="A130" s="105" t="str">
        <f t="shared" si="18"/>
        <v>413p</v>
      </c>
      <c r="B130" s="563" t="s">
        <v>148</v>
      </c>
      <c r="C130" s="564"/>
      <c r="D130" s="564"/>
      <c r="E130" s="564"/>
      <c r="F130" s="564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2">
        <f t="shared" si="21"/>
        <v>39682213.5</v>
      </c>
      <c r="T130" s="385">
        <f t="shared" si="22"/>
        <v>8.5097806623448194E-3</v>
      </c>
    </row>
    <row r="131" spans="1:20">
      <c r="A131" s="105" t="str">
        <f t="shared" si="18"/>
        <v>414p</v>
      </c>
      <c r="B131" s="563" t="s">
        <v>162</v>
      </c>
      <c r="C131" s="564"/>
      <c r="D131" s="564"/>
      <c r="E131" s="564"/>
      <c r="F131" s="564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2">
        <f t="shared" si="21"/>
        <v>58741932.939999998</v>
      </c>
      <c r="T131" s="385">
        <f t="shared" si="22"/>
        <v>1.2597103863713857E-2</v>
      </c>
    </row>
    <row r="132" spans="1:20">
      <c r="A132" s="105" t="str">
        <f t="shared" si="18"/>
        <v>415p</v>
      </c>
      <c r="B132" s="563" t="s">
        <v>182</v>
      </c>
      <c r="C132" s="564"/>
      <c r="D132" s="564"/>
      <c r="E132" s="564"/>
      <c r="F132" s="564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2">
        <f t="shared" si="21"/>
        <v>22285486.810000002</v>
      </c>
      <c r="T132" s="385">
        <f t="shared" si="22"/>
        <v>4.7790833217173879E-3</v>
      </c>
    </row>
    <row r="133" spans="1:20">
      <c r="A133" s="105" t="str">
        <f t="shared" si="18"/>
        <v>416p</v>
      </c>
      <c r="B133" s="563" t="s">
        <v>190</v>
      </c>
      <c r="C133" s="564"/>
      <c r="D133" s="564"/>
      <c r="E133" s="564"/>
      <c r="F133" s="564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2">
        <f t="shared" si="21"/>
        <v>87442700</v>
      </c>
      <c r="T133" s="385">
        <f t="shared" si="22"/>
        <v>1.8751932714721656E-2</v>
      </c>
    </row>
    <row r="134" spans="1:20">
      <c r="A134" s="105" t="str">
        <f t="shared" si="18"/>
        <v>417p</v>
      </c>
      <c r="B134" s="563" t="s">
        <v>196</v>
      </c>
      <c r="C134" s="564"/>
      <c r="D134" s="564"/>
      <c r="E134" s="564"/>
      <c r="F134" s="564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2">
        <f t="shared" si="21"/>
        <v>10344524.66</v>
      </c>
      <c r="T134" s="385">
        <f t="shared" si="22"/>
        <v>2.2183650595201079E-3</v>
      </c>
    </row>
    <row r="135" spans="1:20">
      <c r="A135" s="105" t="str">
        <f t="shared" si="18"/>
        <v>418p</v>
      </c>
      <c r="B135" s="563" t="s">
        <v>204</v>
      </c>
      <c r="C135" s="564"/>
      <c r="D135" s="564"/>
      <c r="E135" s="564"/>
      <c r="F135" s="564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2">
        <f t="shared" si="21"/>
        <v>26731800.000000011</v>
      </c>
      <c r="T135" s="385">
        <f t="shared" si="22"/>
        <v>5.7325873394050804E-3</v>
      </c>
    </row>
    <row r="136" spans="1:20">
      <c r="A136" s="105" t="str">
        <f t="shared" si="18"/>
        <v>419p</v>
      </c>
      <c r="B136" s="563" t="s">
        <v>212</v>
      </c>
      <c r="C136" s="564"/>
      <c r="D136" s="564"/>
      <c r="E136" s="564"/>
      <c r="F136" s="564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2">
        <f t="shared" si="21"/>
        <v>39317929.93</v>
      </c>
      <c r="T136" s="385">
        <f t="shared" si="22"/>
        <v>8.4316606935684827E-3</v>
      </c>
    </row>
    <row r="137" spans="1:20">
      <c r="A137" s="105" t="str">
        <f t="shared" si="18"/>
        <v>440p</v>
      </c>
      <c r="B137" s="563" t="s">
        <v>802</v>
      </c>
      <c r="C137" s="564"/>
      <c r="D137" s="564"/>
      <c r="E137" s="564"/>
      <c r="F137" s="564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2">
        <f t="shared" si="21"/>
        <v>52847565.419999987</v>
      </c>
      <c r="T137" s="385">
        <f t="shared" si="22"/>
        <v>1.1333067150175952E-2</v>
      </c>
    </row>
    <row r="138" spans="1:20">
      <c r="A138" s="105" t="str">
        <f t="shared" si="18"/>
        <v>42p</v>
      </c>
      <c r="B138" s="559" t="s">
        <v>230</v>
      </c>
      <c r="C138" s="560"/>
      <c r="D138" s="560"/>
      <c r="E138" s="560"/>
      <c r="F138" s="560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3">
        <f t="shared" si="21"/>
        <v>558932773.86000013</v>
      </c>
      <c r="T138" s="386">
        <f t="shared" si="22"/>
        <v>0.11986214706859988</v>
      </c>
    </row>
    <row r="139" spans="1:20">
      <c r="A139" s="105" t="str">
        <f t="shared" si="18"/>
        <v>421p</v>
      </c>
      <c r="B139" s="563" t="s">
        <v>232</v>
      </c>
      <c r="C139" s="564"/>
      <c r="D139" s="564"/>
      <c r="E139" s="564"/>
      <c r="F139" s="564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2">
        <f t="shared" si="21"/>
        <v>82786083.909999996</v>
      </c>
      <c r="T139" s="385">
        <f t="shared" si="22"/>
        <v>1.7753329611226793E-2</v>
      </c>
    </row>
    <row r="140" spans="1:20">
      <c r="A140" s="105" t="str">
        <f t="shared" si="18"/>
        <v>422p</v>
      </c>
      <c r="B140" s="563" t="s">
        <v>248</v>
      </c>
      <c r="C140" s="564"/>
      <c r="D140" s="564"/>
      <c r="E140" s="564"/>
      <c r="F140" s="564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2">
        <f t="shared" si="21"/>
        <v>17298799.519999992</v>
      </c>
      <c r="T140" s="385">
        <f t="shared" si="22"/>
        <v>3.7096970318219718E-3</v>
      </c>
    </row>
    <row r="141" spans="1:20">
      <c r="A141" s="105" t="str">
        <f t="shared" si="18"/>
        <v>423p</v>
      </c>
      <c r="B141" s="563" t="s">
        <v>259</v>
      </c>
      <c r="C141" s="564"/>
      <c r="D141" s="564"/>
      <c r="E141" s="564"/>
      <c r="F141" s="564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2">
        <f t="shared" si="21"/>
        <v>425672790.43000013</v>
      </c>
      <c r="T141" s="385">
        <f t="shared" si="22"/>
        <v>9.1284778770911415E-2</v>
      </c>
    </row>
    <row r="142" spans="1:20">
      <c r="A142" s="105" t="str">
        <f t="shared" si="18"/>
        <v>424p</v>
      </c>
      <c r="B142" s="563" t="s">
        <v>274</v>
      </c>
      <c r="C142" s="564"/>
      <c r="D142" s="564"/>
      <c r="E142" s="564"/>
      <c r="F142" s="564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2">
        <f t="shared" si="21"/>
        <v>19000099.999999996</v>
      </c>
      <c r="T142" s="385">
        <f t="shared" si="22"/>
        <v>4.0745379176647433E-3</v>
      </c>
    </row>
    <row r="143" spans="1:20">
      <c r="A143" s="105" t="str">
        <f t="shared" si="18"/>
        <v>425p</v>
      </c>
      <c r="B143" s="563" t="s">
        <v>278</v>
      </c>
      <c r="C143" s="564"/>
      <c r="D143" s="564"/>
      <c r="E143" s="564"/>
      <c r="F143" s="564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2">
        <f t="shared" si="21"/>
        <v>14175000.000000002</v>
      </c>
      <c r="T143" s="385">
        <f t="shared" si="22"/>
        <v>3.0398037369749509E-3</v>
      </c>
    </row>
    <row r="144" spans="1:20">
      <c r="A144" s="105" t="str">
        <f t="shared" si="18"/>
        <v>43p</v>
      </c>
      <c r="B144" s="561" t="s">
        <v>286</v>
      </c>
      <c r="C144" s="562"/>
      <c r="D144" s="562"/>
      <c r="E144" s="562"/>
      <c r="F144" s="562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3">
        <f>+SUM(G144:R144)</f>
        <v>206684238.69</v>
      </c>
      <c r="T144" s="386">
        <f t="shared" si="22"/>
        <v>4.4323070274686745E-2</v>
      </c>
    </row>
    <row r="145" spans="1:20">
      <c r="A145" s="105" t="str">
        <f t="shared" si="18"/>
        <v>44p</v>
      </c>
      <c r="B145" s="561" t="s">
        <v>809</v>
      </c>
      <c r="C145" s="562"/>
      <c r="D145" s="562"/>
      <c r="E145" s="562"/>
      <c r="F145" s="562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3">
        <f t="shared" si="21"/>
        <v>289074999.99666673</v>
      </c>
      <c r="T145" s="386">
        <f t="shared" si="22"/>
        <v>6.1991623651209964E-2</v>
      </c>
    </row>
    <row r="146" spans="1:20">
      <c r="A146" s="105" t="str">
        <f t="shared" si="18"/>
        <v>451p</v>
      </c>
      <c r="B146" s="553" t="s">
        <v>113</v>
      </c>
      <c r="C146" s="554"/>
      <c r="D146" s="554"/>
      <c r="E146" s="554"/>
      <c r="F146" s="554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2">
        <f t="shared" si="21"/>
        <v>2875000.9999999995</v>
      </c>
      <c r="T146" s="385">
        <f t="shared" si="22"/>
        <v>6.1653889125973314E-4</v>
      </c>
    </row>
    <row r="147" spans="1:20">
      <c r="A147" s="105" t="str">
        <f t="shared" si="18"/>
        <v>47p</v>
      </c>
      <c r="B147" s="553" t="s">
        <v>366</v>
      </c>
      <c r="C147" s="554"/>
      <c r="D147" s="554"/>
      <c r="E147" s="554"/>
      <c r="F147" s="554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2">
        <f t="shared" si="21"/>
        <v>29645488.240000002</v>
      </c>
      <c r="T147" s="385">
        <f t="shared" si="22"/>
        <v>6.3574226410157992E-3</v>
      </c>
    </row>
    <row r="148" spans="1:20">
      <c r="A148" s="105" t="str">
        <f t="shared" si="18"/>
        <v>462p</v>
      </c>
      <c r="B148" s="553" t="s">
        <v>359</v>
      </c>
      <c r="C148" s="554"/>
      <c r="D148" s="554"/>
      <c r="E148" s="554"/>
      <c r="F148" s="554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2">
        <f t="shared" si="21"/>
        <v>0</v>
      </c>
      <c r="T148" s="385">
        <f t="shared" si="22"/>
        <v>0</v>
      </c>
    </row>
    <row r="149" spans="1:20" ht="13.5" thickBot="1">
      <c r="A149" s="105"/>
      <c r="B149" s="338" t="s">
        <v>685</v>
      </c>
      <c r="C149" s="339"/>
      <c r="D149" s="339"/>
      <c r="E149" s="339"/>
      <c r="F149" s="339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3">
        <f>SUM(G149:R149)</f>
        <v>0</v>
      </c>
      <c r="T149" s="348">
        <f t="shared" si="22"/>
        <v>0</v>
      </c>
    </row>
    <row r="150" spans="1:20" ht="13.5" thickBot="1">
      <c r="A150" s="106" t="str">
        <f>+CONCATENATE(A55,"p")</f>
        <v>1000p</v>
      </c>
      <c r="B150" s="555" t="s">
        <v>545</v>
      </c>
      <c r="C150" s="556"/>
      <c r="D150" s="556"/>
      <c r="E150" s="556"/>
      <c r="F150" s="556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8">
        <f t="shared" si="21"/>
        <v>-142839853.56245428</v>
      </c>
      <c r="T150" s="391">
        <f t="shared" si="22"/>
        <v>-3.0631754543076064E-2</v>
      </c>
    </row>
    <row r="151" spans="1:20" ht="13.5" thickBot="1">
      <c r="A151" s="106" t="str">
        <f>+CONCATENATE(A57,"p")</f>
        <v>1001p</v>
      </c>
      <c r="B151" s="557" t="s">
        <v>810</v>
      </c>
      <c r="C151" s="558"/>
      <c r="D151" s="558"/>
      <c r="E151" s="558"/>
      <c r="F151" s="558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8">
        <f t="shared" si="21"/>
        <v>-55397153.562454268</v>
      </c>
      <c r="T151" s="391">
        <f t="shared" si="22"/>
        <v>-1.1879821828354403E-2</v>
      </c>
    </row>
    <row r="152" spans="1:20">
      <c r="A152" s="106" t="str">
        <f>+CONCATENATE(A58,"p")</f>
        <v>46p</v>
      </c>
      <c r="B152" s="559" t="s">
        <v>352</v>
      </c>
      <c r="C152" s="560"/>
      <c r="D152" s="560"/>
      <c r="E152" s="560"/>
      <c r="F152" s="560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79">
        <f t="shared" si="21"/>
        <v>542432774.80999994</v>
      </c>
      <c r="T152" s="392">
        <f t="shared" si="22"/>
        <v>0.11632375138801619</v>
      </c>
    </row>
    <row r="153" spans="1:20">
      <c r="A153" s="106" t="str">
        <f>+CONCATENATE(A59,"p")</f>
        <v>4611p</v>
      </c>
      <c r="B153" s="551" t="s">
        <v>355</v>
      </c>
      <c r="C153" s="552"/>
      <c r="D153" s="552"/>
      <c r="E153" s="552"/>
      <c r="F153" s="552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7">
        <f t="shared" si="21"/>
        <v>50688279.809999995</v>
      </c>
      <c r="T153" s="390">
        <f t="shared" si="22"/>
        <v>1.0870012161359429E-2</v>
      </c>
    </row>
    <row r="154" spans="1:20">
      <c r="A154" s="106" t="str">
        <f>+CONCATENATE(A60,"p")</f>
        <v>4612p</v>
      </c>
      <c r="B154" s="553" t="s">
        <v>357</v>
      </c>
      <c r="C154" s="554"/>
      <c r="D154" s="554"/>
      <c r="E154" s="554"/>
      <c r="F154" s="554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7">
        <f t="shared" si="21"/>
        <v>461500000</v>
      </c>
      <c r="T154" s="390">
        <f t="shared" si="22"/>
        <v>9.8967860642958705E-2</v>
      </c>
    </row>
    <row r="155" spans="1:20">
      <c r="A155" s="106" t="str">
        <f>+CONCATENATE(A53,"p")</f>
        <v>4630p</v>
      </c>
      <c r="B155" s="553" t="s">
        <v>365</v>
      </c>
      <c r="C155" s="554"/>
      <c r="D155" s="554"/>
      <c r="E155" s="554"/>
      <c r="F155" s="554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7">
        <f t="shared" si="21"/>
        <v>30244495.000000015</v>
      </c>
      <c r="T155" s="390">
        <f t="shared" si="22"/>
        <v>6.4858785836980773E-3</v>
      </c>
    </row>
    <row r="156" spans="1:20" ht="13.5" thickBot="1">
      <c r="A156" s="106"/>
      <c r="B156" s="338" t="s">
        <v>769</v>
      </c>
      <c r="C156" s="339"/>
      <c r="D156" s="339"/>
      <c r="E156" s="339"/>
      <c r="F156" s="339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7">
        <f t="shared" si="21"/>
        <v>70000000</v>
      </c>
      <c r="T156" s="390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549" t="s">
        <v>543</v>
      </c>
      <c r="C157" s="550"/>
      <c r="D157" s="550"/>
      <c r="E157" s="550"/>
      <c r="F157" s="550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0">
        <f t="shared" si="21"/>
        <v>-755272628.37245417</v>
      </c>
      <c r="T157" s="393">
        <f t="shared" si="22"/>
        <v>-0.16196688240998089</v>
      </c>
    </row>
    <row r="158" spans="1:20" ht="13.5" thickBot="1">
      <c r="A158" s="106" t="str">
        <f t="shared" si="31"/>
        <v>1003p</v>
      </c>
      <c r="B158" s="547" t="s">
        <v>544</v>
      </c>
      <c r="C158" s="548"/>
      <c r="D158" s="548"/>
      <c r="E158" s="548"/>
      <c r="F158" s="548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1">
        <f t="shared" si="21"/>
        <v>755272628.37245417</v>
      </c>
      <c r="T158" s="394">
        <f t="shared" si="22"/>
        <v>0.16196688240998089</v>
      </c>
    </row>
    <row r="159" spans="1:20">
      <c r="A159" s="106" t="str">
        <f t="shared" si="31"/>
        <v>7511p</v>
      </c>
      <c r="B159" s="551" t="s">
        <v>114</v>
      </c>
      <c r="C159" s="552"/>
      <c r="D159" s="552"/>
      <c r="E159" s="552"/>
      <c r="F159" s="552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7">
        <f t="shared" si="21"/>
        <v>0</v>
      </c>
      <c r="T159" s="390">
        <f t="shared" si="22"/>
        <v>0</v>
      </c>
    </row>
    <row r="160" spans="1:20">
      <c r="A160" s="106" t="str">
        <f t="shared" si="31"/>
        <v>7512p</v>
      </c>
      <c r="B160" s="553" t="s">
        <v>116</v>
      </c>
      <c r="C160" s="554"/>
      <c r="D160" s="554"/>
      <c r="E160" s="554"/>
      <c r="F160" s="554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7">
        <f t="shared" si="21"/>
        <v>739264348.56578732</v>
      </c>
      <c r="T160" s="390">
        <f t="shared" si="22"/>
        <v>0.15853393505344851</v>
      </c>
    </row>
    <row r="161" spans="1:20">
      <c r="A161" s="106" t="str">
        <f t="shared" si="31"/>
        <v>72p</v>
      </c>
      <c r="B161" s="553" t="s">
        <v>93</v>
      </c>
      <c r="C161" s="554"/>
      <c r="D161" s="554"/>
      <c r="E161" s="554"/>
      <c r="F161" s="554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7">
        <f t="shared" si="21"/>
        <v>16000000</v>
      </c>
      <c r="T161" s="390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2">
        <f t="shared" si="21"/>
        <v>8279.8066668957472</v>
      </c>
      <c r="T162" s="395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Gordana Stanisic</cp:lastModifiedBy>
  <cp:lastPrinted>2024-02-02T11:11:28Z</cp:lastPrinted>
  <dcterms:created xsi:type="dcterms:W3CDTF">2014-09-15T13:41:17Z</dcterms:created>
  <dcterms:modified xsi:type="dcterms:W3CDTF">2024-02-09T14:06:43Z</dcterms:modified>
</cp:coreProperties>
</file>