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gana.nedic\Desktop\DRAGANA 2025\ANALIZA I IZVJESTAJI\AVGUST 2025\OPET 30092025\"/>
    </mc:Choice>
  </mc:AlternateContent>
  <xr:revisionPtr revIDLastSave="0" documentId="13_ncr:1_{B1603CAF-E031-4873-BC56-95F13CC31F03}" xr6:coauthVersionLast="36" xr6:coauthVersionMax="36" xr10:uidLastSave="{00000000-0000-0000-0000-000000000000}"/>
  <workbookProtection workbookAlgorithmName="SHA-512" workbookHashValue="siu1v83HC69MTA8+ON1Yh2CXajji7fPrrjcv9gDcplnSjI9UOMAjTzZNLBDd33rY7ZDddmUrEBfs2F/8vNBvrA==" workbookSaltValue="9iu86i7AHr2dQ+LX2coJ8Q==" workbookSpinCount="100000" lockStructure="1"/>
  <bookViews>
    <workbookView xWindow="0" yWindow="0" windowWidth="28800" windowHeight="12225" tabRatio="587" firstSheet="1" activeTab="2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M57" i="11" l="1"/>
  <c r="O55" i="28" l="1"/>
  <c r="K11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5" i="11"/>
  <c r="O56" i="11"/>
  <c r="O57" i="11"/>
  <c r="O58" i="11"/>
  <c r="O59" i="11"/>
  <c r="O62" i="11"/>
  <c r="O63" i="11"/>
  <c r="O64" i="11"/>
  <c r="O65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5" i="11"/>
  <c r="H56" i="11"/>
  <c r="H57" i="11"/>
  <c r="H58" i="11"/>
  <c r="H59" i="11"/>
  <c r="H62" i="11"/>
  <c r="H63" i="11"/>
  <c r="H64" i="11"/>
  <c r="H65" i="11"/>
  <c r="H10" i="11"/>
  <c r="R116" i="28" l="1"/>
  <c r="Q116" i="28"/>
  <c r="P116" i="28"/>
  <c r="O116" i="28"/>
  <c r="N116" i="28"/>
  <c r="O40" i="11" s="1"/>
  <c r="M116" i="28"/>
  <c r="L116" i="28"/>
  <c r="K116" i="28"/>
  <c r="J116" i="28"/>
  <c r="I116" i="28"/>
  <c r="H116" i="28"/>
  <c r="G116" i="28"/>
  <c r="H40" i="11" s="1"/>
  <c r="R106" i="28"/>
  <c r="Q106" i="28"/>
  <c r="P106" i="28"/>
  <c r="P105" i="28" s="1"/>
  <c r="P129" i="28" s="1"/>
  <c r="P130" i="28" s="1"/>
  <c r="O106" i="28"/>
  <c r="N106" i="28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H30" i="11" s="1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l="1"/>
  <c r="N105" i="28"/>
  <c r="O30" i="11"/>
  <c r="G136" i="28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R136" i="28"/>
  <c r="R142" i="28" s="1"/>
  <c r="R137" i="28" s="1"/>
  <c r="N129" i="28" l="1"/>
  <c r="O29" i="11"/>
  <c r="H29" i="11"/>
  <c r="G142" i="28"/>
  <c r="G130" i="28"/>
  <c r="H53" i="11"/>
  <c r="S133" i="28"/>
  <c r="S132" i="28"/>
  <c r="G137" i="28" l="1"/>
  <c r="N130" i="28"/>
  <c r="O54" i="11" s="1"/>
  <c r="O53" i="11"/>
  <c r="N136" i="28"/>
  <c r="A142" i="28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P55" i="28"/>
  <c r="N55" i="28"/>
  <c r="N55" i="11" s="1"/>
  <c r="M55" i="28"/>
  <c r="L55" i="28"/>
  <c r="K55" i="28"/>
  <c r="J55" i="28"/>
  <c r="I55" i="28"/>
  <c r="H55" i="28"/>
  <c r="G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Q40" i="28"/>
  <c r="P40" i="28"/>
  <c r="O40" i="28"/>
  <c r="N40" i="28"/>
  <c r="N40" i="11" s="1"/>
  <c r="M40" i="28"/>
  <c r="L40" i="28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O29" i="28" s="1"/>
  <c r="N30" i="28"/>
  <c r="M30" i="28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N19" i="11" s="1"/>
  <c r="M19" i="28"/>
  <c r="L19" i="28"/>
  <c r="K19" i="28"/>
  <c r="J19" i="28"/>
  <c r="I19" i="28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O11" i="28"/>
  <c r="N11" i="28"/>
  <c r="N11" i="11" s="1"/>
  <c r="M11" i="28"/>
  <c r="L11" i="28"/>
  <c r="K11" i="28"/>
  <c r="J11" i="28"/>
  <c r="I11" i="28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R29" i="28" l="1"/>
  <c r="R53" i="28" s="1"/>
  <c r="R54" i="28" s="1"/>
  <c r="N29" i="28"/>
  <c r="N29" i="11" s="1"/>
  <c r="N30" i="11"/>
  <c r="H54" i="11"/>
  <c r="N142" i="28"/>
  <c r="O60" i="11"/>
  <c r="H60" i="11"/>
  <c r="M10" i="28"/>
  <c r="L29" i="28"/>
  <c r="J10" i="28"/>
  <c r="J29" i="28"/>
  <c r="K29" i="28"/>
  <c r="N10" i="28"/>
  <c r="N10" i="11" s="1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P10" i="28"/>
  <c r="S19" i="28"/>
  <c r="G19" i="11" s="1"/>
  <c r="K10" i="28"/>
  <c r="O10" i="28"/>
  <c r="O53" i="28" s="1"/>
  <c r="O60" i="28" s="1"/>
  <c r="O66" i="28" s="1"/>
  <c r="O61" i="28" s="1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G10" i="28"/>
  <c r="T12" i="28"/>
  <c r="T16" i="28"/>
  <c r="T34" i="28"/>
  <c r="T38" i="28"/>
  <c r="T57" i="28"/>
  <c r="T62" i="28"/>
  <c r="G52" i="11"/>
  <c r="G37" i="11"/>
  <c r="G24" i="11"/>
  <c r="G14" i="11"/>
  <c r="G62" i="11"/>
  <c r="G65" i="11"/>
  <c r="G64" i="11"/>
  <c r="G58" i="11"/>
  <c r="G56" i="11"/>
  <c r="G59" i="11"/>
  <c r="G57" i="1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Q29" i="28"/>
  <c r="S40" i="28"/>
  <c r="S11" i="28"/>
  <c r="N53" i="28"/>
  <c r="O54" i="28"/>
  <c r="S30" i="28"/>
  <c r="S87" i="28"/>
  <c r="T87" i="28" s="1"/>
  <c r="N54" i="28" l="1"/>
  <c r="N54" i="11" s="1"/>
  <c r="N53" i="11"/>
  <c r="N137" i="28"/>
  <c r="O66" i="11"/>
  <c r="H66" i="11"/>
  <c r="J53" i="28"/>
  <c r="J54" i="28" s="1"/>
  <c r="M53" i="28"/>
  <c r="M60" i="28" s="1"/>
  <c r="L53" i="28"/>
  <c r="L54" i="28" s="1"/>
  <c r="D12" i="1"/>
  <c r="K53" i="28"/>
  <c r="I53" i="28"/>
  <c r="I54" i="28" s="1"/>
  <c r="P53" i="28"/>
  <c r="P54" i="28" s="1"/>
  <c r="H53" i="28"/>
  <c r="H54" i="28" s="1"/>
  <c r="D16" i="1"/>
  <c r="T19" i="28"/>
  <c r="S10" i="28"/>
  <c r="G10" i="11" s="1"/>
  <c r="R60" i="28"/>
  <c r="R66" i="28" s="1"/>
  <c r="R61" i="28" s="1"/>
  <c r="Q53" i="28"/>
  <c r="Q60" i="28" s="1"/>
  <c r="Q66" i="28" s="1"/>
  <c r="Q61" i="28" s="1"/>
  <c r="G53" i="28"/>
  <c r="G54" i="28" s="1"/>
  <c r="T55" i="28"/>
  <c r="G55" i="11"/>
  <c r="T40" i="28"/>
  <c r="G40" i="11"/>
  <c r="T30" i="28"/>
  <c r="G30" i="11"/>
  <c r="T11" i="28"/>
  <c r="G11" i="11"/>
  <c r="N60" i="28"/>
  <c r="S29" i="28"/>
  <c r="J60" i="28"/>
  <c r="Q54" i="28" l="1"/>
  <c r="P60" i="28"/>
  <c r="P66" i="28" s="1"/>
  <c r="P61" i="28" s="1"/>
  <c r="N66" i="28"/>
  <c r="N60" i="11"/>
  <c r="O61" i="11"/>
  <c r="H61" i="11"/>
  <c r="M54" i="28"/>
  <c r="M66" i="28"/>
  <c r="L60" i="28"/>
  <c r="D20" i="1"/>
  <c r="K60" i="28"/>
  <c r="K54" i="28"/>
  <c r="S54" i="28" s="1"/>
  <c r="I60" i="28"/>
  <c r="I66" i="28" s="1"/>
  <c r="J66" i="28"/>
  <c r="H60" i="28"/>
  <c r="H66" i="28" s="1"/>
  <c r="T10" i="28"/>
  <c r="S53" i="28"/>
  <c r="S60" i="28" s="1"/>
  <c r="G60" i="28"/>
  <c r="G66" i="28" s="1"/>
  <c r="G61" i="28" s="1"/>
  <c r="T29" i="28"/>
  <c r="G29" i="11"/>
  <c r="S129" i="28"/>
  <c r="G19" i="26"/>
  <c r="H19" i="26"/>
  <c r="N61" i="28" l="1"/>
  <c r="N61" i="11" s="1"/>
  <c r="N66" i="11"/>
  <c r="M61" i="28"/>
  <c r="L66" i="28"/>
  <c r="K66" i="28"/>
  <c r="J61" i="28"/>
  <c r="I61" i="28"/>
  <c r="T129" i="28"/>
  <c r="H61" i="28"/>
  <c r="T53" i="28"/>
  <c r="G53" i="11"/>
  <c r="G60" i="11"/>
  <c r="T54" i="28"/>
  <c r="G54" i="11"/>
  <c r="S130" i="28"/>
  <c r="S136" i="28"/>
  <c r="S66" i="28"/>
  <c r="T60" i="28"/>
  <c r="G55" i="26"/>
  <c r="L61" i="28" l="1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<sst xmlns="http://schemas.openxmlformats.org/spreadsheetml/2006/main" count="1911" uniqueCount="881">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</sst>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8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3" borderId="0" xfId="0" applyNumberFormat="1" applyFill="1" applyAlignment="1">
      <alignment vertical="center"/>
    </xf>
    <xf numFmtId="9" fontId="27" fillId="3" borderId="80" xfId="1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avgust 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838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.2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23.2%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mil. € ili 1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1,911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123,2 mil. € ili 6.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178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avgust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73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0.9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582083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00683" y="1323976"/>
          <a:ext cx="516890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  <a:r>
            <a:rPr lang="en-US">
              <a:hlinkClick xmlns:r="http://schemas.openxmlformats.org/officeDocument/2006/relationships" r:id=""/>
            </a:rPr>
            <a:t>e2ded470-2a2e-480c-980e-f4b2d3185ac1 (wapi.gov.me) </a:t>
          </a:r>
          <a:endParaRPr lang="sr-Latn-ME"/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2025-08</v>
      </c>
      <c r="O6" s="128" t="str">
        <f>+CONCATENATE(N6,"p")</f>
        <v>2025-08p</v>
      </c>
      <c r="P6" s="116"/>
      <c r="Q6" s="116"/>
      <c r="R6" s="128" t="str">
        <f>+IF(Master!B3-10&gt;=0,CONCATENATE(Master!B4-1,"-",Master!B3),CONCATENATE(Master!B4-1,"-0",Master!B3))</f>
        <v>2024-08</v>
      </c>
      <c r="S6" s="116"/>
      <c r="T6" s="116"/>
    </row>
    <row r="7" spans="1:20">
      <c r="A7" s="129"/>
      <c r="B7" s="566" t="s">
        <v>691</v>
      </c>
      <c r="C7" s="567"/>
      <c r="D7" s="567"/>
      <c r="E7" s="567"/>
      <c r="F7" s="567"/>
      <c r="G7" s="575" t="s">
        <v>690</v>
      </c>
      <c r="H7" s="576"/>
      <c r="I7" s="576"/>
      <c r="J7" s="576"/>
      <c r="K7" s="576"/>
      <c r="L7" s="576"/>
      <c r="M7" s="577"/>
      <c r="N7" s="578" t="str">
        <f>+Master!G243</f>
        <v>Decembar</v>
      </c>
      <c r="O7" s="576"/>
      <c r="P7" s="576"/>
      <c r="Q7" s="576"/>
      <c r="R7" s="576"/>
      <c r="S7" s="576"/>
      <c r="T7" s="579"/>
    </row>
    <row r="8" spans="1:20">
      <c r="A8" s="129"/>
      <c r="B8" s="568"/>
      <c r="C8" s="569"/>
      <c r="D8" s="569"/>
      <c r="E8" s="569"/>
      <c r="F8" s="570"/>
      <c r="G8" s="130" t="str">
        <f>+Master!G26</f>
        <v>Ostvarenje</v>
      </c>
      <c r="H8" s="130" t="str">
        <f>+Master!G25</f>
        <v>Plan</v>
      </c>
      <c r="I8" s="562" t="str">
        <f>+Master!G261</f>
        <v>Odstupanje</v>
      </c>
      <c r="J8" s="562"/>
      <c r="K8" s="130" t="str">
        <f>+CONCATENATE(Master!G246," ",Master!B4-1)</f>
        <v>Jan - Avg 2024</v>
      </c>
      <c r="L8" s="562" t="str">
        <f>+I8</f>
        <v>Odstupanje</v>
      </c>
      <c r="M8" s="574"/>
      <c r="N8" s="131" t="str">
        <f>+G8</f>
        <v>Ostvarenje</v>
      </c>
      <c r="O8" s="130" t="str">
        <f>+H8</f>
        <v>Plan</v>
      </c>
      <c r="P8" s="562" t="str">
        <f>+I8</f>
        <v>Odstupanje</v>
      </c>
      <c r="Q8" s="562"/>
      <c r="R8" s="130" t="str">
        <f>+CONCATENATE(Master!G245," ",Master!B4-1)</f>
        <v>Avgust 2024</v>
      </c>
      <c r="S8" s="562" t="str">
        <f>+P8</f>
        <v>Odstupanje</v>
      </c>
      <c r="T8" s="563"/>
    </row>
    <row r="9" spans="1:20" ht="15.7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8" t="str">
        <f>+VLOOKUP($A10,Master!$D$30:$G$226,4,FALSE)</f>
        <v>Prihodi budžeta</v>
      </c>
      <c r="C10" s="609"/>
      <c r="D10" s="609"/>
      <c r="E10" s="609"/>
      <c r="F10" s="609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6" t="e">
        <f>+VLOOKUP($A18,Master!$D$30:$G$226,4,FALSE)</f>
        <v>#N/A</v>
      </c>
      <c r="C18" s="597"/>
      <c r="D18" s="597"/>
      <c r="E18" s="597"/>
      <c r="F18" s="597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6" t="str">
        <f>+VLOOKUP($A19,Master!$D$30:$G$226,4,FALSE)</f>
        <v>Ostali državni porezi</v>
      </c>
      <c r="C19" s="597"/>
      <c r="D19" s="597"/>
      <c r="E19" s="597"/>
      <c r="F19" s="597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6" t="str">
        <f>+VLOOKUP($A20,Master!$D$30:$G$226,4,FALSE)</f>
        <v>Doprinosi</v>
      </c>
      <c r="C20" s="607"/>
      <c r="D20" s="607"/>
      <c r="E20" s="607"/>
      <c r="F20" s="607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6" t="str">
        <f>+VLOOKUP($A21,Master!$D$30:$G$226,4,FALSE)</f>
        <v>Doprinosi za penzijsko i invalidsko osiguranje</v>
      </c>
      <c r="C21" s="597"/>
      <c r="D21" s="597"/>
      <c r="E21" s="597"/>
      <c r="F21" s="597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6" t="str">
        <f>+VLOOKUP($A22,Master!$D$30:$G$226,4,FALSE)</f>
        <v>Doprinosi za zdravstveno osiguranje</v>
      </c>
      <c r="C22" s="597"/>
      <c r="D22" s="597"/>
      <c r="E22" s="597"/>
      <c r="F22" s="597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6" t="str">
        <f>+VLOOKUP($A23,Master!$D$30:$G$226,4,FALSE)</f>
        <v>Doprinosi za osiguranje od nezaposlenosti</v>
      </c>
      <c r="C23" s="597"/>
      <c r="D23" s="597"/>
      <c r="E23" s="597"/>
      <c r="F23" s="597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6" t="str">
        <f>+VLOOKUP($A24,Master!$D$30:$G$226,4,FALSE)</f>
        <v>Ostali doprinosi</v>
      </c>
      <c r="C24" s="597"/>
      <c r="D24" s="597"/>
      <c r="E24" s="597"/>
      <c r="F24" s="597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8" t="str">
        <f>+VLOOKUP($A25,Master!$D$30:$G$226,4,FALSE)</f>
        <v>Takse</v>
      </c>
      <c r="C25" s="599"/>
      <c r="D25" s="599"/>
      <c r="E25" s="599"/>
      <c r="F25" s="599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8" t="str">
        <f>+VLOOKUP($A26,Master!$D$30:$G$226,4,FALSE)</f>
        <v>Naknade</v>
      </c>
      <c r="C26" s="599"/>
      <c r="D26" s="599"/>
      <c r="E26" s="599"/>
      <c r="F26" s="599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8" t="str">
        <f>+VLOOKUP($A27,Master!$D$30:$G$226,4,FALSE)</f>
        <v>Ostali prihodi</v>
      </c>
      <c r="C27" s="599"/>
      <c r="D27" s="599"/>
      <c r="E27" s="599"/>
      <c r="F27" s="599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8" t="str">
        <f>+VLOOKUP($A28,Master!$D$30:$G$226,4,FALSE)</f>
        <v>Primici od otplate kredita i sredstva prenesena iz prethodne godine</v>
      </c>
      <c r="C28" s="599"/>
      <c r="D28" s="599"/>
      <c r="E28" s="599"/>
      <c r="F28" s="599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600" t="str">
        <f>+VLOOKUP($A29,Master!$D$30:$G$226,4,FALSE)</f>
        <v>Donacije i transferi</v>
      </c>
      <c r="C29" s="601"/>
      <c r="D29" s="601"/>
      <c r="E29" s="601"/>
      <c r="F29" s="601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6" t="str">
        <f>+VLOOKUP($A30,Master!$D$30:$G$226,4,FALSE)</f>
        <v>Izdaci budžeta</v>
      </c>
      <c r="C30" s="587"/>
      <c r="D30" s="587"/>
      <c r="E30" s="587"/>
      <c r="F30" s="587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2" t="str">
        <f>+VLOOKUP($A31,Master!$D$30:$G$226,4,FALSE)</f>
        <v>Tekući izdaci</v>
      </c>
      <c r="C31" s="603"/>
      <c r="D31" s="603"/>
      <c r="E31" s="603"/>
      <c r="F31" s="603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4" t="str">
        <f>+VLOOKUP($A32,Master!$D$30:$G$226,4,FALSE)</f>
        <v>Tekuća budžetska potrošnja</v>
      </c>
      <c r="C32" s="605"/>
      <c r="D32" s="605"/>
      <c r="E32" s="605"/>
      <c r="F32" s="605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6" t="str">
        <f>+VLOOKUP($A33,Master!$D$30:$G$226,4,FALSE)</f>
        <v>Bruto zarade i doprinosi na teret poslodavca</v>
      </c>
      <c r="C33" s="597"/>
      <c r="D33" s="597"/>
      <c r="E33" s="597"/>
      <c r="F33" s="597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6" t="str">
        <f>+VLOOKUP($A34,Master!$D$30:$G$226,4,FALSE)</f>
        <v>Ostala lična primanja</v>
      </c>
      <c r="C34" s="597"/>
      <c r="D34" s="597"/>
      <c r="E34" s="597"/>
      <c r="F34" s="597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6" t="str">
        <f>+VLOOKUP($A35,Master!$D$30:$G$226,4,FALSE)</f>
        <v>Rashodi za materijal</v>
      </c>
      <c r="C35" s="597"/>
      <c r="D35" s="597"/>
      <c r="E35" s="597"/>
      <c r="F35" s="597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6" t="str">
        <f>+VLOOKUP($A36,Master!$D$30:$G$226,4,FALSE)</f>
        <v>Rashodi za usluge</v>
      </c>
      <c r="C36" s="597"/>
      <c r="D36" s="597"/>
      <c r="E36" s="597"/>
      <c r="F36" s="597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6" t="str">
        <f>+VLOOKUP($A37,Master!$D$30:$G$226,4,FALSE)</f>
        <v>Rashodi za tekuće održavanje</v>
      </c>
      <c r="C37" s="597"/>
      <c r="D37" s="597"/>
      <c r="E37" s="597"/>
      <c r="F37" s="597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6" t="str">
        <f>+VLOOKUP($A38,Master!$D$30:$G$226,4,FALSE)</f>
        <v>Kamate</v>
      </c>
      <c r="C38" s="597"/>
      <c r="D38" s="597"/>
      <c r="E38" s="597"/>
      <c r="F38" s="597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6" t="str">
        <f>+VLOOKUP($A39,Master!$D$30:$G$226,4,FALSE)</f>
        <v>Renta</v>
      </c>
      <c r="C39" s="597"/>
      <c r="D39" s="597"/>
      <c r="E39" s="597"/>
      <c r="F39" s="597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6" t="str">
        <f>+VLOOKUP($A40,Master!$D$30:$G$226,4,FALSE)</f>
        <v>Subvencije</v>
      </c>
      <c r="C40" s="597"/>
      <c r="D40" s="597"/>
      <c r="E40" s="597"/>
      <c r="F40" s="597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6" t="str">
        <f>+VLOOKUP($A41,Master!$D$30:$G$226,4,FALSE)</f>
        <v>Ostali izdaci</v>
      </c>
      <c r="C41" s="597"/>
      <c r="D41" s="597"/>
      <c r="E41" s="597"/>
      <c r="F41" s="597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6" t="e">
        <f>+VLOOKUP($A42,Master!$D$30:$G$226,4,FALSE)</f>
        <v>#N/A</v>
      </c>
      <c r="C42" s="597"/>
      <c r="D42" s="597"/>
      <c r="E42" s="597"/>
      <c r="F42" s="597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2" t="str">
        <f>+VLOOKUP($A43,Master!$D$30:$G$226,4,FALSE)</f>
        <v>Transferi za socijalnu zaštitu</v>
      </c>
      <c r="C43" s="593"/>
      <c r="D43" s="593"/>
      <c r="E43" s="593"/>
      <c r="F43" s="593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6" t="str">
        <f>+VLOOKUP($A44,Master!$D$30:$G$226,4,FALSE)</f>
        <v>Prava iz oblasti socijalne zaštite</v>
      </c>
      <c r="C44" s="597"/>
      <c r="D44" s="597"/>
      <c r="E44" s="597"/>
      <c r="F44" s="597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6" t="str">
        <f>+VLOOKUP($A45,Master!$D$30:$G$226,4,FALSE)</f>
        <v>Sredstva za tehnološke viškove</v>
      </c>
      <c r="C45" s="597"/>
      <c r="D45" s="597"/>
      <c r="E45" s="597"/>
      <c r="F45" s="597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6" t="str">
        <f>+VLOOKUP($A46,Master!$D$30:$G$226,4,FALSE)</f>
        <v>Prava iz oblasti penzijskog i invalidskog osiguranja</v>
      </c>
      <c r="C46" s="597"/>
      <c r="D46" s="597"/>
      <c r="E46" s="597"/>
      <c r="F46" s="597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6" t="str">
        <f>+VLOOKUP($A47,Master!$D$30:$G$226,4,FALSE)</f>
        <v>Ostala prava iz oblasti zdravstvene zaštite</v>
      </c>
      <c r="C47" s="597"/>
      <c r="D47" s="597"/>
      <c r="E47" s="597"/>
      <c r="F47" s="597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6" t="str">
        <f>+VLOOKUP($A48,Master!$D$30:$G$226,4,FALSE)</f>
        <v>Ostala prava iz zdravstvenog osiguranja</v>
      </c>
      <c r="C48" s="597"/>
      <c r="D48" s="597"/>
      <c r="E48" s="597"/>
      <c r="F48" s="597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4" t="str">
        <f>+VLOOKUP($A49,Master!$D$30:$G$226,4,FALSE)</f>
        <v xml:space="preserve">Transferi institucijama, pojedincima, nevladinom i javnom sektoru </v>
      </c>
      <c r="C49" s="595"/>
      <c r="D49" s="595"/>
      <c r="E49" s="595"/>
      <c r="F49" s="595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4" t="str">
        <f>+VLOOKUP($A50,Master!$D$30:$G$226,4,FALSE)</f>
        <v>Kapitalni izdaci</v>
      </c>
      <c r="C50" s="595"/>
      <c r="D50" s="595"/>
      <c r="E50" s="595"/>
      <c r="F50" s="595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4" t="str">
        <f>+VLOOKUP($A51,Master!$D$30:$G$226,4,FALSE)</f>
        <v>Pozajmice i krediti</v>
      </c>
      <c r="C51" s="565"/>
      <c r="D51" s="565"/>
      <c r="E51" s="565"/>
      <c r="F51" s="565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4" t="str">
        <f>+VLOOKUP($A52,Master!$D$30:$G$226,4,FALSE)</f>
        <v>Rezerve</v>
      </c>
      <c r="C52" s="565"/>
      <c r="D52" s="565"/>
      <c r="E52" s="565"/>
      <c r="F52" s="565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2" t="str">
        <f>+VLOOKUP($A53,Master!$D$30:$G$226,4,FALSE)</f>
        <v>Otplata garancija</v>
      </c>
      <c r="C53" s="583"/>
      <c r="D53" s="583"/>
      <c r="E53" s="583"/>
      <c r="F53" s="583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2" t="str">
        <f>+VLOOKUP($A54,Master!$D$30:$G$226,4,FALSE)</f>
        <v>Otplata obaveza iz prethodnog perioda</v>
      </c>
      <c r="C54" s="583"/>
      <c r="D54" s="583"/>
      <c r="E54" s="583"/>
      <c r="F54" s="583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2" t="str">
        <f>+VLOOKUP($A55,Master!$D$30:$G$228,4,FALSE)</f>
        <v>Neto povećanje obaveza</v>
      </c>
      <c r="C55" s="583"/>
      <c r="D55" s="583"/>
      <c r="E55" s="583"/>
      <c r="F55" s="583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8" t="str">
        <f>+VLOOKUP($A56,Master!$D$30:$G$226,4,FALSE)</f>
        <v>Suficit / deficit</v>
      </c>
      <c r="C56" s="589"/>
      <c r="D56" s="589"/>
      <c r="E56" s="589"/>
      <c r="F56" s="589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90" t="str">
        <f>+VLOOKUP($A57,Master!$D$30:$G$226,4,FALSE)</f>
        <v>Primarni suficit/deficit</v>
      </c>
      <c r="C57" s="591"/>
      <c r="D57" s="591"/>
      <c r="E57" s="591"/>
      <c r="F57" s="591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2" t="str">
        <f>+VLOOKUP($A58,Master!$D$30:$G$226,4,FALSE)</f>
        <v>Otplata dugova</v>
      </c>
      <c r="C58" s="593"/>
      <c r="D58" s="593"/>
      <c r="E58" s="593"/>
      <c r="F58" s="593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80" t="str">
        <f>+VLOOKUP($A59,Master!$D$30:$G$226,4,FALSE)</f>
        <v>Otplata hartija od vrijednosti i kredita rezidentima</v>
      </c>
      <c r="C59" s="581"/>
      <c r="D59" s="581"/>
      <c r="E59" s="581"/>
      <c r="F59" s="581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4" t="str">
        <f>+VLOOKUP($A60,Master!$D$30:$G$226,4,FALSE)</f>
        <v>Otplata hartija od vrijednosti i kredita nerezidentima</v>
      </c>
      <c r="C60" s="565"/>
      <c r="D60" s="565"/>
      <c r="E60" s="565"/>
      <c r="F60" s="565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4" t="str">
        <f>+VLOOKUP($A62,Master!$D$30:$G$226,4,FALSE)</f>
        <v>Nedostajuća sredstva</v>
      </c>
      <c r="C62" s="585"/>
      <c r="D62" s="585"/>
      <c r="E62" s="585"/>
      <c r="F62" s="585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6" t="str">
        <f>+VLOOKUP($A63,Master!$D$30:$G$226,4,FALSE)</f>
        <v>Finansiranje</v>
      </c>
      <c r="C63" s="587"/>
      <c r="D63" s="587"/>
      <c r="E63" s="587"/>
      <c r="F63" s="587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80" t="str">
        <f>+VLOOKUP($A64,Master!$D$30:$G$226,4,FALSE)</f>
        <v>Pozajmice i krediti od domaćih izvora</v>
      </c>
      <c r="C64" s="581"/>
      <c r="D64" s="581"/>
      <c r="E64" s="581"/>
      <c r="F64" s="581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4" t="str">
        <f>+VLOOKUP($A65,Master!$D$30:$G$226,4,FALSE)</f>
        <v>Pozajmice i krediti od inostranih izvora</v>
      </c>
      <c r="C65" s="565"/>
      <c r="D65" s="565"/>
      <c r="E65" s="565"/>
      <c r="F65" s="565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4" t="str">
        <f>+VLOOKUP($A66,Master!$D$30:$G$226,4,FALSE)</f>
        <v>Primici od prodaje imovine</v>
      </c>
      <c r="C66" s="565"/>
      <c r="D66" s="565"/>
      <c r="E66" s="565"/>
      <c r="F66" s="565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6" t="s">
        <v>553</v>
      </c>
      <c r="C7" s="567"/>
      <c r="D7" s="567"/>
      <c r="E7" s="567"/>
      <c r="F7" s="567"/>
      <c r="G7" s="575">
        <v>2019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">
        <v>419</v>
      </c>
      <c r="T7" s="221">
        <v>4951000000</v>
      </c>
    </row>
    <row r="8" spans="1:20" ht="16.5" customHeight="1">
      <c r="A8" s="129"/>
      <c r="B8" s="568"/>
      <c r="C8" s="569"/>
      <c r="D8" s="569"/>
      <c r="E8" s="569"/>
      <c r="F8" s="570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5" t="s">
        <v>806</v>
      </c>
      <c r="T8" s="579"/>
    </row>
    <row r="9" spans="1:20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6" t="s">
        <v>680</v>
      </c>
      <c r="C10" s="587"/>
      <c r="D10" s="587"/>
      <c r="E10" s="587"/>
      <c r="F10" s="587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10" t="s">
        <v>21</v>
      </c>
      <c r="C11" s="611"/>
      <c r="D11" s="611"/>
      <c r="E11" s="611"/>
      <c r="F11" s="611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6" t="s">
        <v>23</v>
      </c>
      <c r="C12" s="597"/>
      <c r="D12" s="597"/>
      <c r="E12" s="597"/>
      <c r="F12" s="597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6" t="s">
        <v>25</v>
      </c>
      <c r="C13" s="597"/>
      <c r="D13" s="597"/>
      <c r="E13" s="597"/>
      <c r="F13" s="597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6" t="s">
        <v>27</v>
      </c>
      <c r="C14" s="597"/>
      <c r="D14" s="597"/>
      <c r="E14" s="597"/>
      <c r="F14" s="597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6" t="s">
        <v>29</v>
      </c>
      <c r="C15" s="597"/>
      <c r="D15" s="597"/>
      <c r="E15" s="597"/>
      <c r="F15" s="597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6" t="s">
        <v>31</v>
      </c>
      <c r="C16" s="597"/>
      <c r="D16" s="597"/>
      <c r="E16" s="597"/>
      <c r="F16" s="597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6" t="s">
        <v>33</v>
      </c>
      <c r="C17" s="597"/>
      <c r="D17" s="597"/>
      <c r="E17" s="597"/>
      <c r="F17" s="597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6" t="s">
        <v>721</v>
      </c>
      <c r="C18" s="597"/>
      <c r="D18" s="597"/>
      <c r="E18" s="597"/>
      <c r="F18" s="597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6" t="s">
        <v>37</v>
      </c>
      <c r="C19" s="607"/>
      <c r="D19" s="607"/>
      <c r="E19" s="607"/>
      <c r="F19" s="607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6" t="s">
        <v>39</v>
      </c>
      <c r="C20" s="597"/>
      <c r="D20" s="597"/>
      <c r="E20" s="597"/>
      <c r="F20" s="597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6" t="s">
        <v>41</v>
      </c>
      <c r="C21" s="597"/>
      <c r="D21" s="597"/>
      <c r="E21" s="597"/>
      <c r="F21" s="597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6" t="s">
        <v>43</v>
      </c>
      <c r="C22" s="597"/>
      <c r="D22" s="597"/>
      <c r="E22" s="597"/>
      <c r="F22" s="597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6" t="s">
        <v>45</v>
      </c>
      <c r="C23" s="597"/>
      <c r="D23" s="597"/>
      <c r="E23" s="597"/>
      <c r="F23" s="597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8" t="s">
        <v>47</v>
      </c>
      <c r="C24" s="599"/>
      <c r="D24" s="599"/>
      <c r="E24" s="599"/>
      <c r="F24" s="599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8" t="s">
        <v>61</v>
      </c>
      <c r="C25" s="599"/>
      <c r="D25" s="599"/>
      <c r="E25" s="599"/>
      <c r="F25" s="599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8" t="s">
        <v>81</v>
      </c>
      <c r="C26" s="599"/>
      <c r="D26" s="599"/>
      <c r="E26" s="599"/>
      <c r="F26" s="599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8" t="s">
        <v>99</v>
      </c>
      <c r="C27" s="599"/>
      <c r="D27" s="599"/>
      <c r="E27" s="599"/>
      <c r="F27" s="599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600" t="s">
        <v>105</v>
      </c>
      <c r="C28" s="601"/>
      <c r="D28" s="601"/>
      <c r="E28" s="601"/>
      <c r="F28" s="601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6" t="s">
        <v>801</v>
      </c>
      <c r="C29" s="587"/>
      <c r="D29" s="587"/>
      <c r="E29" s="587"/>
      <c r="F29" s="587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2" t="s">
        <v>120</v>
      </c>
      <c r="C30" s="603"/>
      <c r="D30" s="603"/>
      <c r="E30" s="603"/>
      <c r="F30" s="603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6" t="s">
        <v>122</v>
      </c>
      <c r="C31" s="597"/>
      <c r="D31" s="597"/>
      <c r="E31" s="597"/>
      <c r="F31" s="597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6" t="s">
        <v>133</v>
      </c>
      <c r="C32" s="597"/>
      <c r="D32" s="597"/>
      <c r="E32" s="597"/>
      <c r="F32" s="597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6" t="s">
        <v>148</v>
      </c>
      <c r="C33" s="597"/>
      <c r="D33" s="597"/>
      <c r="E33" s="597"/>
      <c r="F33" s="597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6" t="s">
        <v>162</v>
      </c>
      <c r="C34" s="597"/>
      <c r="D34" s="597"/>
      <c r="E34" s="597"/>
      <c r="F34" s="597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4" t="s">
        <v>182</v>
      </c>
      <c r="C35" s="615"/>
      <c r="D35" s="615"/>
      <c r="E35" s="615"/>
      <c r="F35" s="615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6" t="s">
        <v>190</v>
      </c>
      <c r="C36" s="597"/>
      <c r="D36" s="597"/>
      <c r="E36" s="597"/>
      <c r="F36" s="597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6" t="s">
        <v>196</v>
      </c>
      <c r="C37" s="597"/>
      <c r="D37" s="597"/>
      <c r="E37" s="597"/>
      <c r="F37" s="597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6" t="s">
        <v>204</v>
      </c>
      <c r="C38" s="597"/>
      <c r="D38" s="597"/>
      <c r="E38" s="597"/>
      <c r="F38" s="597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6" t="s">
        <v>212</v>
      </c>
      <c r="C39" s="597"/>
      <c r="D39" s="597"/>
      <c r="E39" s="597"/>
      <c r="F39" s="597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2" t="s">
        <v>230</v>
      </c>
      <c r="C40" s="593"/>
      <c r="D40" s="593"/>
      <c r="E40" s="593"/>
      <c r="F40" s="593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6" t="s">
        <v>232</v>
      </c>
      <c r="C41" s="597"/>
      <c r="D41" s="597"/>
      <c r="E41" s="597"/>
      <c r="F41" s="597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6" t="s">
        <v>248</v>
      </c>
      <c r="C42" s="597"/>
      <c r="D42" s="597"/>
      <c r="E42" s="597"/>
      <c r="F42" s="597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6" t="s">
        <v>259</v>
      </c>
      <c r="C43" s="597"/>
      <c r="D43" s="597"/>
      <c r="E43" s="597"/>
      <c r="F43" s="597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6" t="s">
        <v>274</v>
      </c>
      <c r="C44" s="597"/>
      <c r="D44" s="597"/>
      <c r="E44" s="597"/>
      <c r="F44" s="597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6" t="s">
        <v>278</v>
      </c>
      <c r="C45" s="597"/>
      <c r="D45" s="597"/>
      <c r="E45" s="597"/>
      <c r="F45" s="597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4" t="s">
        <v>286</v>
      </c>
      <c r="C46" s="595"/>
      <c r="D46" s="595"/>
      <c r="E46" s="595"/>
      <c r="F46" s="595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4" t="s">
        <v>320</v>
      </c>
      <c r="C47" s="595"/>
      <c r="D47" s="595"/>
      <c r="E47" s="595"/>
      <c r="F47" s="595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8" t="s">
        <v>113</v>
      </c>
      <c r="C48" s="619"/>
      <c r="D48" s="619"/>
      <c r="E48" s="619"/>
      <c r="F48" s="619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3" t="s">
        <v>366</v>
      </c>
      <c r="C49" s="624"/>
      <c r="D49" s="624"/>
      <c r="E49" s="624"/>
      <c r="F49" s="624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2" t="s">
        <v>359</v>
      </c>
      <c r="C50" s="583"/>
      <c r="D50" s="583"/>
      <c r="E50" s="583"/>
      <c r="F50" s="583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5" t="s">
        <v>794</v>
      </c>
      <c r="C51" s="626"/>
      <c r="D51" s="626"/>
      <c r="E51" s="626"/>
      <c r="F51" s="626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7" t="s">
        <v>684</v>
      </c>
      <c r="C52" s="628"/>
      <c r="D52" s="628"/>
      <c r="E52" s="628"/>
      <c r="F52" s="628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8" t="s">
        <v>545</v>
      </c>
      <c r="C53" s="589"/>
      <c r="D53" s="589"/>
      <c r="E53" s="589"/>
      <c r="F53" s="589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90" t="s">
        <v>792</v>
      </c>
      <c r="C54" s="591"/>
      <c r="D54" s="591"/>
      <c r="E54" s="591"/>
      <c r="F54" s="591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2" t="s">
        <v>352</v>
      </c>
      <c r="C55" s="613"/>
      <c r="D55" s="613"/>
      <c r="E55" s="613"/>
      <c r="F55" s="613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80" t="s">
        <v>355</v>
      </c>
      <c r="C56" s="581"/>
      <c r="D56" s="581"/>
      <c r="E56" s="581"/>
      <c r="F56" s="581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4" t="s">
        <v>357</v>
      </c>
      <c r="C57" s="565"/>
      <c r="D57" s="565"/>
      <c r="E57" s="565"/>
      <c r="F57" s="565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7" t="s">
        <v>336</v>
      </c>
      <c r="C58" s="668"/>
      <c r="D58" s="668"/>
      <c r="E58" s="668"/>
      <c r="F58" s="668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4" t="s">
        <v>543</v>
      </c>
      <c r="C59" s="585"/>
      <c r="D59" s="585"/>
      <c r="E59" s="585"/>
      <c r="F59" s="585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6" t="s">
        <v>544</v>
      </c>
      <c r="C60" s="587"/>
      <c r="D60" s="587"/>
      <c r="E60" s="587"/>
      <c r="F60" s="587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80" t="s">
        <v>114</v>
      </c>
      <c r="C61" s="581"/>
      <c r="D61" s="581"/>
      <c r="E61" s="581"/>
      <c r="F61" s="581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4" t="s">
        <v>116</v>
      </c>
      <c r="C62" s="565"/>
      <c r="D62" s="565"/>
      <c r="E62" s="565"/>
      <c r="F62" s="565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4" t="s">
        <v>93</v>
      </c>
      <c r="C63" s="565"/>
      <c r="D63" s="565"/>
      <c r="E63" s="565"/>
      <c r="F63" s="565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5" t="s">
        <v>551</v>
      </c>
      <c r="C100" s="636"/>
      <c r="D100" s="636"/>
      <c r="E100" s="636"/>
      <c r="F100" s="636"/>
      <c r="G100" s="620">
        <v>2019</v>
      </c>
      <c r="H100" s="621"/>
      <c r="I100" s="621"/>
      <c r="J100" s="621"/>
      <c r="K100" s="621"/>
      <c r="L100" s="621"/>
      <c r="M100" s="621"/>
      <c r="N100" s="621"/>
      <c r="O100" s="621"/>
      <c r="P100" s="621"/>
      <c r="Q100" s="621"/>
      <c r="R100" s="622"/>
      <c r="S100" s="96" t="str">
        <f>+S7</f>
        <v>BDP</v>
      </c>
      <c r="T100" s="97">
        <f>+T7</f>
        <v>4951000000</v>
      </c>
    </row>
    <row r="101" spans="1:21" ht="15.75" customHeight="1">
      <c r="B101" s="637"/>
      <c r="C101" s="638"/>
      <c r="D101" s="638"/>
      <c r="E101" s="638"/>
      <c r="F101" s="639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20" t="s">
        <v>806</v>
      </c>
      <c r="T101" s="622">
        <f>+T8</f>
        <v>0</v>
      </c>
    </row>
    <row r="102" spans="1:21" ht="13.5" thickBot="1">
      <c r="B102" s="640"/>
      <c r="C102" s="641"/>
      <c r="D102" s="641"/>
      <c r="E102" s="641"/>
      <c r="F102" s="642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5" t="s">
        <v>680</v>
      </c>
      <c r="C103" s="666"/>
      <c r="D103" s="666"/>
      <c r="E103" s="666"/>
      <c r="F103" s="666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1" t="s">
        <v>21</v>
      </c>
      <c r="C104" s="632"/>
      <c r="D104" s="632"/>
      <c r="E104" s="632"/>
      <c r="F104" s="632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3" t="s">
        <v>23</v>
      </c>
      <c r="C105" s="634"/>
      <c r="D105" s="634"/>
      <c r="E105" s="634"/>
      <c r="F105" s="634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3" t="s">
        <v>25</v>
      </c>
      <c r="C106" s="634"/>
      <c r="D106" s="634"/>
      <c r="E106" s="634"/>
      <c r="F106" s="634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3" t="s">
        <v>27</v>
      </c>
      <c r="C107" s="634"/>
      <c r="D107" s="634"/>
      <c r="E107" s="634"/>
      <c r="F107" s="634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3" t="s">
        <v>29</v>
      </c>
      <c r="C108" s="634"/>
      <c r="D108" s="634"/>
      <c r="E108" s="634"/>
      <c r="F108" s="634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3" t="s">
        <v>31</v>
      </c>
      <c r="C109" s="634"/>
      <c r="D109" s="634"/>
      <c r="E109" s="634"/>
      <c r="F109" s="634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3" t="s">
        <v>33</v>
      </c>
      <c r="C110" s="634"/>
      <c r="D110" s="634"/>
      <c r="E110" s="634"/>
      <c r="F110" s="634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3" t="s">
        <v>721</v>
      </c>
      <c r="C111" s="634"/>
      <c r="D111" s="634"/>
      <c r="E111" s="634"/>
      <c r="F111" s="634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3" t="s">
        <v>37</v>
      </c>
      <c r="C112" s="664"/>
      <c r="D112" s="664"/>
      <c r="E112" s="664"/>
      <c r="F112" s="664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3" t="s">
        <v>39</v>
      </c>
      <c r="C113" s="634"/>
      <c r="D113" s="634"/>
      <c r="E113" s="634"/>
      <c r="F113" s="634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3" t="s">
        <v>41</v>
      </c>
      <c r="C114" s="634"/>
      <c r="D114" s="634"/>
      <c r="E114" s="634"/>
      <c r="F114" s="634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3" t="s">
        <v>43</v>
      </c>
      <c r="C115" s="634"/>
      <c r="D115" s="634"/>
      <c r="E115" s="634"/>
      <c r="F115" s="634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3" t="s">
        <v>45</v>
      </c>
      <c r="C116" s="634"/>
      <c r="D116" s="634"/>
      <c r="E116" s="634"/>
      <c r="F116" s="634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3" t="s">
        <v>47</v>
      </c>
      <c r="C117" s="644"/>
      <c r="D117" s="644"/>
      <c r="E117" s="644"/>
      <c r="F117" s="644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3" t="s">
        <v>61</v>
      </c>
      <c r="C118" s="644"/>
      <c r="D118" s="644"/>
      <c r="E118" s="644"/>
      <c r="F118" s="644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3" t="s">
        <v>81</v>
      </c>
      <c r="C119" s="644"/>
      <c r="D119" s="644"/>
      <c r="E119" s="644"/>
      <c r="F119" s="644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3" t="s">
        <v>99</v>
      </c>
      <c r="C120" s="644"/>
      <c r="D120" s="644"/>
      <c r="E120" s="644"/>
      <c r="F120" s="644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5" t="s">
        <v>105</v>
      </c>
      <c r="C121" s="646"/>
      <c r="D121" s="646"/>
      <c r="E121" s="646"/>
      <c r="F121" s="646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9" t="s">
        <v>808</v>
      </c>
      <c r="C122" s="630"/>
      <c r="D122" s="630"/>
      <c r="E122" s="630"/>
      <c r="F122" s="630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71" t="s">
        <v>773</v>
      </c>
      <c r="C123" s="672"/>
      <c r="D123" s="672"/>
      <c r="E123" s="672"/>
      <c r="F123" s="672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7" t="e">
        <v>#REF!</v>
      </c>
      <c r="C124" s="648"/>
      <c r="D124" s="648"/>
      <c r="E124" s="648"/>
      <c r="F124" s="648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3" t="s">
        <v>122</v>
      </c>
      <c r="C125" s="634"/>
      <c r="D125" s="634"/>
      <c r="E125" s="634"/>
      <c r="F125" s="634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3" t="s">
        <v>133</v>
      </c>
      <c r="C126" s="634"/>
      <c r="D126" s="634"/>
      <c r="E126" s="634"/>
      <c r="F126" s="634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3" t="s">
        <v>148</v>
      </c>
      <c r="C127" s="634"/>
      <c r="D127" s="634"/>
      <c r="E127" s="634"/>
      <c r="F127" s="634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3" t="s">
        <v>162</v>
      </c>
      <c r="C128" s="634"/>
      <c r="D128" s="634"/>
      <c r="E128" s="634"/>
      <c r="F128" s="634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3" t="s">
        <v>182</v>
      </c>
      <c r="C129" s="634"/>
      <c r="D129" s="634"/>
      <c r="E129" s="634"/>
      <c r="F129" s="634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3" t="s">
        <v>190</v>
      </c>
      <c r="C130" s="634"/>
      <c r="D130" s="634"/>
      <c r="E130" s="634"/>
      <c r="F130" s="634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3" t="s">
        <v>196</v>
      </c>
      <c r="C131" s="634"/>
      <c r="D131" s="634"/>
      <c r="E131" s="634"/>
      <c r="F131" s="634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3" t="s">
        <v>204</v>
      </c>
      <c r="C132" s="634"/>
      <c r="D132" s="634"/>
      <c r="E132" s="634"/>
      <c r="F132" s="634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3" t="s">
        <v>212</v>
      </c>
      <c r="C133" s="634"/>
      <c r="D133" s="634"/>
      <c r="E133" s="634"/>
      <c r="F133" s="634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3" t="e">
        <v>#REF!</v>
      </c>
      <c r="C134" s="634"/>
      <c r="D134" s="634"/>
      <c r="E134" s="634"/>
      <c r="F134" s="634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3" t="s">
        <v>230</v>
      </c>
      <c r="C135" s="654"/>
      <c r="D135" s="654"/>
      <c r="E135" s="654"/>
      <c r="F135" s="654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3" t="s">
        <v>232</v>
      </c>
      <c r="C136" s="634"/>
      <c r="D136" s="634"/>
      <c r="E136" s="634"/>
      <c r="F136" s="634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3" t="s">
        <v>248</v>
      </c>
      <c r="C137" s="634"/>
      <c r="D137" s="634"/>
      <c r="E137" s="634"/>
      <c r="F137" s="634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3" t="s">
        <v>259</v>
      </c>
      <c r="C138" s="634"/>
      <c r="D138" s="634"/>
      <c r="E138" s="634"/>
      <c r="F138" s="634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3" t="s">
        <v>274</v>
      </c>
      <c r="C139" s="634"/>
      <c r="D139" s="634"/>
      <c r="E139" s="634"/>
      <c r="F139" s="634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3" t="s">
        <v>278</v>
      </c>
      <c r="C140" s="634"/>
      <c r="D140" s="634"/>
      <c r="E140" s="634"/>
      <c r="F140" s="634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9" t="s">
        <v>286</v>
      </c>
      <c r="C141" s="650"/>
      <c r="D141" s="650"/>
      <c r="E141" s="650"/>
      <c r="F141" s="650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9" t="s">
        <v>809</v>
      </c>
      <c r="C142" s="650"/>
      <c r="D142" s="650"/>
      <c r="E142" s="650"/>
      <c r="F142" s="650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51" t="s">
        <v>113</v>
      </c>
      <c r="C143" s="652"/>
      <c r="D143" s="652"/>
      <c r="E143" s="652"/>
      <c r="F143" s="652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51" t="s">
        <v>366</v>
      </c>
      <c r="C144" s="652"/>
      <c r="D144" s="652"/>
      <c r="E144" s="652"/>
      <c r="F144" s="652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51" t="s">
        <v>359</v>
      </c>
      <c r="C145" s="652"/>
      <c r="D145" s="652"/>
      <c r="E145" s="652"/>
      <c r="F145" s="652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51" t="s">
        <v>365</v>
      </c>
      <c r="C146" s="652"/>
      <c r="D146" s="652"/>
      <c r="E146" s="652"/>
      <c r="F146" s="652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9" t="s">
        <v>685</v>
      </c>
      <c r="C147" s="670"/>
      <c r="D147" s="670"/>
      <c r="E147" s="670"/>
      <c r="F147" s="670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9" t="s">
        <v>545</v>
      </c>
      <c r="C148" s="660"/>
      <c r="D148" s="660"/>
      <c r="E148" s="660"/>
      <c r="F148" s="660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61" t="s">
        <v>810</v>
      </c>
      <c r="C149" s="662"/>
      <c r="D149" s="662"/>
      <c r="E149" s="662"/>
      <c r="F149" s="662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3" t="s">
        <v>352</v>
      </c>
      <c r="C150" s="654"/>
      <c r="D150" s="654"/>
      <c r="E150" s="654"/>
      <c r="F150" s="654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7" t="s">
        <v>355</v>
      </c>
      <c r="C151" s="658"/>
      <c r="D151" s="658"/>
      <c r="E151" s="658"/>
      <c r="F151" s="658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51" t="s">
        <v>357</v>
      </c>
      <c r="C152" s="652"/>
      <c r="D152" s="652"/>
      <c r="E152" s="652"/>
      <c r="F152" s="652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7" t="s">
        <v>336</v>
      </c>
      <c r="C153" s="668"/>
      <c r="D153" s="668"/>
      <c r="E153" s="668"/>
      <c r="F153" s="668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5" t="s">
        <v>543</v>
      </c>
      <c r="C154" s="656"/>
      <c r="D154" s="656"/>
      <c r="E154" s="656"/>
      <c r="F154" s="656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9" t="s">
        <v>544</v>
      </c>
      <c r="C155" s="630"/>
      <c r="D155" s="630"/>
      <c r="E155" s="630"/>
      <c r="F155" s="630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7" t="s">
        <v>114</v>
      </c>
      <c r="C156" s="658"/>
      <c r="D156" s="658"/>
      <c r="E156" s="658"/>
      <c r="F156" s="658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51" t="s">
        <v>116</v>
      </c>
      <c r="C157" s="652"/>
      <c r="D157" s="652"/>
      <c r="E157" s="652"/>
      <c r="F157" s="652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51" t="s">
        <v>93</v>
      </c>
      <c r="C158" s="652"/>
      <c r="D158" s="652"/>
      <c r="E158" s="652"/>
      <c r="F158" s="652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6" t="s">
        <v>553</v>
      </c>
      <c r="C7" s="567"/>
      <c r="D7" s="567"/>
      <c r="E7" s="567"/>
      <c r="F7" s="567"/>
      <c r="G7" s="575">
        <v>2018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">
        <v>419</v>
      </c>
      <c r="T7" s="221">
        <v>4663130000</v>
      </c>
    </row>
    <row r="8" spans="1:20" ht="16.5" customHeight="1">
      <c r="A8" s="129"/>
      <c r="B8" s="568"/>
      <c r="C8" s="569"/>
      <c r="D8" s="569"/>
      <c r="E8" s="569"/>
      <c r="F8" s="570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5" t="s">
        <v>806</v>
      </c>
      <c r="T8" s="579"/>
    </row>
    <row r="9" spans="1:20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8" t="s">
        <v>680</v>
      </c>
      <c r="C10" s="609"/>
      <c r="D10" s="609"/>
      <c r="E10" s="609"/>
      <c r="F10" s="609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10" t="s">
        <v>21</v>
      </c>
      <c r="C11" s="611"/>
      <c r="D11" s="611"/>
      <c r="E11" s="611"/>
      <c r="F11" s="611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6" t="s">
        <v>23</v>
      </c>
      <c r="C12" s="597"/>
      <c r="D12" s="597"/>
      <c r="E12" s="597"/>
      <c r="F12" s="597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6" t="s">
        <v>25</v>
      </c>
      <c r="C13" s="597"/>
      <c r="D13" s="597"/>
      <c r="E13" s="597"/>
      <c r="F13" s="597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6" t="s">
        <v>27</v>
      </c>
      <c r="C14" s="597"/>
      <c r="D14" s="597"/>
      <c r="E14" s="597"/>
      <c r="F14" s="597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6" t="s">
        <v>29</v>
      </c>
      <c r="C15" s="597"/>
      <c r="D15" s="597"/>
      <c r="E15" s="597"/>
      <c r="F15" s="597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6" t="s">
        <v>31</v>
      </c>
      <c r="C16" s="597"/>
      <c r="D16" s="597"/>
      <c r="E16" s="597"/>
      <c r="F16" s="597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6" t="s">
        <v>33</v>
      </c>
      <c r="C17" s="597"/>
      <c r="D17" s="597"/>
      <c r="E17" s="597"/>
      <c r="F17" s="597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6" t="s">
        <v>721</v>
      </c>
      <c r="C18" s="597"/>
      <c r="D18" s="597"/>
      <c r="E18" s="597"/>
      <c r="F18" s="597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6" t="s">
        <v>37</v>
      </c>
      <c r="C19" s="607"/>
      <c r="D19" s="607"/>
      <c r="E19" s="607"/>
      <c r="F19" s="607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6" t="s">
        <v>39</v>
      </c>
      <c r="C20" s="597"/>
      <c r="D20" s="597"/>
      <c r="E20" s="597"/>
      <c r="F20" s="597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6" t="s">
        <v>41</v>
      </c>
      <c r="C21" s="597"/>
      <c r="D21" s="597"/>
      <c r="E21" s="597"/>
      <c r="F21" s="597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6" t="s">
        <v>43</v>
      </c>
      <c r="C22" s="597"/>
      <c r="D22" s="597"/>
      <c r="E22" s="597"/>
      <c r="F22" s="597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6" t="s">
        <v>45</v>
      </c>
      <c r="C23" s="597"/>
      <c r="D23" s="597"/>
      <c r="E23" s="597"/>
      <c r="F23" s="597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8" t="s">
        <v>47</v>
      </c>
      <c r="C24" s="599"/>
      <c r="D24" s="599"/>
      <c r="E24" s="599"/>
      <c r="F24" s="599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8" t="s">
        <v>61</v>
      </c>
      <c r="C25" s="599"/>
      <c r="D25" s="599"/>
      <c r="E25" s="599"/>
      <c r="F25" s="599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8" t="s">
        <v>81</v>
      </c>
      <c r="C26" s="599"/>
      <c r="D26" s="599"/>
      <c r="E26" s="599"/>
      <c r="F26" s="599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8" t="s">
        <v>99</v>
      </c>
      <c r="C27" s="599"/>
      <c r="D27" s="599"/>
      <c r="E27" s="599"/>
      <c r="F27" s="599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600" t="s">
        <v>105</v>
      </c>
      <c r="C28" s="601"/>
      <c r="D28" s="601"/>
      <c r="E28" s="601"/>
      <c r="F28" s="601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6" t="s">
        <v>801</v>
      </c>
      <c r="C29" s="587"/>
      <c r="D29" s="587"/>
      <c r="E29" s="587"/>
      <c r="F29" s="587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2" t="s">
        <v>773</v>
      </c>
      <c r="C30" s="603"/>
      <c r="D30" s="603"/>
      <c r="E30" s="603"/>
      <c r="F30" s="603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4" t="s">
        <v>120</v>
      </c>
      <c r="C31" s="605"/>
      <c r="D31" s="605"/>
      <c r="E31" s="605"/>
      <c r="F31" s="605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6" t="s">
        <v>122</v>
      </c>
      <c r="C32" s="597"/>
      <c r="D32" s="597"/>
      <c r="E32" s="597"/>
      <c r="F32" s="597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6" t="s">
        <v>133</v>
      </c>
      <c r="C33" s="597"/>
      <c r="D33" s="597"/>
      <c r="E33" s="597"/>
      <c r="F33" s="597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6" t="s">
        <v>148</v>
      </c>
      <c r="C34" s="597"/>
      <c r="D34" s="597"/>
      <c r="E34" s="597"/>
      <c r="F34" s="597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6" t="s">
        <v>162</v>
      </c>
      <c r="C35" s="597"/>
      <c r="D35" s="597"/>
      <c r="E35" s="597"/>
      <c r="F35" s="597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6" t="s">
        <v>182</v>
      </c>
      <c r="C36" s="597"/>
      <c r="D36" s="597"/>
      <c r="E36" s="597"/>
      <c r="F36" s="597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6" t="s">
        <v>190</v>
      </c>
      <c r="C37" s="597"/>
      <c r="D37" s="597"/>
      <c r="E37" s="597"/>
      <c r="F37" s="597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6" t="s">
        <v>196</v>
      </c>
      <c r="C38" s="597"/>
      <c r="D38" s="597"/>
      <c r="E38" s="597"/>
      <c r="F38" s="597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6" t="s">
        <v>204</v>
      </c>
      <c r="C39" s="597"/>
      <c r="D39" s="597"/>
      <c r="E39" s="597"/>
      <c r="F39" s="597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6" t="s">
        <v>212</v>
      </c>
      <c r="C40" s="597"/>
      <c r="D40" s="597"/>
      <c r="E40" s="597"/>
      <c r="F40" s="597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6" t="s">
        <v>802</v>
      </c>
      <c r="C41" s="597"/>
      <c r="D41" s="597"/>
      <c r="E41" s="597"/>
      <c r="F41" s="597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2" t="s">
        <v>230</v>
      </c>
      <c r="C42" s="593"/>
      <c r="D42" s="593"/>
      <c r="E42" s="593"/>
      <c r="F42" s="593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6" t="s">
        <v>232</v>
      </c>
      <c r="C43" s="597"/>
      <c r="D43" s="597"/>
      <c r="E43" s="597"/>
      <c r="F43" s="597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6" t="s">
        <v>248</v>
      </c>
      <c r="C44" s="597"/>
      <c r="D44" s="597"/>
      <c r="E44" s="597"/>
      <c r="F44" s="597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6" t="s">
        <v>259</v>
      </c>
      <c r="C45" s="597"/>
      <c r="D45" s="597"/>
      <c r="E45" s="597"/>
      <c r="F45" s="597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6" t="s">
        <v>274</v>
      </c>
      <c r="C46" s="597"/>
      <c r="D46" s="597"/>
      <c r="E46" s="597"/>
      <c r="F46" s="597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5" t="s">
        <v>278</v>
      </c>
      <c r="C47" s="676"/>
      <c r="D47" s="676"/>
      <c r="E47" s="676"/>
      <c r="F47" s="676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4" t="s">
        <v>286</v>
      </c>
      <c r="C48" s="595"/>
      <c r="D48" s="595"/>
      <c r="E48" s="595"/>
      <c r="F48" s="595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4" t="s">
        <v>320</v>
      </c>
      <c r="C49" s="595"/>
      <c r="D49" s="595"/>
      <c r="E49" s="595"/>
      <c r="F49" s="595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8" t="s">
        <v>113</v>
      </c>
      <c r="C50" s="619"/>
      <c r="D50" s="619"/>
      <c r="E50" s="619"/>
      <c r="F50" s="619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4" t="s">
        <v>366</v>
      </c>
      <c r="C51" s="565"/>
      <c r="D51" s="565"/>
      <c r="E51" s="565"/>
      <c r="F51" s="565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2" t="s">
        <v>359</v>
      </c>
      <c r="C52" s="583"/>
      <c r="D52" s="583"/>
      <c r="E52" s="583"/>
      <c r="F52" s="583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5" t="s">
        <v>794</v>
      </c>
      <c r="C53" s="626"/>
      <c r="D53" s="626"/>
      <c r="E53" s="626"/>
      <c r="F53" s="626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7" t="s">
        <v>684</v>
      </c>
      <c r="C54" s="628"/>
      <c r="D54" s="628"/>
      <c r="E54" s="628"/>
      <c r="F54" s="628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8" t="s">
        <v>545</v>
      </c>
      <c r="C55" s="589"/>
      <c r="D55" s="589"/>
      <c r="E55" s="589"/>
      <c r="F55" s="589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90" t="s">
        <v>793</v>
      </c>
      <c r="C57" s="591"/>
      <c r="D57" s="591"/>
      <c r="E57" s="591"/>
      <c r="F57" s="591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2" t="s">
        <v>352</v>
      </c>
      <c r="C58" s="613"/>
      <c r="D58" s="613"/>
      <c r="E58" s="613"/>
      <c r="F58" s="613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80" t="s">
        <v>355</v>
      </c>
      <c r="C59" s="581"/>
      <c r="D59" s="581"/>
      <c r="E59" s="581"/>
      <c r="F59" s="581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4" t="s">
        <v>357</v>
      </c>
      <c r="C60" s="565"/>
      <c r="D60" s="565"/>
      <c r="E60" s="565"/>
      <c r="F60" s="565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3" t="s">
        <v>336</v>
      </c>
      <c r="C61" s="674"/>
      <c r="D61" s="674"/>
      <c r="E61" s="674"/>
      <c r="F61" s="674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4" t="s">
        <v>543</v>
      </c>
      <c r="C62" s="585"/>
      <c r="D62" s="585"/>
      <c r="E62" s="585"/>
      <c r="F62" s="585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6" t="s">
        <v>544</v>
      </c>
      <c r="C63" s="587"/>
      <c r="D63" s="587"/>
      <c r="E63" s="587"/>
      <c r="F63" s="587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80" t="s">
        <v>114</v>
      </c>
      <c r="C64" s="581"/>
      <c r="D64" s="581"/>
      <c r="E64" s="581"/>
      <c r="F64" s="581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4" t="s">
        <v>116</v>
      </c>
      <c r="C65" s="565"/>
      <c r="D65" s="565"/>
      <c r="E65" s="565"/>
      <c r="F65" s="565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4" t="s">
        <v>93</v>
      </c>
      <c r="C66" s="565"/>
      <c r="D66" s="565"/>
      <c r="E66" s="565"/>
      <c r="F66" s="565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5" t="s">
        <v>551</v>
      </c>
      <c r="C103" s="636"/>
      <c r="D103" s="636"/>
      <c r="E103" s="636"/>
      <c r="F103" s="636"/>
      <c r="G103" s="620">
        <v>2018</v>
      </c>
      <c r="H103" s="621"/>
      <c r="I103" s="621"/>
      <c r="J103" s="621"/>
      <c r="K103" s="621"/>
      <c r="L103" s="621"/>
      <c r="M103" s="621"/>
      <c r="N103" s="621"/>
      <c r="O103" s="621"/>
      <c r="P103" s="621"/>
      <c r="Q103" s="621"/>
      <c r="R103" s="622"/>
      <c r="S103" s="96" t="str">
        <f>+S7</f>
        <v>BDP</v>
      </c>
      <c r="T103" s="97">
        <f>+T7</f>
        <v>4663130000</v>
      </c>
    </row>
    <row r="104" spans="1:21" ht="15.75" customHeight="1">
      <c r="B104" s="637"/>
      <c r="C104" s="638"/>
      <c r="D104" s="638"/>
      <c r="E104" s="638"/>
      <c r="F104" s="639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20" t="s">
        <v>806</v>
      </c>
      <c r="T104" s="622">
        <f>+T8</f>
        <v>0</v>
      </c>
    </row>
    <row r="105" spans="1:21" ht="13.5" thickBot="1">
      <c r="B105" s="640"/>
      <c r="C105" s="641"/>
      <c r="D105" s="641"/>
      <c r="E105" s="641"/>
      <c r="F105" s="642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5" t="s">
        <v>680</v>
      </c>
      <c r="C106" s="666"/>
      <c r="D106" s="666"/>
      <c r="E106" s="666"/>
      <c r="F106" s="666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1" t="s">
        <v>21</v>
      </c>
      <c r="C107" s="632"/>
      <c r="D107" s="632"/>
      <c r="E107" s="632"/>
      <c r="F107" s="632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3" t="s">
        <v>23</v>
      </c>
      <c r="C108" s="634"/>
      <c r="D108" s="634"/>
      <c r="E108" s="634"/>
      <c r="F108" s="634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3" t="s">
        <v>25</v>
      </c>
      <c r="C109" s="634"/>
      <c r="D109" s="634"/>
      <c r="E109" s="634"/>
      <c r="F109" s="634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3" t="s">
        <v>27</v>
      </c>
      <c r="C110" s="634"/>
      <c r="D110" s="634"/>
      <c r="E110" s="634"/>
      <c r="F110" s="634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3" t="s">
        <v>29</v>
      </c>
      <c r="C111" s="634"/>
      <c r="D111" s="634"/>
      <c r="E111" s="634"/>
      <c r="F111" s="634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3" t="s">
        <v>31</v>
      </c>
      <c r="C112" s="634"/>
      <c r="D112" s="634"/>
      <c r="E112" s="634"/>
      <c r="F112" s="634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3" t="s">
        <v>33</v>
      </c>
      <c r="C113" s="634"/>
      <c r="D113" s="634"/>
      <c r="E113" s="634"/>
      <c r="F113" s="634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3" t="s">
        <v>721</v>
      </c>
      <c r="C114" s="634"/>
      <c r="D114" s="634"/>
      <c r="E114" s="634"/>
      <c r="F114" s="634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3" t="s">
        <v>37</v>
      </c>
      <c r="C115" s="664"/>
      <c r="D115" s="664"/>
      <c r="E115" s="664"/>
      <c r="F115" s="664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3" t="s">
        <v>39</v>
      </c>
      <c r="C116" s="634"/>
      <c r="D116" s="634"/>
      <c r="E116" s="634"/>
      <c r="F116" s="634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3" t="s">
        <v>41</v>
      </c>
      <c r="C117" s="634"/>
      <c r="D117" s="634"/>
      <c r="E117" s="634"/>
      <c r="F117" s="634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3" t="s">
        <v>43</v>
      </c>
      <c r="C118" s="634"/>
      <c r="D118" s="634"/>
      <c r="E118" s="634"/>
      <c r="F118" s="634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3" t="s">
        <v>45</v>
      </c>
      <c r="C119" s="634"/>
      <c r="D119" s="634"/>
      <c r="E119" s="634"/>
      <c r="F119" s="634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3" t="s">
        <v>47</v>
      </c>
      <c r="C120" s="644"/>
      <c r="D120" s="644"/>
      <c r="E120" s="644"/>
      <c r="F120" s="644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3" t="s">
        <v>61</v>
      </c>
      <c r="C121" s="644"/>
      <c r="D121" s="644"/>
      <c r="E121" s="644"/>
      <c r="F121" s="644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3" t="s">
        <v>81</v>
      </c>
      <c r="C122" s="644"/>
      <c r="D122" s="644"/>
      <c r="E122" s="644"/>
      <c r="F122" s="644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3" t="s">
        <v>99</v>
      </c>
      <c r="C123" s="644"/>
      <c r="D123" s="644"/>
      <c r="E123" s="644"/>
      <c r="F123" s="644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5" t="s">
        <v>105</v>
      </c>
      <c r="C124" s="646"/>
      <c r="D124" s="646"/>
      <c r="E124" s="646"/>
      <c r="F124" s="646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9" t="s">
        <v>808</v>
      </c>
      <c r="C125" s="630"/>
      <c r="D125" s="630"/>
      <c r="E125" s="630"/>
      <c r="F125" s="630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71" t="s">
        <v>773</v>
      </c>
      <c r="C126" s="672"/>
      <c r="D126" s="672"/>
      <c r="E126" s="672"/>
      <c r="F126" s="672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7" t="s">
        <v>120</v>
      </c>
      <c r="C127" s="648"/>
      <c r="D127" s="648"/>
      <c r="E127" s="648"/>
      <c r="F127" s="648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3" t="s">
        <v>122</v>
      </c>
      <c r="C128" s="634"/>
      <c r="D128" s="634"/>
      <c r="E128" s="634"/>
      <c r="F128" s="634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3" t="s">
        <v>133</v>
      </c>
      <c r="C129" s="634"/>
      <c r="D129" s="634"/>
      <c r="E129" s="634"/>
      <c r="F129" s="634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3" t="s">
        <v>148</v>
      </c>
      <c r="C130" s="634"/>
      <c r="D130" s="634"/>
      <c r="E130" s="634"/>
      <c r="F130" s="634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3" t="s">
        <v>162</v>
      </c>
      <c r="C131" s="634"/>
      <c r="D131" s="634"/>
      <c r="E131" s="634"/>
      <c r="F131" s="634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3" t="s">
        <v>182</v>
      </c>
      <c r="C132" s="634"/>
      <c r="D132" s="634"/>
      <c r="E132" s="634"/>
      <c r="F132" s="634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3" t="s">
        <v>190</v>
      </c>
      <c r="C133" s="634"/>
      <c r="D133" s="634"/>
      <c r="E133" s="634"/>
      <c r="F133" s="634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3" t="s">
        <v>196</v>
      </c>
      <c r="C134" s="634"/>
      <c r="D134" s="634"/>
      <c r="E134" s="634"/>
      <c r="F134" s="634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3" t="s">
        <v>204</v>
      </c>
      <c r="C135" s="634"/>
      <c r="D135" s="634"/>
      <c r="E135" s="634"/>
      <c r="F135" s="634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3" t="s">
        <v>212</v>
      </c>
      <c r="C136" s="634"/>
      <c r="D136" s="634"/>
      <c r="E136" s="634"/>
      <c r="F136" s="634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3" t="s">
        <v>802</v>
      </c>
      <c r="C137" s="634"/>
      <c r="D137" s="634"/>
      <c r="E137" s="634"/>
      <c r="F137" s="634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3" t="s">
        <v>230</v>
      </c>
      <c r="C138" s="654"/>
      <c r="D138" s="654"/>
      <c r="E138" s="654"/>
      <c r="F138" s="654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3" t="s">
        <v>232</v>
      </c>
      <c r="C139" s="634"/>
      <c r="D139" s="634"/>
      <c r="E139" s="634"/>
      <c r="F139" s="634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3" t="s">
        <v>248</v>
      </c>
      <c r="C140" s="634"/>
      <c r="D140" s="634"/>
      <c r="E140" s="634"/>
      <c r="F140" s="634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3" t="s">
        <v>259</v>
      </c>
      <c r="C141" s="634"/>
      <c r="D141" s="634"/>
      <c r="E141" s="634"/>
      <c r="F141" s="634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3" t="s">
        <v>274</v>
      </c>
      <c r="C142" s="634"/>
      <c r="D142" s="634"/>
      <c r="E142" s="634"/>
      <c r="F142" s="634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3" t="s">
        <v>278</v>
      </c>
      <c r="C143" s="634"/>
      <c r="D143" s="634"/>
      <c r="E143" s="634"/>
      <c r="F143" s="634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9" t="s">
        <v>286</v>
      </c>
      <c r="C144" s="650"/>
      <c r="D144" s="650"/>
      <c r="E144" s="650"/>
      <c r="F144" s="650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9" t="s">
        <v>809</v>
      </c>
      <c r="C145" s="650"/>
      <c r="D145" s="650"/>
      <c r="E145" s="650"/>
      <c r="F145" s="650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51" t="s">
        <v>113</v>
      </c>
      <c r="C146" s="652"/>
      <c r="D146" s="652"/>
      <c r="E146" s="652"/>
      <c r="F146" s="652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51" t="s">
        <v>366</v>
      </c>
      <c r="C147" s="652"/>
      <c r="D147" s="652"/>
      <c r="E147" s="652"/>
      <c r="F147" s="652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51" t="s">
        <v>359</v>
      </c>
      <c r="C148" s="652"/>
      <c r="D148" s="652"/>
      <c r="E148" s="652"/>
      <c r="F148" s="652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9" t="s">
        <v>545</v>
      </c>
      <c r="C150" s="660"/>
      <c r="D150" s="660"/>
      <c r="E150" s="660"/>
      <c r="F150" s="660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61" t="s">
        <v>810</v>
      </c>
      <c r="C151" s="662"/>
      <c r="D151" s="662"/>
      <c r="E151" s="662"/>
      <c r="F151" s="662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3" t="s">
        <v>352</v>
      </c>
      <c r="C152" s="654"/>
      <c r="D152" s="654"/>
      <c r="E152" s="654"/>
      <c r="F152" s="654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7" t="s">
        <v>355</v>
      </c>
      <c r="C153" s="658"/>
      <c r="D153" s="658"/>
      <c r="E153" s="658"/>
      <c r="F153" s="658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51" t="s">
        <v>357</v>
      </c>
      <c r="C154" s="652"/>
      <c r="D154" s="652"/>
      <c r="E154" s="652"/>
      <c r="F154" s="652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51" t="s">
        <v>365</v>
      </c>
      <c r="C155" s="652"/>
      <c r="D155" s="652"/>
      <c r="E155" s="652"/>
      <c r="F155" s="652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5" t="s">
        <v>543</v>
      </c>
      <c r="C157" s="656"/>
      <c r="D157" s="656"/>
      <c r="E157" s="656"/>
      <c r="F157" s="656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9" t="s">
        <v>544</v>
      </c>
      <c r="C158" s="630"/>
      <c r="D158" s="630"/>
      <c r="E158" s="630"/>
      <c r="F158" s="630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7" t="s">
        <v>114</v>
      </c>
      <c r="C159" s="658"/>
      <c r="D159" s="658"/>
      <c r="E159" s="658"/>
      <c r="F159" s="658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51" t="s">
        <v>116</v>
      </c>
      <c r="C160" s="652"/>
      <c r="D160" s="652"/>
      <c r="E160" s="652"/>
      <c r="F160" s="652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51" t="s">
        <v>93</v>
      </c>
      <c r="C161" s="652"/>
      <c r="D161" s="652"/>
      <c r="E161" s="652"/>
      <c r="F161" s="652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80" t="s">
        <v>554</v>
      </c>
      <c r="F6" s="677">
        <v>2006</v>
      </c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9"/>
      <c r="R6" s="677">
        <v>2007</v>
      </c>
      <c r="S6" s="678"/>
      <c r="T6" s="678"/>
      <c r="U6" s="678"/>
      <c r="V6" s="678"/>
      <c r="W6" s="678"/>
      <c r="X6" s="678"/>
      <c r="Y6" s="678"/>
      <c r="Z6" s="678"/>
      <c r="AA6" s="678"/>
      <c r="AB6" s="678"/>
      <c r="AC6" s="679"/>
      <c r="AD6" s="677">
        <v>2008</v>
      </c>
      <c r="AE6" s="678"/>
      <c r="AF6" s="678"/>
      <c r="AG6" s="678"/>
      <c r="AH6" s="678"/>
      <c r="AI6" s="678"/>
      <c r="AJ6" s="678"/>
      <c r="AK6" s="678"/>
      <c r="AL6" s="678"/>
      <c r="AM6" s="678"/>
      <c r="AN6" s="678"/>
      <c r="AO6" s="679"/>
      <c r="AP6" s="677">
        <v>2009</v>
      </c>
      <c r="AQ6" s="678"/>
      <c r="AR6" s="678"/>
      <c r="AS6" s="678"/>
      <c r="AT6" s="678"/>
      <c r="AU6" s="678"/>
      <c r="AV6" s="678"/>
      <c r="AW6" s="678"/>
      <c r="AX6" s="678"/>
      <c r="AY6" s="678"/>
      <c r="AZ6" s="678"/>
      <c r="BA6" s="679"/>
      <c r="BB6" s="677">
        <v>2010</v>
      </c>
      <c r="BC6" s="678"/>
      <c r="BD6" s="678"/>
      <c r="BE6" s="678"/>
      <c r="BF6" s="678"/>
      <c r="BG6" s="678"/>
      <c r="BH6" s="678"/>
      <c r="BI6" s="678"/>
      <c r="BJ6" s="678"/>
      <c r="BK6" s="678"/>
      <c r="BL6" s="678"/>
      <c r="BM6" s="679"/>
      <c r="BN6" s="677">
        <v>2011</v>
      </c>
      <c r="BO6" s="678"/>
      <c r="BP6" s="678"/>
      <c r="BQ6" s="678"/>
      <c r="BR6" s="678"/>
      <c r="BS6" s="678"/>
      <c r="BT6" s="678"/>
      <c r="BU6" s="678"/>
      <c r="BV6" s="678"/>
      <c r="BW6" s="678"/>
      <c r="BX6" s="678"/>
      <c r="BY6" s="679"/>
      <c r="BZ6" s="678">
        <v>2012</v>
      </c>
      <c r="CA6" s="678"/>
      <c r="CB6" s="678"/>
      <c r="CC6" s="678"/>
      <c r="CD6" s="678"/>
      <c r="CE6" s="678"/>
      <c r="CF6" s="678"/>
      <c r="CG6" s="678"/>
      <c r="CH6" s="678"/>
      <c r="CI6" s="678"/>
      <c r="CJ6" s="678"/>
      <c r="CK6" s="678"/>
      <c r="CL6" s="677">
        <v>2013</v>
      </c>
      <c r="CM6" s="678"/>
      <c r="CN6" s="678"/>
      <c r="CO6" s="678"/>
      <c r="CP6" s="678"/>
      <c r="CQ6" s="678"/>
      <c r="CR6" s="678"/>
      <c r="CS6" s="678"/>
      <c r="CT6" s="678"/>
      <c r="CU6" s="678"/>
      <c r="CV6" s="678"/>
      <c r="CW6" s="679"/>
      <c r="CX6" s="677">
        <v>2014</v>
      </c>
      <c r="CY6" s="678"/>
      <c r="CZ6" s="678"/>
      <c r="DA6" s="678"/>
      <c r="DB6" s="678"/>
      <c r="DC6" s="678"/>
      <c r="DD6" s="678"/>
      <c r="DE6" s="678"/>
      <c r="DF6" s="678"/>
      <c r="DG6" s="678"/>
      <c r="DH6" s="678"/>
      <c r="DI6" s="679"/>
      <c r="DJ6" s="677">
        <v>2015</v>
      </c>
      <c r="DK6" s="678"/>
      <c r="DL6" s="678"/>
      <c r="DM6" s="678"/>
      <c r="DN6" s="678"/>
      <c r="DO6" s="678"/>
      <c r="DP6" s="678"/>
      <c r="DQ6" s="678"/>
      <c r="DR6" s="678"/>
      <c r="DS6" s="678"/>
      <c r="DT6" s="678"/>
      <c r="DU6" s="679"/>
    </row>
    <row r="7" spans="1:321">
      <c r="E7" s="680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80" t="s">
        <v>675</v>
      </c>
      <c r="F214" s="677">
        <v>2006</v>
      </c>
      <c r="G214" s="678"/>
      <c r="H214" s="678"/>
      <c r="I214" s="678"/>
      <c r="J214" s="678"/>
      <c r="K214" s="678"/>
      <c r="L214" s="678"/>
      <c r="M214" s="678"/>
      <c r="N214" s="678"/>
      <c r="O214" s="678"/>
      <c r="P214" s="678"/>
      <c r="Q214" s="679"/>
      <c r="R214" s="677">
        <v>2007</v>
      </c>
      <c r="S214" s="678"/>
      <c r="T214" s="678"/>
      <c r="U214" s="678"/>
      <c r="V214" s="678"/>
      <c r="W214" s="678"/>
      <c r="X214" s="678"/>
      <c r="Y214" s="678"/>
      <c r="Z214" s="678"/>
      <c r="AA214" s="678"/>
      <c r="AB214" s="678"/>
      <c r="AC214" s="679"/>
      <c r="AD214" s="677">
        <v>2008</v>
      </c>
      <c r="AE214" s="678"/>
      <c r="AF214" s="678"/>
      <c r="AG214" s="678"/>
      <c r="AH214" s="678"/>
      <c r="AI214" s="678"/>
      <c r="AJ214" s="678"/>
      <c r="AK214" s="678"/>
      <c r="AL214" s="678"/>
      <c r="AM214" s="678"/>
      <c r="AN214" s="678"/>
      <c r="AO214" s="679"/>
      <c r="AP214" s="677">
        <v>2009</v>
      </c>
      <c r="AQ214" s="678"/>
      <c r="AR214" s="678"/>
      <c r="AS214" s="678"/>
      <c r="AT214" s="678"/>
      <c r="AU214" s="678"/>
      <c r="AV214" s="678"/>
      <c r="AW214" s="678"/>
      <c r="AX214" s="678"/>
      <c r="AY214" s="678"/>
      <c r="AZ214" s="678"/>
      <c r="BA214" s="679"/>
      <c r="BB214" s="677">
        <v>2010</v>
      </c>
      <c r="BC214" s="678"/>
      <c r="BD214" s="678"/>
      <c r="BE214" s="678"/>
      <c r="BF214" s="678"/>
      <c r="BG214" s="678"/>
      <c r="BH214" s="678"/>
      <c r="BI214" s="678"/>
      <c r="BJ214" s="678"/>
      <c r="BK214" s="678"/>
      <c r="BL214" s="678"/>
      <c r="BM214" s="679"/>
      <c r="BN214" s="677">
        <v>2011</v>
      </c>
      <c r="BO214" s="678"/>
      <c r="BP214" s="678"/>
      <c r="BQ214" s="678"/>
      <c r="BR214" s="678"/>
      <c r="BS214" s="678"/>
      <c r="BT214" s="678"/>
      <c r="BU214" s="678"/>
      <c r="BV214" s="678"/>
      <c r="BW214" s="678"/>
      <c r="BX214" s="678"/>
      <c r="BY214" s="679"/>
      <c r="BZ214" s="678">
        <v>2012</v>
      </c>
      <c r="CA214" s="678"/>
      <c r="CB214" s="678"/>
      <c r="CC214" s="678"/>
      <c r="CD214" s="678"/>
      <c r="CE214" s="678"/>
      <c r="CF214" s="678"/>
      <c r="CG214" s="678"/>
      <c r="CH214" s="678"/>
      <c r="CI214" s="678"/>
      <c r="CJ214" s="678"/>
      <c r="CK214" s="678"/>
      <c r="CL214" s="677">
        <v>2013</v>
      </c>
      <c r="CM214" s="678"/>
      <c r="CN214" s="678"/>
      <c r="CO214" s="678"/>
      <c r="CP214" s="678"/>
      <c r="CQ214" s="678"/>
      <c r="CR214" s="678"/>
      <c r="CS214" s="678"/>
      <c r="CT214" s="678"/>
      <c r="CU214" s="678"/>
      <c r="CV214" s="678"/>
      <c r="CW214" s="679"/>
      <c r="CX214" s="677">
        <v>2014</v>
      </c>
      <c r="CY214" s="678"/>
      <c r="CZ214" s="678"/>
      <c r="DA214" s="678"/>
      <c r="DB214" s="678"/>
      <c r="DC214" s="678"/>
      <c r="DD214" s="678"/>
      <c r="DE214" s="678"/>
      <c r="DF214" s="678"/>
      <c r="DG214" s="678"/>
      <c r="DH214" s="678"/>
      <c r="DI214" s="679"/>
      <c r="DJ214" s="677">
        <v>2015</v>
      </c>
      <c r="DK214" s="678"/>
      <c r="DL214" s="678"/>
      <c r="DM214" s="678"/>
      <c r="DN214" s="678"/>
      <c r="DO214" s="678"/>
      <c r="DP214" s="678"/>
      <c r="DQ214" s="678"/>
      <c r="DR214" s="678"/>
      <c r="DS214" s="678"/>
      <c r="DT214" s="678"/>
      <c r="DU214" s="679"/>
    </row>
    <row r="215" spans="1:187">
      <c r="E215" s="680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8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Avgust</v>
      </c>
    </row>
    <row r="246" spans="4:7">
      <c r="D246" s="41"/>
      <c r="G246" s="44" t="str">
        <f>+CONCATENATE("Jan - ",LEFT(G245,3))</f>
        <v>Jan - Avg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Avg</v>
      </c>
      <c r="F254" s="6" t="str">
        <f>+CONCATENATE("Analytics for period ",G246)</f>
        <v>Analytics for period Jan - Avg</v>
      </c>
      <c r="G254" s="44" t="str">
        <f>+IF(ISBLANK(IF($B$2=1,E254,F254)),"",IF($B$2=1,E254,F254))</f>
        <v>Analitika za period Jan - Avg</v>
      </c>
    </row>
    <row r="255" spans="4:7">
      <c r="E255" s="5" t="str">
        <f>+CONCATENATE("Analitika za period ",G245)</f>
        <v>Analitika za period Avgust</v>
      </c>
      <c r="F255" s="6" t="str">
        <f>+CONCATENATE("Analytics for period ",G245)</f>
        <v>Analytics for period Avgust</v>
      </c>
      <c r="G255" s="44" t="str">
        <f>+IF(ISBLANK(IF($B$2=1,E255,F255)),"",IF($B$2=1,E255,F255))</f>
        <v>Analitika za period Avgust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Avgust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Avgust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Avgust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Avgust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Avgust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Avgust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zoomScale="90" zoomScaleNormal="90" workbookViewId="0">
      <pane ySplit="5" topLeftCell="A6" activePane="bottomLeft" state="frozen"/>
      <selection activeCell="DK219" sqref="DK219"/>
      <selection pane="bottomLeft" activeCell="H32" sqref="H32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Avgust</v>
      </c>
      <c r="G11" s="122" t="str">
        <f>+Master!G274</f>
        <v>Prihodi za period Januar - Avgust</v>
      </c>
      <c r="J11" s="121"/>
    </row>
    <row r="12" spans="3:10">
      <c r="C12" s="120"/>
      <c r="D12" s="123">
        <f>+'Analitika 2025'!N10</f>
        <v>258519820.17000002</v>
      </c>
      <c r="E12" s="427">
        <f>+D12/'2025'!T7</f>
        <v>3.2647574688387956E-2</v>
      </c>
      <c r="G12" s="123">
        <f>+'Analitika 2025'!G10</f>
        <v>1838244012.98</v>
      </c>
      <c r="H12" s="427">
        <f>+G12/'2025'!T7</f>
        <v>0.23214548373808172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Avgust</v>
      </c>
      <c r="G15" s="122" t="str">
        <f>+Master!G275</f>
        <v>Rashodi za period Januar - Avgust</v>
      </c>
      <c r="J15" s="121"/>
    </row>
    <row r="16" spans="3:10">
      <c r="C16" s="120"/>
      <c r="D16" s="123">
        <f>+'Analitika 2025'!N29</f>
        <v>235361476.79000002</v>
      </c>
      <c r="E16" s="427">
        <f>+D16/'2025'!T7</f>
        <v>2.9722987534255226E-2</v>
      </c>
      <c r="G16" s="123">
        <f>+'Analitika 2025'!G29</f>
        <v>1911528019.5000002</v>
      </c>
      <c r="H16" s="427">
        <f>+G16/'2025'!T7</f>
        <v>0.2414002676643304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Avgust</v>
      </c>
      <c r="G19" s="122" t="str">
        <f>+Master!G276</f>
        <v>Suficit/Deficit za period Januar - Avgust</v>
      </c>
      <c r="J19" s="121"/>
    </row>
    <row r="20" spans="3:11">
      <c r="C20" s="120"/>
      <c r="D20" s="123">
        <f>+'Analitika 2025'!N53</f>
        <v>23158343.379999995</v>
      </c>
      <c r="E20" s="427">
        <f>+D20/'2025'!T7</f>
        <v>2.9245871541327267E-3</v>
      </c>
      <c r="G20" s="123">
        <f>+'Analitika 2025'!G53</f>
        <v>-73284006.52000019</v>
      </c>
      <c r="H20" s="427">
        <f>+G20/'2025'!T7</f>
        <v>-9.2547839262486827E-3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0dUe7TWV2ZGqugPGx5UVnj82MqVNZWO3+xWDeVvOCeT6XggcromKlBxb5Tl2rO1Dbo/x4pfXhiHai1vu2Y10cA==" saltValue="nzet5dvooXoC1jwNrhAqb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tabSelected="1" zoomScale="90" zoomScaleNormal="90" workbookViewId="0">
      <pane ySplit="5" topLeftCell="A16" activePane="bottomLeft" state="frozen"/>
      <selection activeCell="DK219" sqref="DK219"/>
      <selection pane="bottomLeft" activeCell="I18" sqref="I18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1" width="9.140625" style="4"/>
    <col min="22" max="23" width="15.4257812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2025-08</v>
      </c>
      <c r="O6" s="128" t="str">
        <f>+CONCATENATE(N6,"p")</f>
        <v>2025-08p</v>
      </c>
      <c r="P6" s="116"/>
      <c r="Q6" s="116"/>
      <c r="R6" s="128" t="str">
        <f>+IF(Master!B3-10&gt;=0,CONCATENATE(Master!B4-1,"-",Master!B3),CONCATENATE(Master!B4-1,"-0",Master!B3))</f>
        <v>2024-08</v>
      </c>
      <c r="S6" s="116"/>
      <c r="T6" s="116"/>
    </row>
    <row r="7" spans="1:25" ht="14.25" customHeight="1">
      <c r="A7" s="129"/>
      <c r="B7" s="566" t="str">
        <f>+Master!G254</f>
        <v>Analitika za period Jan - Avg</v>
      </c>
      <c r="C7" s="567"/>
      <c r="D7" s="567"/>
      <c r="E7" s="567"/>
      <c r="F7" s="567"/>
      <c r="G7" s="575" t="str">
        <f>+Master!G246</f>
        <v>Jan - Avg</v>
      </c>
      <c r="H7" s="576"/>
      <c r="I7" s="576"/>
      <c r="J7" s="576"/>
      <c r="K7" s="576"/>
      <c r="L7" s="576"/>
      <c r="M7" s="579"/>
      <c r="N7" s="576" t="str">
        <f>+Master!G245</f>
        <v>Avgust</v>
      </c>
      <c r="O7" s="576"/>
      <c r="P7" s="576"/>
      <c r="Q7" s="576"/>
      <c r="R7" s="576"/>
      <c r="S7" s="576"/>
      <c r="T7" s="579"/>
    </row>
    <row r="8" spans="1:25" ht="29.25" customHeight="1">
      <c r="A8" s="129"/>
      <c r="B8" s="568"/>
      <c r="C8" s="569"/>
      <c r="D8" s="569"/>
      <c r="E8" s="569"/>
      <c r="F8" s="570"/>
      <c r="G8" s="487" t="str">
        <f>+Master!G26</f>
        <v>Ostvarenje</v>
      </c>
      <c r="H8" s="330" t="str">
        <f>+Master!G25</f>
        <v>Plan</v>
      </c>
      <c r="I8" s="562" t="str">
        <f>+Master!G261</f>
        <v>Odstupanje</v>
      </c>
      <c r="J8" s="562"/>
      <c r="K8" s="130" t="str">
        <f>+CONCATENATE(Master!G246," ",Master!B4-1)</f>
        <v>Jan - Avg 2024</v>
      </c>
      <c r="L8" s="562" t="str">
        <f>+I8</f>
        <v>Odstupanje</v>
      </c>
      <c r="M8" s="563"/>
      <c r="N8" s="487" t="str">
        <f>+G8</f>
        <v>Ostvarenje</v>
      </c>
      <c r="O8" s="130" t="str">
        <f>+H8</f>
        <v>Plan</v>
      </c>
      <c r="P8" s="562" t="str">
        <f>+I8</f>
        <v>Odstupanje</v>
      </c>
      <c r="Q8" s="562"/>
      <c r="R8" s="130" t="str">
        <f>+CONCATENATE(Master!G245," ",Master!B4-1)</f>
        <v>Avgust 2024</v>
      </c>
      <c r="S8" s="562" t="str">
        <f>+P8</f>
        <v>Odstupanje</v>
      </c>
      <c r="T8" s="563"/>
    </row>
    <row r="9" spans="1:25" ht="15.75" thickBot="1">
      <c r="A9" s="129"/>
      <c r="B9" s="571"/>
      <c r="C9" s="572"/>
      <c r="D9" s="572"/>
      <c r="E9" s="572"/>
      <c r="F9" s="573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136">
        <f>'2025'!S10</f>
        <v>1838244012.98</v>
      </c>
      <c r="H10" s="136">
        <f>SUM('2025'!G86:N86)</f>
        <v>1866703359.2308331</v>
      </c>
      <c r="I10" s="137">
        <f>+G10-H10</f>
        <v>-28459346.250833035</v>
      </c>
      <c r="J10" s="139">
        <f>IF(+IF(ISERROR(G10/H10),"…",G10/H10-1)&gt;200%,"...",IF(ISERROR(G10/H10),"…",G10/H10-1))</f>
        <v>-1.5245778666493459E-2</v>
      </c>
      <c r="K10" s="136">
        <f>SUM('2024'!G10:N10)</f>
        <v>1827907808.6199999</v>
      </c>
      <c r="L10" s="137">
        <f>+G10-K10</f>
        <v>10336204.360000134</v>
      </c>
      <c r="M10" s="141">
        <f>IF(+IF(ISERROR(G10/K10),"…",G10/K10-1)&gt;200%,"...",IF(ISERROR(G10/K10),"…",G10/K10-1))</f>
        <v>5.6546639339560834E-3</v>
      </c>
      <c r="N10" s="136">
        <f>'2025'!N10</f>
        <v>258519820.17000002</v>
      </c>
      <c r="O10" s="136">
        <f>'2025'!N86</f>
        <v>262837561.07319617</v>
      </c>
      <c r="P10" s="137">
        <f>+N10-O10</f>
        <v>-4317740.903196156</v>
      </c>
      <c r="Q10" s="139">
        <f>IF(+IF(ISERROR(N10/O10),"…",N10/O10-1)&gt;200%,"...",IF(ISERROR(N10/O10),"…",N10/O10-1))</f>
        <v>-1.6427411993804486E-2</v>
      </c>
      <c r="R10" s="136">
        <f>'2024'!N10</f>
        <v>254940204.98000008</v>
      </c>
      <c r="S10" s="137">
        <f>+N10-R10</f>
        <v>3579615.189999938</v>
      </c>
      <c r="T10" s="141">
        <f>IF(+IF(ISERROR(N10/R10),"…",N10/R10-1)&gt;200%,"...",IF(ISERROR(N10/R10),"…",N10/R10-1))</f>
        <v>1.4040999105185303E-2</v>
      </c>
      <c r="U10" s="560"/>
      <c r="W10" s="470"/>
      <c r="Y10" s="470"/>
    </row>
    <row r="11" spans="1:25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262">
        <f>'2025'!S11</f>
        <v>1482377400.5500002</v>
      </c>
      <c r="H11" s="262">
        <f>SUM('2025'!G87:N87)</f>
        <v>1457826868.0530708</v>
      </c>
      <c r="I11" s="143">
        <f t="shared" ref="I11:I57" si="0">+G11-H11</f>
        <v>24550532.496929407</v>
      </c>
      <c r="J11" s="145">
        <f t="shared" ref="J11:J66" si="1">IF(+IF(ISERROR(G11/H11-1),"…",G11/H11-1)&gt;200%,"...",IF(ISERROR(G11/H11-1),"…",G11/H11-1))</f>
        <v>1.6840499400121889E-2</v>
      </c>
      <c r="K11" s="262">
        <f>SUM('2024'!G11:N11)</f>
        <v>1323373451.5799999</v>
      </c>
      <c r="L11" s="143">
        <f>+G11-K11</f>
        <v>159003948.97000027</v>
      </c>
      <c r="M11" s="147">
        <f t="shared" ref="M11:M66" si="2">IF(+IF(ISERROR(G11/K11),"…",G11/K11-1)&gt;200%,"...",IF(ISERROR(G11/K11),"…",G11/K11-1))</f>
        <v>0.12015047512110999</v>
      </c>
      <c r="N11" s="262">
        <f>'2025'!N11</f>
        <v>208690353.47999999</v>
      </c>
      <c r="O11" s="262">
        <f>'2025'!N87</f>
        <v>203488085.79363543</v>
      </c>
      <c r="P11" s="143">
        <f>+N11-O11</f>
        <v>5202267.6863645613</v>
      </c>
      <c r="Q11" s="145">
        <f t="shared" ref="Q11:Q66" si="3">IF(+IF(ISERROR(N11/O11),"…",N11/O11-1)&gt;200%,"...",IF(ISERROR(N11/O11),"…",N11/O11-1))</f>
        <v>2.5565465742502402E-2</v>
      </c>
      <c r="R11" s="262">
        <f>'2024'!N11</f>
        <v>187772027.16000003</v>
      </c>
      <c r="S11" s="143">
        <f t="shared" ref="S11:S57" si="4">+N11-R11</f>
        <v>20918326.319999963</v>
      </c>
      <c r="T11" s="147">
        <f t="shared" ref="T11:T66" si="5">IF(+IF(ISERROR(N11/R11),"…",N11/R11-1)&gt;200%,"...",IF(ISERROR(N11/R11),"…",N11/R11-1))</f>
        <v>0.1114027825996442</v>
      </c>
      <c r="W11" s="470"/>
      <c r="Y11" s="470"/>
    </row>
    <row r="12" spans="1:25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f>'2025'!S12</f>
        <v>66133847.660000004</v>
      </c>
      <c r="H12" s="148">
        <f>SUM('2025'!G88:N88)</f>
        <v>65257163.266139321</v>
      </c>
      <c r="I12" s="149">
        <f t="shared" si="0"/>
        <v>876684.39386068285</v>
      </c>
      <c r="J12" s="151">
        <f t="shared" si="1"/>
        <v>1.3434301308582475E-2</v>
      </c>
      <c r="K12" s="148">
        <f>SUM('2024'!G12:N12)</f>
        <v>53379724.519999996</v>
      </c>
      <c r="L12" s="149">
        <f>+G12-K12</f>
        <v>12754123.140000008</v>
      </c>
      <c r="M12" s="153">
        <f t="shared" si="2"/>
        <v>0.2389319775380514</v>
      </c>
      <c r="N12" s="148">
        <f>'2025'!N12</f>
        <v>9648119.4199999999</v>
      </c>
      <c r="O12" s="148">
        <f>'2025'!N88</f>
        <v>9611353.9295238107</v>
      </c>
      <c r="P12" s="149">
        <f t="shared" ref="P12:P57" si="6">+N12-O12</f>
        <v>36765.490476189181</v>
      </c>
      <c r="Q12" s="151">
        <f t="shared" si="3"/>
        <v>3.8252145062782628E-3</v>
      </c>
      <c r="R12" s="148">
        <f>'2024'!N12</f>
        <v>7506393.2000000039</v>
      </c>
      <c r="S12" s="149">
        <f t="shared" si="4"/>
        <v>2141726.219999996</v>
      </c>
      <c r="T12" s="153">
        <f t="shared" si="5"/>
        <v>0.2853202813836071</v>
      </c>
      <c r="W12" s="470"/>
      <c r="Y12" s="470"/>
    </row>
    <row r="13" spans="1:25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f>'2025'!S13</f>
        <v>218814163.42000002</v>
      </c>
      <c r="H13" s="148">
        <f>SUM('2025'!G89:N89)</f>
        <v>204991928.62160909</v>
      </c>
      <c r="I13" s="149">
        <f t="shared" si="0"/>
        <v>13822234.798390925</v>
      </c>
      <c r="J13" s="151">
        <f t="shared" si="1"/>
        <v>6.7428190423561185E-2</v>
      </c>
      <c r="K13" s="148">
        <f>SUM('2024'!G13:N13)</f>
        <v>200887514.54999998</v>
      </c>
      <c r="L13" s="149">
        <f t="shared" ref="L13:L57" si="7">+G13-K13</f>
        <v>17926648.870000035</v>
      </c>
      <c r="M13" s="153">
        <f t="shared" si="2"/>
        <v>8.923724757189011E-2</v>
      </c>
      <c r="N13" s="148">
        <f>'2025'!N13</f>
        <v>2926004.8</v>
      </c>
      <c r="O13" s="148">
        <f>'2025'!N89</f>
        <v>3232098.1048411233</v>
      </c>
      <c r="P13" s="149">
        <f t="shared" si="6"/>
        <v>-306093.30484112352</v>
      </c>
      <c r="Q13" s="151">
        <f t="shared" si="3"/>
        <v>-9.4704212221358275E-2</v>
      </c>
      <c r="R13" s="148">
        <f>'2024'!N13</f>
        <v>3297843.9299999992</v>
      </c>
      <c r="S13" s="149">
        <f t="shared" si="4"/>
        <v>-371839.12999999942</v>
      </c>
      <c r="T13" s="153">
        <f t="shared" si="5"/>
        <v>-0.11275219139918469</v>
      </c>
      <c r="W13" s="470"/>
      <c r="Y13" s="470"/>
    </row>
    <row r="14" spans="1:25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f>'2025'!S14</f>
        <v>0</v>
      </c>
      <c r="H14" s="148">
        <f>SUM('2025'!G90:N90)</f>
        <v>0</v>
      </c>
      <c r="I14" s="149">
        <f t="shared" si="0"/>
        <v>0</v>
      </c>
      <c r="J14" s="151" t="str">
        <f t="shared" si="1"/>
        <v>...</v>
      </c>
      <c r="K14" s="148">
        <f>SUM('2024'!G14:N14)</f>
        <v>0</v>
      </c>
      <c r="L14" s="149">
        <f t="shared" si="7"/>
        <v>0</v>
      </c>
      <c r="M14" s="153" t="str">
        <f t="shared" si="2"/>
        <v>...</v>
      </c>
      <c r="N14" s="148">
        <f>'2025'!N14</f>
        <v>0</v>
      </c>
      <c r="O14" s="148">
        <f>'2025'!N90</f>
        <v>0</v>
      </c>
      <c r="P14" s="149">
        <f t="shared" si="6"/>
        <v>0</v>
      </c>
      <c r="Q14" s="151" t="str">
        <f t="shared" si="3"/>
        <v>...</v>
      </c>
      <c r="R14" s="148">
        <f>'2024'!N14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f>'2025'!S15</f>
        <v>880326430.03000009</v>
      </c>
      <c r="H15" s="148">
        <f>SUM('2025'!G91:N91)</f>
        <v>876365186.87897933</v>
      </c>
      <c r="I15" s="149">
        <f t="shared" si="0"/>
        <v>3961243.1510207653</v>
      </c>
      <c r="J15" s="151">
        <f t="shared" si="1"/>
        <v>4.5200827352898099E-3</v>
      </c>
      <c r="K15" s="148">
        <f>SUM('2024'!G15:N15)</f>
        <v>781859983.70000005</v>
      </c>
      <c r="L15" s="149">
        <f t="shared" si="7"/>
        <v>98466446.330000043</v>
      </c>
      <c r="M15" s="153">
        <f t="shared" si="2"/>
        <v>0.12593872097664693</v>
      </c>
      <c r="N15" s="148">
        <f>'2025'!N15</f>
        <v>142252517.13</v>
      </c>
      <c r="O15" s="148">
        <f>'2025'!N91</f>
        <v>136238759.85345101</v>
      </c>
      <c r="P15" s="149">
        <f t="shared" si="6"/>
        <v>6013757.2765489817</v>
      </c>
      <c r="Q15" s="151">
        <f t="shared" si="3"/>
        <v>4.4141309587798938E-2</v>
      </c>
      <c r="R15" s="148">
        <f>'2024'!N15</f>
        <v>126480010.05000001</v>
      </c>
      <c r="S15" s="149">
        <f t="shared" si="4"/>
        <v>15772507.079999983</v>
      </c>
      <c r="T15" s="153">
        <f t="shared" si="5"/>
        <v>0.1247035565048169</v>
      </c>
      <c r="W15" s="470"/>
      <c r="Y15" s="470"/>
    </row>
    <row r="16" spans="1:25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f>'2025'!S16</f>
        <v>260569796.84</v>
      </c>
      <c r="H16" s="148">
        <f>SUM('2025'!G92:N92)</f>
        <v>259651764.84999999</v>
      </c>
      <c r="I16" s="149">
        <f t="shared" si="0"/>
        <v>918031.99000000954</v>
      </c>
      <c r="J16" s="151">
        <f t="shared" si="1"/>
        <v>3.5356277687168536E-3</v>
      </c>
      <c r="K16" s="148">
        <f>SUM('2024'!G16:N16)</f>
        <v>238274003.36999995</v>
      </c>
      <c r="L16" s="149">
        <f t="shared" si="7"/>
        <v>22295793.470000058</v>
      </c>
      <c r="M16" s="153">
        <f t="shared" si="2"/>
        <v>9.3572077333918813E-2</v>
      </c>
      <c r="N16" s="148">
        <f>'2025'!N16</f>
        <v>46239123.810000002</v>
      </c>
      <c r="O16" s="148">
        <f>'2025'!N92</f>
        <v>47000000</v>
      </c>
      <c r="P16" s="149">
        <f t="shared" si="6"/>
        <v>-760876.18999999762</v>
      </c>
      <c r="Q16" s="151">
        <f t="shared" si="3"/>
        <v>-1.6188855106382904E-2</v>
      </c>
      <c r="R16" s="148">
        <f>'2024'!N16</f>
        <v>43213446.429999992</v>
      </c>
      <c r="S16" s="149">
        <f t="shared" si="4"/>
        <v>3025677.3800000101</v>
      </c>
      <c r="T16" s="153">
        <f t="shared" si="5"/>
        <v>7.0017034741748807E-2</v>
      </c>
      <c r="W16" s="470"/>
      <c r="Y16" s="470"/>
    </row>
    <row r="17" spans="1:25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f>'2025'!S17</f>
        <v>45874305.290000007</v>
      </c>
      <c r="H17" s="148">
        <f>SUM('2025'!G93:N93)</f>
        <v>41134746.413824283</v>
      </c>
      <c r="I17" s="149">
        <f t="shared" si="0"/>
        <v>4739558.876175724</v>
      </c>
      <c r="J17" s="151">
        <f t="shared" si="1"/>
        <v>0.11522032562191464</v>
      </c>
      <c r="K17" s="148">
        <f>SUM('2024'!G17:N17)</f>
        <v>39190384.579999998</v>
      </c>
      <c r="L17" s="149">
        <f t="shared" si="7"/>
        <v>6683920.7100000083</v>
      </c>
      <c r="M17" s="153">
        <f t="shared" si="2"/>
        <v>0.17055001581717089</v>
      </c>
      <c r="N17" s="148">
        <f>'2025'!N17</f>
        <v>6176594.8899999997</v>
      </c>
      <c r="O17" s="148">
        <f>'2025'!N93</f>
        <v>6198763.4373714123</v>
      </c>
      <c r="P17" s="149" t="s">
        <v>92</v>
      </c>
      <c r="Q17" s="151">
        <f>IF(+IF(ISERROR(N17/O17),"…",N17/O17-1)&gt;200%,"...",IF(ISERROR(N17/O17),"…",N17/O17-1))</f>
        <v>-3.5762854310202874E-3</v>
      </c>
      <c r="R17" s="148">
        <f>'2024'!N17</f>
        <v>5829872.2699999996</v>
      </c>
      <c r="S17" s="149">
        <f t="shared" si="4"/>
        <v>346722.62000000011</v>
      </c>
      <c r="T17" s="153">
        <f t="shared" si="5"/>
        <v>5.9473450522098625E-2</v>
      </c>
      <c r="W17" s="470"/>
      <c r="Y17" s="470"/>
    </row>
    <row r="18" spans="1:25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f>'2025'!S18</f>
        <v>10658857.310000001</v>
      </c>
      <c r="H18" s="148">
        <f>SUM('2025'!G94:N94)</f>
        <v>10426078.022518443</v>
      </c>
      <c r="I18" s="149">
        <f t="shared" si="0"/>
        <v>232779.28748155758</v>
      </c>
      <c r="J18" s="151">
        <f t="shared" si="1"/>
        <v>2.2326639698916129E-2</v>
      </c>
      <c r="K18" s="148">
        <f>SUM('2024'!G18:N18)</f>
        <v>9781840.8599999994</v>
      </c>
      <c r="L18" s="149">
        <f t="shared" si="7"/>
        <v>877016.45000000112</v>
      </c>
      <c r="M18" s="153">
        <f t="shared" si="2"/>
        <v>8.9657607658115257E-2</v>
      </c>
      <c r="N18" s="148">
        <f>'2025'!N18</f>
        <v>1447993.43</v>
      </c>
      <c r="O18" s="148">
        <f>'2025'!N94</f>
        <v>1207110.468448082</v>
      </c>
      <c r="P18" s="149">
        <f t="shared" si="6"/>
        <v>240882.96155191795</v>
      </c>
      <c r="Q18" s="151">
        <f t="shared" si="3"/>
        <v>0.19955336967759751</v>
      </c>
      <c r="R18" s="148">
        <f>'2024'!N18</f>
        <v>1444461.2799999996</v>
      </c>
      <c r="S18" s="149">
        <f t="shared" si="4"/>
        <v>3532.1500000003725</v>
      </c>
      <c r="T18" s="153">
        <f t="shared" si="5"/>
        <v>2.4453061144016353E-3</v>
      </c>
      <c r="W18" s="470"/>
      <c r="Y18" s="470"/>
    </row>
    <row r="19" spans="1:25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154">
        <f>'2025'!S19</f>
        <v>255632116.45999998</v>
      </c>
      <c r="H19" s="154">
        <f>SUM('2025'!G95:N95)</f>
        <v>278296322.48773164</v>
      </c>
      <c r="I19" s="155">
        <f t="shared" si="0"/>
        <v>-22664206.027731657</v>
      </c>
      <c r="J19" s="157">
        <f t="shared" si="1"/>
        <v>-8.1439114340904672E-2</v>
      </c>
      <c r="K19" s="154">
        <f>SUM('2024'!G19:N19)</f>
        <v>375470962.50000018</v>
      </c>
      <c r="L19" s="155">
        <f t="shared" si="7"/>
        <v>-119838846.0400002</v>
      </c>
      <c r="M19" s="159">
        <f t="shared" si="2"/>
        <v>-0.31916941124308684</v>
      </c>
      <c r="N19" s="154">
        <f>'2025'!N19</f>
        <v>36620901.300000004</v>
      </c>
      <c r="O19" s="154">
        <f>'2025'!N95</f>
        <v>37029246.606001906</v>
      </c>
      <c r="P19" s="155">
        <f t="shared" si="6"/>
        <v>-408345.30600190163</v>
      </c>
      <c r="Q19" s="157">
        <f t="shared" si="3"/>
        <v>-1.1027642834507856E-2</v>
      </c>
      <c r="R19" s="154">
        <f>'2024'!N19</f>
        <v>54498567.900000021</v>
      </c>
      <c r="S19" s="155">
        <f t="shared" si="4"/>
        <v>-17877666.600000016</v>
      </c>
      <c r="T19" s="159">
        <f t="shared" si="5"/>
        <v>-0.32803919972363182</v>
      </c>
      <c r="W19" s="470"/>
      <c r="Y19" s="470"/>
    </row>
    <row r="20" spans="1:25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f>'2025'!S20</f>
        <v>215622482.55000001</v>
      </c>
      <c r="H20" s="148">
        <f>SUM('2025'!G96:N96)</f>
        <v>247535788.98535872</v>
      </c>
      <c r="I20" s="149">
        <f t="shared" si="0"/>
        <v>-31913306.435358703</v>
      </c>
      <c r="J20" s="151">
        <f t="shared" si="1"/>
        <v>-0.12892400959946171</v>
      </c>
      <c r="K20" s="148">
        <f>SUM('2024'!G20:N20)</f>
        <v>344314329.56000018</v>
      </c>
      <c r="L20" s="149">
        <f t="shared" si="7"/>
        <v>-128691847.01000017</v>
      </c>
      <c r="M20" s="153">
        <f t="shared" si="2"/>
        <v>-0.37376268125249301</v>
      </c>
      <c r="N20" s="148">
        <f>'2025'!N20</f>
        <v>30908485.440000001</v>
      </c>
      <c r="O20" s="148">
        <f>'2025'!N96</f>
        <v>32533685.049054399</v>
      </c>
      <c r="P20" s="149">
        <f t="shared" si="6"/>
        <v>-1625199.6090543978</v>
      </c>
      <c r="Q20" s="151">
        <f t="shared" si="3"/>
        <v>-4.9954365962660452E-2</v>
      </c>
      <c r="R20" s="148">
        <f>'2024'!N20</f>
        <v>49830258.150000021</v>
      </c>
      <c r="S20" s="149">
        <f t="shared" si="4"/>
        <v>-18921772.71000002</v>
      </c>
      <c r="T20" s="153">
        <f t="shared" si="5"/>
        <v>-0.37972455717651166</v>
      </c>
      <c r="W20" s="470"/>
      <c r="Y20" s="470"/>
    </row>
    <row r="21" spans="1:25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f>'2025'!S21</f>
        <v>4641421.82</v>
      </c>
      <c r="H21" s="148">
        <f>SUM('2025'!G97:N97)</f>
        <v>3899904.5295528639</v>
      </c>
      <c r="I21" s="149">
        <f t="shared" si="0"/>
        <v>741517.29044713639</v>
      </c>
      <c r="J21" s="151">
        <f t="shared" si="1"/>
        <v>0.19013729306141602</v>
      </c>
      <c r="K21" s="148">
        <f>SUM('2024'!G21:N21)</f>
        <v>3290502.9800000004</v>
      </c>
      <c r="L21" s="149">
        <f t="shared" si="7"/>
        <v>1350918.8399999999</v>
      </c>
      <c r="M21" s="153">
        <f t="shared" si="2"/>
        <v>0.41055086356432957</v>
      </c>
      <c r="N21" s="148">
        <f>'2025'!N21</f>
        <v>478138.37</v>
      </c>
      <c r="O21" s="148">
        <f>'2025'!N97</f>
        <v>500023.86869410798</v>
      </c>
      <c r="P21" s="149">
        <f t="shared" si="6"/>
        <v>-21885.498694107984</v>
      </c>
      <c r="Q21" s="151">
        <f t="shared" si="3"/>
        <v>-4.3768907974864213E-2</v>
      </c>
      <c r="R21" s="148">
        <f>'2024'!N21</f>
        <v>463962.05999999994</v>
      </c>
      <c r="S21" s="149">
        <f t="shared" si="4"/>
        <v>14176.310000000056</v>
      </c>
      <c r="T21" s="153">
        <f t="shared" si="5"/>
        <v>3.0554890630496878E-2</v>
      </c>
      <c r="W21" s="470"/>
      <c r="Y21" s="470"/>
    </row>
    <row r="22" spans="1:25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f>'2025'!S22</f>
        <v>20713465.640000001</v>
      </c>
      <c r="H22" s="148">
        <f>SUM('2025'!G98:N98)</f>
        <v>14847983.07508109</v>
      </c>
      <c r="I22" s="149">
        <f t="shared" si="0"/>
        <v>5865482.5649189111</v>
      </c>
      <c r="J22" s="151">
        <f t="shared" si="1"/>
        <v>0.39503564458951801</v>
      </c>
      <c r="K22" s="148">
        <f>SUM('2024'!G22:N22)</f>
        <v>16164863.51</v>
      </c>
      <c r="L22" s="149">
        <f t="shared" si="7"/>
        <v>4548602.1300000008</v>
      </c>
      <c r="M22" s="153">
        <f t="shared" si="2"/>
        <v>0.28138821754889043</v>
      </c>
      <c r="N22" s="148">
        <f>'2025'!N22</f>
        <v>3041994</v>
      </c>
      <c r="O22" s="148">
        <f>'2025'!N98</f>
        <v>2372970.9052161444</v>
      </c>
      <c r="P22" s="149">
        <f t="shared" si="6"/>
        <v>669023.0947838556</v>
      </c>
      <c r="Q22" s="151">
        <f t="shared" si="3"/>
        <v>0.28193480725500808</v>
      </c>
      <c r="R22" s="148">
        <f>'2024'!N22</f>
        <v>2401758.4099999997</v>
      </c>
      <c r="S22" s="149">
        <f t="shared" si="4"/>
        <v>640235.59000000032</v>
      </c>
      <c r="T22" s="153">
        <f t="shared" si="5"/>
        <v>0.26656952145324242</v>
      </c>
      <c r="W22" s="470"/>
      <c r="Y22" s="470"/>
    </row>
    <row r="23" spans="1:25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f>'2025'!S23</f>
        <v>14654746.450000001</v>
      </c>
      <c r="H23" s="148">
        <f>SUM('2025'!G99:N99)</f>
        <v>12012645.897738971</v>
      </c>
      <c r="I23" s="149">
        <f t="shared" si="0"/>
        <v>2642100.5522610303</v>
      </c>
      <c r="J23" s="151">
        <f t="shared" si="1"/>
        <v>0.21994326435263756</v>
      </c>
      <c r="K23" s="148">
        <f>SUM('2024'!G23:N23)</f>
        <v>11701266.450000001</v>
      </c>
      <c r="L23" s="149">
        <f t="shared" si="7"/>
        <v>2953480</v>
      </c>
      <c r="M23" s="153">
        <f t="shared" si="2"/>
        <v>0.25240686660887035</v>
      </c>
      <c r="N23" s="148">
        <f>'2025'!N23</f>
        <v>2192283.4900000002</v>
      </c>
      <c r="O23" s="148">
        <f>'2025'!N99</f>
        <v>1622566.7830372499</v>
      </c>
      <c r="P23" s="149">
        <f t="shared" si="6"/>
        <v>569716.70696275029</v>
      </c>
      <c r="Q23" s="151">
        <f t="shared" si="3"/>
        <v>0.35112065211658594</v>
      </c>
      <c r="R23" s="148">
        <f>'2024'!N23</f>
        <v>1802589.2800000005</v>
      </c>
      <c r="S23" s="149">
        <f t="shared" si="4"/>
        <v>389694.20999999973</v>
      </c>
      <c r="T23" s="153">
        <f t="shared" si="5"/>
        <v>0.216185802458561</v>
      </c>
      <c r="W23" s="470"/>
      <c r="Y23" s="470"/>
    </row>
    <row r="24" spans="1:25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f>'2025'!S24</f>
        <v>10691093.890000001</v>
      </c>
      <c r="H24" s="160">
        <f>SUM('2025'!G100:N100)</f>
        <v>11528261.598016672</v>
      </c>
      <c r="I24" s="161">
        <f t="shared" si="0"/>
        <v>-837167.70801667124</v>
      </c>
      <c r="J24" s="163">
        <f t="shared" si="1"/>
        <v>-7.2618729276641147E-2</v>
      </c>
      <c r="K24" s="160">
        <f>SUM('2024'!G24:N24)</f>
        <v>10506807.609999998</v>
      </c>
      <c r="L24" s="161">
        <f t="shared" si="7"/>
        <v>184286.28000000305</v>
      </c>
      <c r="M24" s="165">
        <f t="shared" si="2"/>
        <v>1.7539702528159618E-2</v>
      </c>
      <c r="N24" s="160">
        <f>'2025'!N24</f>
        <v>1783600.39</v>
      </c>
      <c r="O24" s="160">
        <f>'2025'!N100</f>
        <v>2261701.9443485551</v>
      </c>
      <c r="P24" s="161">
        <f t="shared" si="6"/>
        <v>-478101.55434855516</v>
      </c>
      <c r="Q24" s="163">
        <f t="shared" si="3"/>
        <v>-0.21139016816217315</v>
      </c>
      <c r="R24" s="160">
        <f>'2024'!N24</f>
        <v>1839749.1399999992</v>
      </c>
      <c r="S24" s="161">
        <f t="shared" si="4"/>
        <v>-56148.749999999302</v>
      </c>
      <c r="T24" s="165">
        <f t="shared" si="5"/>
        <v>-3.0519785974733149E-2</v>
      </c>
      <c r="W24" s="470"/>
      <c r="Y24" s="470"/>
    </row>
    <row r="25" spans="1:25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f>'2025'!S25</f>
        <v>44988597.269999996</v>
      </c>
      <c r="H25" s="160">
        <f>SUM('2025'!G101:N101)</f>
        <v>47345335.835965998</v>
      </c>
      <c r="I25" s="161">
        <f t="shared" si="0"/>
        <v>-2356738.5659660026</v>
      </c>
      <c r="J25" s="163">
        <f t="shared" si="1"/>
        <v>-4.9777629081167118E-2</v>
      </c>
      <c r="K25" s="160">
        <f>SUM('2024'!G25:N25)</f>
        <v>33626080.370000012</v>
      </c>
      <c r="L25" s="161">
        <f t="shared" si="7"/>
        <v>11362516.899999984</v>
      </c>
      <c r="M25" s="165">
        <f t="shared" si="2"/>
        <v>0.3379078612485924</v>
      </c>
      <c r="N25" s="160">
        <f>'2025'!N25</f>
        <v>6686850.2999999998</v>
      </c>
      <c r="O25" s="160">
        <f>'2025'!N101</f>
        <v>7038788.2697913963</v>
      </c>
      <c r="P25" s="161">
        <f t="shared" si="6"/>
        <v>-351937.96979139652</v>
      </c>
      <c r="Q25" s="163">
        <f t="shared" si="3"/>
        <v>-4.9999794893933691E-2</v>
      </c>
      <c r="R25" s="160">
        <f>'2024'!N25</f>
        <v>3916013.2500000005</v>
      </c>
      <c r="S25" s="161">
        <f t="shared" si="4"/>
        <v>2770837.0499999993</v>
      </c>
      <c r="T25" s="165">
        <f t="shared" si="5"/>
        <v>0.7075658004987595</v>
      </c>
      <c r="W25" s="470"/>
      <c r="Y25" s="470"/>
    </row>
    <row r="26" spans="1:25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f>'2025'!S26</f>
        <v>34834574.530000001</v>
      </c>
      <c r="H26" s="160">
        <f>SUM('2025'!G102:N102)</f>
        <v>26638024.267159078</v>
      </c>
      <c r="I26" s="161">
        <f t="shared" si="0"/>
        <v>8196550.2628409229</v>
      </c>
      <c r="J26" s="163">
        <f t="shared" si="1"/>
        <v>0.30770113356139972</v>
      </c>
      <c r="K26" s="160">
        <f>SUM('2024'!G26:N26)</f>
        <v>64699362.770000011</v>
      </c>
      <c r="L26" s="161">
        <f t="shared" si="7"/>
        <v>-29864788.24000001</v>
      </c>
      <c r="M26" s="165">
        <f t="shared" si="2"/>
        <v>-0.46159323618327508</v>
      </c>
      <c r="N26" s="160">
        <f>'2025'!N26</f>
        <v>3898113.64</v>
      </c>
      <c r="O26" s="160">
        <f>'2025'!N102</f>
        <v>8616029.0616411306</v>
      </c>
      <c r="P26" s="161">
        <f t="shared" si="6"/>
        <v>-4717915.42164113</v>
      </c>
      <c r="Q26" s="163">
        <f t="shared" si="3"/>
        <v>-0.54757422333281802</v>
      </c>
      <c r="R26" s="160">
        <f>'2024'!N26</f>
        <v>3567908.3100000024</v>
      </c>
      <c r="S26" s="161">
        <f t="shared" si="4"/>
        <v>330205.32999999775</v>
      </c>
      <c r="T26" s="165">
        <f t="shared" si="5"/>
        <v>9.2548715188254693E-2</v>
      </c>
      <c r="W26" s="470"/>
      <c r="Y26" s="470"/>
    </row>
    <row r="27" spans="1:25" hidden="1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f>'2025'!S27</f>
        <v>0</v>
      </c>
      <c r="H27" s="160">
        <f>SUM('2025'!G103:N103)</f>
        <v>0</v>
      </c>
      <c r="I27" s="161">
        <f t="shared" si="0"/>
        <v>0</v>
      </c>
      <c r="J27" s="163" t="str">
        <f t="shared" si="1"/>
        <v>...</v>
      </c>
      <c r="K27" s="160">
        <f>SUM('2024'!G27:N27)</f>
        <v>0</v>
      </c>
      <c r="L27" s="161">
        <f t="shared" si="7"/>
        <v>0</v>
      </c>
      <c r="M27" s="165" t="str">
        <f t="shared" si="2"/>
        <v>...</v>
      </c>
      <c r="N27" s="160">
        <f>'2025'!N27</f>
        <v>0</v>
      </c>
      <c r="O27" s="160">
        <f>'2025'!N103</f>
        <v>0</v>
      </c>
      <c r="P27" s="161">
        <f t="shared" si="6"/>
        <v>0</v>
      </c>
      <c r="Q27" s="163" t="str">
        <f t="shared" si="3"/>
        <v>...</v>
      </c>
      <c r="R27" s="160">
        <f>'2024'!N27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f>'2025'!S28</f>
        <v>9720230.2799999993</v>
      </c>
      <c r="H28" s="160">
        <f>SUM('2025'!G104:N104)</f>
        <v>45068546.988888822</v>
      </c>
      <c r="I28" s="161">
        <f t="shared" si="0"/>
        <v>-35348316.708888821</v>
      </c>
      <c r="J28" s="163">
        <f t="shared" si="1"/>
        <v>-0.78432341556526286</v>
      </c>
      <c r="K28" s="160">
        <f>SUM('2024'!G28:N28)</f>
        <v>20231143.789999995</v>
      </c>
      <c r="L28" s="161">
        <f t="shared" si="7"/>
        <v>-10510913.509999996</v>
      </c>
      <c r="M28" s="165">
        <f t="shared" si="2"/>
        <v>-0.51954123894840842</v>
      </c>
      <c r="N28" s="160">
        <f>'2025'!N28</f>
        <v>840001.06</v>
      </c>
      <c r="O28" s="160">
        <f>'2025'!N104</f>
        <v>4403709.39777778</v>
      </c>
      <c r="P28" s="161">
        <f t="shared" si="6"/>
        <v>-3563708.3377777799</v>
      </c>
      <c r="Q28" s="163">
        <f t="shared" si="3"/>
        <v>-0.80925147776011619</v>
      </c>
      <c r="R28" s="160">
        <f>'2024'!N28</f>
        <v>3345939.2199999997</v>
      </c>
      <c r="S28" s="161">
        <f t="shared" si="4"/>
        <v>-2505938.1599999997</v>
      </c>
      <c r="T28" s="165">
        <f t="shared" si="5"/>
        <v>-0.74894909776633656</v>
      </c>
      <c r="W28" s="470"/>
      <c r="Y28" s="470"/>
    </row>
    <row r="29" spans="1:25" ht="15.7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'2025'!S29</f>
        <v>1911528019.5000002</v>
      </c>
      <c r="H29" s="136">
        <f>SUM('2025'!G105:N105)</f>
        <v>2034708552.48</v>
      </c>
      <c r="I29" s="137">
        <f t="shared" si="0"/>
        <v>-123180532.97999978</v>
      </c>
      <c r="J29" s="139">
        <f t="shared" si="1"/>
        <v>-6.0539644771169576E-2</v>
      </c>
      <c r="K29" s="136">
        <f>SUM('2024'!G29:N29)</f>
        <v>1733439518.4499998</v>
      </c>
      <c r="L29" s="137">
        <f t="shared" si="7"/>
        <v>178088501.05000043</v>
      </c>
      <c r="M29" s="141">
        <f t="shared" si="2"/>
        <v>0.10273707225115247</v>
      </c>
      <c r="N29" s="136">
        <f>'2025'!N29</f>
        <v>235361476.79000002</v>
      </c>
      <c r="O29" s="136">
        <f>'2025'!N105</f>
        <v>316160063.56999999</v>
      </c>
      <c r="P29" s="137">
        <f t="shared" si="6"/>
        <v>-80798586.779999971</v>
      </c>
      <c r="Q29" s="139">
        <f t="shared" si="3"/>
        <v>-0.25556228028183769</v>
      </c>
      <c r="R29" s="136">
        <f>'2024'!N29</f>
        <v>204357182.26999995</v>
      </c>
      <c r="S29" s="137">
        <f t="shared" si="4"/>
        <v>31004294.52000007</v>
      </c>
      <c r="T29" s="141">
        <f t="shared" si="5"/>
        <v>0.15171619698218741</v>
      </c>
      <c r="V29" s="470"/>
      <c r="W29" s="470"/>
      <c r="Y29" s="470"/>
    </row>
    <row r="30" spans="1:25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294">
        <f>'2025'!S30</f>
        <v>733428552.95000005</v>
      </c>
      <c r="H30" s="294">
        <f>SUM('2025'!G106:N106)</f>
        <v>801397095.37</v>
      </c>
      <c r="I30" s="173">
        <f t="shared" si="0"/>
        <v>-67968542.419999957</v>
      </c>
      <c r="J30" s="556">
        <f t="shared" si="1"/>
        <v>-8.4812563974441812E-2</v>
      </c>
      <c r="K30" s="294">
        <f>SUM('2024'!G30:N30)</f>
        <v>680548669.36000001</v>
      </c>
      <c r="L30" s="173">
        <f t="shared" si="7"/>
        <v>52879883.590000033</v>
      </c>
      <c r="M30" s="177">
        <f t="shared" si="2"/>
        <v>7.7701839663766092E-2</v>
      </c>
      <c r="N30" s="294">
        <f>'2025'!N30</f>
        <v>83285058.520000026</v>
      </c>
      <c r="O30" s="294">
        <f>'2025'!N106</f>
        <v>128306150.55999999</v>
      </c>
      <c r="P30" s="173">
        <f t="shared" si="6"/>
        <v>-45021092.039999962</v>
      </c>
      <c r="Q30" s="175">
        <f t="shared" si="3"/>
        <v>-0.35088802714057488</v>
      </c>
      <c r="R30" s="294">
        <f>'2024'!N30</f>
        <v>78686211.889999986</v>
      </c>
      <c r="S30" s="173">
        <f t="shared" si="4"/>
        <v>4598846.6300000399</v>
      </c>
      <c r="T30" s="177">
        <f t="shared" si="5"/>
        <v>5.8445393666034295E-2</v>
      </c>
      <c r="W30" s="470"/>
      <c r="Y30" s="470"/>
    </row>
    <row r="31" spans="1:25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f>'2025'!S31</f>
        <v>455393276.74000001</v>
      </c>
      <c r="H31" s="148">
        <f>SUM('2025'!G107:N107)</f>
        <v>466967737.99000007</v>
      </c>
      <c r="I31" s="149">
        <f t="shared" si="0"/>
        <v>-11574461.25000006</v>
      </c>
      <c r="J31" s="557">
        <f t="shared" si="1"/>
        <v>-2.4786425931309086E-2</v>
      </c>
      <c r="K31" s="148">
        <f>SUM('2024'!G31:N31)</f>
        <v>446541829.02000004</v>
      </c>
      <c r="L31" s="149">
        <f t="shared" si="7"/>
        <v>8851447.719999969</v>
      </c>
      <c r="M31" s="153">
        <f t="shared" si="2"/>
        <v>1.9822214056465226E-2</v>
      </c>
      <c r="N31" s="148">
        <f>'2025'!N31</f>
        <v>55952853.20000001</v>
      </c>
      <c r="O31" s="148">
        <f>'2025'!N107</f>
        <v>67404412.189999983</v>
      </c>
      <c r="P31" s="149">
        <f>+N31-O31</f>
        <v>-11451558.989999972</v>
      </c>
      <c r="Q31" s="151">
        <f>IF(+IF(ISERROR(N31/O31),"…",N31/O31-1)&gt;200%,"...",IF(ISERROR(N31/O31),"…",N31/O31-1))</f>
        <v>-0.16989331436820854</v>
      </c>
      <c r="R31" s="148">
        <f>'2024'!N31</f>
        <v>55237690.129999988</v>
      </c>
      <c r="S31" s="149">
        <f t="shared" si="4"/>
        <v>715163.07000002265</v>
      </c>
      <c r="T31" s="153">
        <f t="shared" si="5"/>
        <v>1.2947012598045093E-2</v>
      </c>
      <c r="W31" s="470"/>
      <c r="Y31" s="470"/>
    </row>
    <row r="32" spans="1:25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f>'2025'!S32</f>
        <v>14918478.370000001</v>
      </c>
      <c r="H32" s="148">
        <f>SUM('2025'!G108:N108)</f>
        <v>16440116.510000002</v>
      </c>
      <c r="I32" s="149">
        <f t="shared" si="0"/>
        <v>-1521638.1400000006</v>
      </c>
      <c r="J32" s="557">
        <f t="shared" si="1"/>
        <v>-9.2556408531194845E-2</v>
      </c>
      <c r="K32" s="148">
        <f>SUM('2024'!G32:N32)</f>
        <v>11994059.18</v>
      </c>
      <c r="L32" s="149">
        <f t="shared" si="7"/>
        <v>2924419.1900000013</v>
      </c>
      <c r="M32" s="153">
        <f t="shared" si="2"/>
        <v>0.2438223078702535</v>
      </c>
      <c r="N32" s="148">
        <f>'2025'!N32</f>
        <v>2785504.12</v>
      </c>
      <c r="O32" s="148">
        <f>'2025'!N108</f>
        <v>3267790.1700000023</v>
      </c>
      <c r="P32" s="149">
        <f t="shared" si="6"/>
        <v>-482286.05000000214</v>
      </c>
      <c r="Q32" s="151">
        <f t="shared" si="3"/>
        <v>-0.14758782691362393</v>
      </c>
      <c r="R32" s="148">
        <f>'2024'!N32</f>
        <v>1253291.9899999998</v>
      </c>
      <c r="S32" s="149">
        <f t="shared" si="4"/>
        <v>1532212.1300000004</v>
      </c>
      <c r="T32" s="153">
        <f t="shared" si="5"/>
        <v>1.2225500060843766</v>
      </c>
      <c r="W32" s="470"/>
      <c r="Y32" s="470"/>
    </row>
    <row r="33" spans="1:25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f>'2025'!S33</f>
        <v>22197983.100000001</v>
      </c>
      <c r="H33" s="148">
        <f>SUM('2025'!G109:N109)</f>
        <v>31103390.130000006</v>
      </c>
      <c r="I33" s="149">
        <f t="shared" si="0"/>
        <v>-8905407.0300000049</v>
      </c>
      <c r="J33" s="557">
        <f t="shared" si="1"/>
        <v>-0.28631628233381912</v>
      </c>
      <c r="K33" s="148">
        <f>SUM('2024'!G33:N33)</f>
        <v>19849972.870000001</v>
      </c>
      <c r="L33" s="149">
        <f t="shared" si="7"/>
        <v>2348010.2300000004</v>
      </c>
      <c r="M33" s="153">
        <f t="shared" si="2"/>
        <v>0.1182878306875994</v>
      </c>
      <c r="N33" s="148">
        <f>'2025'!N33</f>
        <v>3610133.7300000004</v>
      </c>
      <c r="O33" s="148">
        <f>'2025'!N109</f>
        <v>7623708.0300000003</v>
      </c>
      <c r="P33" s="149">
        <f t="shared" si="6"/>
        <v>-4013574.3</v>
      </c>
      <c r="Q33" s="151">
        <f t="shared" si="3"/>
        <v>-0.52645960262462987</v>
      </c>
      <c r="R33" s="148">
        <f>'2024'!N33</f>
        <v>1736766.3599999999</v>
      </c>
      <c r="S33" s="149">
        <f t="shared" si="4"/>
        <v>1873367.3700000006</v>
      </c>
      <c r="T33" s="153">
        <f t="shared" si="5"/>
        <v>1.07865249647051</v>
      </c>
      <c r="W33" s="470"/>
      <c r="Y33" s="470"/>
    </row>
    <row r="34" spans="1:25">
      <c r="A34" s="135">
        <v>414</v>
      </c>
      <c r="B34" s="596" t="str">
        <f>+VLOOKUP($A34,Master!$D$30:$G$226,4,FALSE)</f>
        <v>Rashodi za usluge</v>
      </c>
      <c r="C34" s="597"/>
      <c r="D34" s="597"/>
      <c r="E34" s="597"/>
      <c r="F34" s="597"/>
      <c r="G34" s="148">
        <f>'2025'!S34</f>
        <v>45714068.810000002</v>
      </c>
      <c r="H34" s="148">
        <f>SUM('2025'!G110:N110)</f>
        <v>56162949.020000011</v>
      </c>
      <c r="I34" s="149">
        <f t="shared" si="0"/>
        <v>-10448880.210000008</v>
      </c>
      <c r="J34" s="557">
        <f t="shared" si="1"/>
        <v>-0.18604578983698117</v>
      </c>
      <c r="K34" s="148">
        <f>SUM('2024'!G34:N34)</f>
        <v>37369419.399999999</v>
      </c>
      <c r="L34" s="149">
        <f t="shared" si="7"/>
        <v>8344649.4100000039</v>
      </c>
      <c r="M34" s="153">
        <f t="shared" si="2"/>
        <v>0.22330155362274651</v>
      </c>
      <c r="N34" s="148">
        <f>'2025'!N34</f>
        <v>5633275.0000000009</v>
      </c>
      <c r="O34" s="148">
        <f>'2025'!N110</f>
        <v>10619318.450000003</v>
      </c>
      <c r="P34" s="149">
        <f t="shared" si="6"/>
        <v>-4986043.450000002</v>
      </c>
      <c r="Q34" s="151">
        <f t="shared" si="3"/>
        <v>-0.46952574908420797</v>
      </c>
      <c r="R34" s="148">
        <f>'2024'!N34</f>
        <v>3795777.2799999993</v>
      </c>
      <c r="S34" s="149">
        <f t="shared" si="4"/>
        <v>1837497.7200000016</v>
      </c>
      <c r="T34" s="153">
        <f t="shared" si="5"/>
        <v>0.48408997273939147</v>
      </c>
      <c r="W34" s="470"/>
      <c r="Y34" s="470"/>
    </row>
    <row r="35" spans="1:25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f>'2025'!S35</f>
        <v>17694319.170000002</v>
      </c>
      <c r="H35" s="148">
        <f>SUM('2025'!G111:N111)</f>
        <v>22028301.199999999</v>
      </c>
      <c r="I35" s="149">
        <f t="shared" si="0"/>
        <v>-4333982.0299999975</v>
      </c>
      <c r="J35" s="557">
        <f t="shared" si="1"/>
        <v>-0.19674608544030614</v>
      </c>
      <c r="K35" s="148">
        <f>SUM('2024'!G35:N35)</f>
        <v>16733594.680000002</v>
      </c>
      <c r="L35" s="149">
        <f t="shared" si="7"/>
        <v>960724.49000000022</v>
      </c>
      <c r="M35" s="153">
        <f t="shared" si="2"/>
        <v>5.7412917449725098E-2</v>
      </c>
      <c r="N35" s="148">
        <f>'2025'!N35</f>
        <v>2796550.34</v>
      </c>
      <c r="O35" s="148">
        <f>'2025'!N111</f>
        <v>4897068.71</v>
      </c>
      <c r="P35" s="149">
        <f t="shared" si="6"/>
        <v>-2100518.37</v>
      </c>
      <c r="Q35" s="151">
        <f t="shared" si="3"/>
        <v>-0.42893381620532745</v>
      </c>
      <c r="R35" s="148">
        <f>'2024'!N35</f>
        <v>2811315.1200000006</v>
      </c>
      <c r="S35" s="149">
        <f t="shared" si="4"/>
        <v>-14764.780000000726</v>
      </c>
      <c r="T35" s="153">
        <f t="shared" si="5"/>
        <v>-5.251912137121284E-3</v>
      </c>
      <c r="W35" s="470"/>
      <c r="Y35" s="470"/>
    </row>
    <row r="36" spans="1:25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f>'2025'!S36</f>
        <v>88262940.910000011</v>
      </c>
      <c r="H36" s="148">
        <f>SUM('2025'!G112:N112)</f>
        <v>100044929.59</v>
      </c>
      <c r="I36" s="149">
        <f t="shared" si="0"/>
        <v>-11781988.679999992</v>
      </c>
      <c r="J36" s="557">
        <f t="shared" si="1"/>
        <v>-0.11776697458116525</v>
      </c>
      <c r="K36" s="148">
        <f>SUM('2024'!G36:N36)</f>
        <v>68146090.640000001</v>
      </c>
      <c r="L36" s="149">
        <f t="shared" si="7"/>
        <v>20116850.270000011</v>
      </c>
      <c r="M36" s="153">
        <f t="shared" si="2"/>
        <v>0.29520182421428487</v>
      </c>
      <c r="N36" s="148">
        <f>'2025'!N36</f>
        <v>2716052.29</v>
      </c>
      <c r="O36" s="148">
        <f>'2025'!N112</f>
        <v>14492145.559999999</v>
      </c>
      <c r="P36" s="149">
        <f t="shared" si="6"/>
        <v>-11776093.27</v>
      </c>
      <c r="Q36" s="151">
        <f t="shared" si="3"/>
        <v>-0.81258452871901732</v>
      </c>
      <c r="R36" s="148">
        <f>'2024'!N36</f>
        <v>3976245.2199999993</v>
      </c>
      <c r="S36" s="149">
        <f t="shared" si="4"/>
        <v>-1260192.9299999992</v>
      </c>
      <c r="T36" s="153">
        <f t="shared" si="5"/>
        <v>-0.31693038539509377</v>
      </c>
      <c r="W36" s="470"/>
      <c r="Y36" s="470"/>
    </row>
    <row r="37" spans="1:25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f>'2025'!S37</f>
        <v>7246185.919999999</v>
      </c>
      <c r="H37" s="148">
        <f>SUM('2025'!G113:N113)</f>
        <v>8741244.4299999997</v>
      </c>
      <c r="I37" s="149">
        <f t="shared" si="0"/>
        <v>-1495058.5100000007</v>
      </c>
      <c r="J37" s="557">
        <f t="shared" si="1"/>
        <v>-0.17103497356382713</v>
      </c>
      <c r="K37" s="148">
        <f>SUM('2024'!G37:N37)</f>
        <v>7480717.5300000012</v>
      </c>
      <c r="L37" s="149">
        <f t="shared" si="7"/>
        <v>-234531.6100000022</v>
      </c>
      <c r="M37" s="153">
        <f t="shared" si="2"/>
        <v>-3.1351485878120311E-2</v>
      </c>
      <c r="N37" s="148">
        <f>'2025'!N37</f>
        <v>749974.72999999986</v>
      </c>
      <c r="O37" s="148">
        <f>'2025'!N113</f>
        <v>1361970.1999999997</v>
      </c>
      <c r="P37" s="149">
        <f t="shared" si="6"/>
        <v>-611995.46999999986</v>
      </c>
      <c r="Q37" s="151">
        <f t="shared" si="3"/>
        <v>-0.44934571255670641</v>
      </c>
      <c r="R37" s="148">
        <f>'2024'!N37</f>
        <v>1097677.0900000001</v>
      </c>
      <c r="S37" s="149">
        <f t="shared" si="4"/>
        <v>-347702.36000000022</v>
      </c>
      <c r="T37" s="153">
        <f t="shared" si="5"/>
        <v>-0.31676197232102221</v>
      </c>
      <c r="W37" s="470"/>
      <c r="Y37" s="470"/>
    </row>
    <row r="38" spans="1:25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f>'2025'!S38</f>
        <v>38167089.859999985</v>
      </c>
      <c r="H38" s="148">
        <f>SUM('2025'!G114:N114)</f>
        <v>43799303.269999996</v>
      </c>
      <c r="I38" s="149">
        <f t="shared" si="0"/>
        <v>-5632213.4100000113</v>
      </c>
      <c r="J38" s="557">
        <f t="shared" si="1"/>
        <v>-0.12859139277354104</v>
      </c>
      <c r="K38" s="148">
        <f>SUM('2024'!G38:N38)</f>
        <v>36468426.729999982</v>
      </c>
      <c r="L38" s="149">
        <f t="shared" si="7"/>
        <v>1698663.1300000027</v>
      </c>
      <c r="M38" s="153">
        <f t="shared" si="2"/>
        <v>4.6579007714709908E-2</v>
      </c>
      <c r="N38" s="148">
        <f>'2025'!N38</f>
        <v>4290997.33</v>
      </c>
      <c r="O38" s="148">
        <f>'2025'!N114</f>
        <v>8596998.2300000004</v>
      </c>
      <c r="P38" s="149">
        <f t="shared" si="6"/>
        <v>-4306000.9000000004</v>
      </c>
      <c r="Q38" s="151">
        <f t="shared" si="3"/>
        <v>-0.50087260515813781</v>
      </c>
      <c r="R38" s="148">
        <f>'2024'!N38</f>
        <v>5377628.459999999</v>
      </c>
      <c r="S38" s="149">
        <f t="shared" si="4"/>
        <v>-1086631.129999999</v>
      </c>
      <c r="T38" s="153">
        <f t="shared" si="5"/>
        <v>-0.20206511812457928</v>
      </c>
      <c r="W38" s="470"/>
      <c r="Y38" s="470"/>
    </row>
    <row r="39" spans="1:25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148">
        <f>'2025'!S39</f>
        <v>43834210.069999993</v>
      </c>
      <c r="H39" s="148">
        <f>SUM('2025'!G115:N115)</f>
        <v>56109123.229999982</v>
      </c>
      <c r="I39" s="149">
        <f t="shared" si="0"/>
        <v>-12274913.159999989</v>
      </c>
      <c r="J39" s="557">
        <f t="shared" si="1"/>
        <v>-0.21876857903630431</v>
      </c>
      <c r="K39" s="148">
        <f>SUM('2024'!G39:N39)</f>
        <v>35964559.310000002</v>
      </c>
      <c r="L39" s="149">
        <f t="shared" si="7"/>
        <v>7869650.7599999905</v>
      </c>
      <c r="M39" s="153">
        <f t="shared" si="2"/>
        <v>0.21881682720388063</v>
      </c>
      <c r="N39" s="148">
        <f>'2025'!N39</f>
        <v>4749717.7800000012</v>
      </c>
      <c r="O39" s="148">
        <f>'2025'!N115</f>
        <v>10042739.019999998</v>
      </c>
      <c r="P39" s="149">
        <f t="shared" si="6"/>
        <v>-5293021.2399999965</v>
      </c>
      <c r="Q39" s="151">
        <f t="shared" si="3"/>
        <v>-0.5270495658065999</v>
      </c>
      <c r="R39" s="148">
        <f>'2024'!N39</f>
        <v>3399820.2400000007</v>
      </c>
      <c r="S39" s="149">
        <f t="shared" si="4"/>
        <v>1349897.5400000005</v>
      </c>
      <c r="T39" s="153">
        <f t="shared" si="5"/>
        <v>0.39704968048546019</v>
      </c>
      <c r="W39" s="470"/>
      <c r="Y39" s="470"/>
    </row>
    <row r="40" spans="1:25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'2025'!S40</f>
        <v>730715054.31000006</v>
      </c>
      <c r="H40" s="178">
        <f>SUM('2025'!G116:N116)</f>
        <v>736946307.33000016</v>
      </c>
      <c r="I40" s="179">
        <f t="shared" si="0"/>
        <v>-6231253.0200001001</v>
      </c>
      <c r="J40" s="181">
        <f t="shared" si="1"/>
        <v>-8.455504774257272E-3</v>
      </c>
      <c r="K40" s="178">
        <f>SUM('2024'!G40:N40)</f>
        <v>656792204.77999985</v>
      </c>
      <c r="L40" s="179">
        <f t="shared" si="7"/>
        <v>73922849.53000021</v>
      </c>
      <c r="M40" s="183">
        <f t="shared" si="2"/>
        <v>0.11255135032359509</v>
      </c>
      <c r="N40" s="178">
        <f>'2025'!N40</f>
        <v>94423150.140000015</v>
      </c>
      <c r="O40" s="178">
        <f>'2025'!N116</f>
        <v>95987426.800000012</v>
      </c>
      <c r="P40" s="179">
        <f t="shared" si="6"/>
        <v>-1564276.6599999964</v>
      </c>
      <c r="Q40" s="181">
        <f t="shared" si="3"/>
        <v>-1.6296682931810746E-2</v>
      </c>
      <c r="R40" s="178">
        <f>'2024'!N40</f>
        <v>85093907.649999991</v>
      </c>
      <c r="S40" s="179">
        <f t="shared" si="4"/>
        <v>9329242.4900000244</v>
      </c>
      <c r="T40" s="183">
        <f t="shared" si="5"/>
        <v>0.10963467006794603</v>
      </c>
      <c r="W40" s="470"/>
      <c r="Y40" s="470"/>
    </row>
    <row r="41" spans="1:25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f>'2025'!S41</f>
        <v>164204947.90000004</v>
      </c>
      <c r="H41" s="148">
        <f>SUM('2025'!G117:N117)</f>
        <v>164952094.34</v>
      </c>
      <c r="I41" s="149">
        <f t="shared" si="0"/>
        <v>-747146.43999996781</v>
      </c>
      <c r="J41" s="151">
        <f t="shared" si="1"/>
        <v>-4.5294753182093528E-3</v>
      </c>
      <c r="K41" s="148">
        <f>SUM('2024'!G41:N41)</f>
        <v>139767314.63</v>
      </c>
      <c r="L41" s="149">
        <f t="shared" si="7"/>
        <v>24437633.270000041</v>
      </c>
      <c r="M41" s="153">
        <f t="shared" si="2"/>
        <v>0.17484512265755936</v>
      </c>
      <c r="N41" s="148">
        <f>'2025'!N41</f>
        <v>21307290.510000002</v>
      </c>
      <c r="O41" s="148">
        <f>'2025'!N117</f>
        <v>22053719.830000002</v>
      </c>
      <c r="P41" s="149">
        <f t="shared" si="6"/>
        <v>-746429.3200000003</v>
      </c>
      <c r="Q41" s="151">
        <f t="shared" si="3"/>
        <v>-3.3845960035486677E-2</v>
      </c>
      <c r="R41" s="148">
        <f>'2024'!N41</f>
        <v>18622201.02</v>
      </c>
      <c r="S41" s="149">
        <f t="shared" si="4"/>
        <v>2685089.4900000021</v>
      </c>
      <c r="T41" s="153">
        <f t="shared" si="5"/>
        <v>0.14418754727844751</v>
      </c>
      <c r="W41" s="470"/>
      <c r="Y41" s="470"/>
    </row>
    <row r="42" spans="1:25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f>'2025'!S42</f>
        <v>14808637.550000001</v>
      </c>
      <c r="H42" s="148">
        <f>SUM('2025'!G118:N118)</f>
        <v>17283308.950000003</v>
      </c>
      <c r="I42" s="149">
        <f t="shared" si="0"/>
        <v>-2474671.4000000022</v>
      </c>
      <c r="J42" s="151">
        <f t="shared" si="1"/>
        <v>-0.14318273237833901</v>
      </c>
      <c r="K42" s="148">
        <f>SUM('2024'!G42:N42)</f>
        <v>13333021.58</v>
      </c>
      <c r="L42" s="149">
        <f t="shared" si="7"/>
        <v>1475615.9700000007</v>
      </c>
      <c r="M42" s="153">
        <f t="shared" si="2"/>
        <v>0.1106737854691151</v>
      </c>
      <c r="N42" s="148">
        <f>'2025'!N42</f>
        <v>2056772.54</v>
      </c>
      <c r="O42" s="148">
        <f>'2025'!N118</f>
        <v>2344604.0299999998</v>
      </c>
      <c r="P42" s="149">
        <f t="shared" si="6"/>
        <v>-287831.48999999976</v>
      </c>
      <c r="Q42" s="151">
        <f t="shared" si="3"/>
        <v>-0.12276336913060748</v>
      </c>
      <c r="R42" s="148">
        <f>'2024'!N42</f>
        <v>1848788.09</v>
      </c>
      <c r="S42" s="149">
        <f t="shared" si="4"/>
        <v>207984.44999999995</v>
      </c>
      <c r="T42" s="153">
        <f t="shared" si="5"/>
        <v>0.11249772276497083</v>
      </c>
      <c r="W42" s="470"/>
      <c r="Y42" s="470"/>
    </row>
    <row r="43" spans="1:25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f>'2025'!S43</f>
        <v>525874556.27000004</v>
      </c>
      <c r="H43" s="148">
        <f>SUM('2025'!G119:N119)</f>
        <v>527096396.37</v>
      </c>
      <c r="I43" s="149">
        <f t="shared" si="0"/>
        <v>-1221840.0999999642</v>
      </c>
      <c r="J43" s="151">
        <f t="shared" si="1"/>
        <v>-2.3180581548546408E-3</v>
      </c>
      <c r="K43" s="148">
        <f>SUM('2024'!G43:N43)</f>
        <v>479167089.18999994</v>
      </c>
      <c r="L43" s="149">
        <f t="shared" si="7"/>
        <v>46707467.080000103</v>
      </c>
      <c r="M43" s="153">
        <f t="shared" si="2"/>
        <v>9.7476367083048077E-2</v>
      </c>
      <c r="N43" s="148">
        <f>'2025'!N43</f>
        <v>66941612.710000023</v>
      </c>
      <c r="O43" s="148">
        <f>'2025'!N119</f>
        <v>67927729.870000005</v>
      </c>
      <c r="P43" s="149">
        <f t="shared" si="6"/>
        <v>-986117.15999998152</v>
      </c>
      <c r="Q43" s="151">
        <f t="shared" si="3"/>
        <v>-1.4517151712374443E-2</v>
      </c>
      <c r="R43" s="148">
        <f>'2024'!N43</f>
        <v>62111987.969999999</v>
      </c>
      <c r="S43" s="149">
        <f t="shared" si="4"/>
        <v>4829624.7400000244</v>
      </c>
      <c r="T43" s="153">
        <f t="shared" si="5"/>
        <v>7.7756724552637602E-2</v>
      </c>
      <c r="W43" s="470"/>
      <c r="Y43" s="470"/>
    </row>
    <row r="44" spans="1:25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f>'2025'!S44</f>
        <v>15541311.16</v>
      </c>
      <c r="H44" s="148">
        <f>SUM('2025'!G120:N120)</f>
        <v>16633522.379999999</v>
      </c>
      <c r="I44" s="149">
        <f t="shared" si="0"/>
        <v>-1092211.2199999988</v>
      </c>
      <c r="J44" s="151">
        <f t="shared" si="1"/>
        <v>-6.5663254904641533E-2</v>
      </c>
      <c r="K44" s="148">
        <f>SUM('2024'!G44:N44)</f>
        <v>14726656.959999997</v>
      </c>
      <c r="L44" s="149">
        <f t="shared" si="7"/>
        <v>814654.20000000298</v>
      </c>
      <c r="M44" s="153">
        <f t="shared" si="2"/>
        <v>5.5318338860797622E-2</v>
      </c>
      <c r="N44" s="148">
        <f>'2025'!N44</f>
        <v>2543110.19</v>
      </c>
      <c r="O44" s="148">
        <f>'2025'!N120</f>
        <v>2231619.4</v>
      </c>
      <c r="P44" s="149">
        <f t="shared" si="6"/>
        <v>311490.79000000004</v>
      </c>
      <c r="Q44" s="151">
        <f t="shared" si="3"/>
        <v>0.13958060680060402</v>
      </c>
      <c r="R44" s="148">
        <f>'2024'!N44</f>
        <v>1831545.69</v>
      </c>
      <c r="S44" s="149">
        <f t="shared" si="4"/>
        <v>711564.5</v>
      </c>
      <c r="T44" s="153">
        <f t="shared" si="5"/>
        <v>0.38850491357384587</v>
      </c>
      <c r="W44" s="470"/>
      <c r="Y44" s="470"/>
    </row>
    <row r="45" spans="1:25">
      <c r="A45" s="135">
        <v>425</v>
      </c>
      <c r="B45" s="596" t="str">
        <f>+VLOOKUP($A45,Master!$D$30:$G$226,4,FALSE)</f>
        <v>Ostala prava iz zdravstvenog osiguranja</v>
      </c>
      <c r="C45" s="597"/>
      <c r="D45" s="597"/>
      <c r="E45" s="597"/>
      <c r="F45" s="597"/>
      <c r="G45" s="148">
        <f>'2025'!S45</f>
        <v>10285601.43</v>
      </c>
      <c r="H45" s="148">
        <f>SUM('2025'!G121:N121)</f>
        <v>10980985.290000001</v>
      </c>
      <c r="I45" s="149">
        <f t="shared" si="0"/>
        <v>-695383.86000000127</v>
      </c>
      <c r="J45" s="151">
        <f t="shared" si="1"/>
        <v>-6.3326180814873068E-2</v>
      </c>
      <c r="K45" s="148">
        <f>SUM('2024'!G45:N45)</f>
        <v>9798122.4199999981</v>
      </c>
      <c r="L45" s="149">
        <f t="shared" si="7"/>
        <v>487479.01000000164</v>
      </c>
      <c r="M45" s="153">
        <f t="shared" si="2"/>
        <v>4.9752288153182889E-2</v>
      </c>
      <c r="N45" s="148">
        <f>'2025'!N45</f>
        <v>1574364.19</v>
      </c>
      <c r="O45" s="148">
        <f>'2025'!N121</f>
        <v>1429753.6700000002</v>
      </c>
      <c r="P45" s="149">
        <f t="shared" si="6"/>
        <v>144610.51999999979</v>
      </c>
      <c r="Q45" s="151">
        <f t="shared" si="3"/>
        <v>0.10114366064190605</v>
      </c>
      <c r="R45" s="148">
        <f>'2024'!N45</f>
        <v>679384.87999999989</v>
      </c>
      <c r="S45" s="149">
        <f t="shared" si="4"/>
        <v>894979.31</v>
      </c>
      <c r="T45" s="153">
        <f t="shared" si="5"/>
        <v>1.3173376922960078</v>
      </c>
      <c r="W45" s="470"/>
      <c r="Y45" s="470"/>
    </row>
    <row r="46" spans="1:25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f>'2025'!S46</f>
        <v>268851212.72000003</v>
      </c>
      <c r="H46" s="160">
        <f>SUM('2025'!G122:N122)</f>
        <v>304647898.23000002</v>
      </c>
      <c r="I46" s="161">
        <f t="shared" si="0"/>
        <v>-35796685.50999999</v>
      </c>
      <c r="J46" s="163">
        <f t="shared" si="1"/>
        <v>-0.1175018298763203</v>
      </c>
      <c r="K46" s="160">
        <f>SUM('2024'!G46:N46)</f>
        <v>243949470.96000001</v>
      </c>
      <c r="L46" s="161">
        <f t="shared" si="7"/>
        <v>24901741.76000002</v>
      </c>
      <c r="M46" s="165">
        <f t="shared" si="2"/>
        <v>0.10207745752432107</v>
      </c>
      <c r="N46" s="160">
        <f>'2025'!N46</f>
        <v>32294980.560000002</v>
      </c>
      <c r="O46" s="160">
        <f>'2025'!N122</f>
        <v>46548353.63000001</v>
      </c>
      <c r="P46" s="161">
        <f t="shared" si="6"/>
        <v>-14253373.070000008</v>
      </c>
      <c r="Q46" s="163">
        <f t="shared" si="3"/>
        <v>-0.30620574002028356</v>
      </c>
      <c r="R46" s="160">
        <f>'2024'!N46</f>
        <v>25513178.250000007</v>
      </c>
      <c r="S46" s="161">
        <f t="shared" si="4"/>
        <v>6781802.3099999949</v>
      </c>
      <c r="T46" s="165">
        <f t="shared" si="5"/>
        <v>0.26581565979534494</v>
      </c>
      <c r="W46" s="470"/>
      <c r="Y46" s="470"/>
    </row>
    <row r="47" spans="1:25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f>'2025'!S47</f>
        <v>155310613.73000002</v>
      </c>
      <c r="H47" s="160">
        <f>SUM('2025'!G123:N123)</f>
        <v>164196165.54999998</v>
      </c>
      <c r="I47" s="161">
        <f t="shared" si="0"/>
        <v>-8885551.819999963</v>
      </c>
      <c r="J47" s="163">
        <f t="shared" si="1"/>
        <v>-5.411546481756413E-2</v>
      </c>
      <c r="K47" s="160">
        <f>SUM('2024'!G47:N47)</f>
        <v>110583640.89999999</v>
      </c>
      <c r="L47" s="161">
        <f t="shared" si="7"/>
        <v>44726972.830000028</v>
      </c>
      <c r="M47" s="165">
        <f t="shared" si="2"/>
        <v>0.40446283433954133</v>
      </c>
      <c r="N47" s="160">
        <f>'2025'!N47</f>
        <v>24618371.049999997</v>
      </c>
      <c r="O47" s="160">
        <f>'2025'!N123</f>
        <v>43169262.220000006</v>
      </c>
      <c r="P47" s="161">
        <f t="shared" si="6"/>
        <v>-18550891.170000009</v>
      </c>
      <c r="Q47" s="163">
        <f t="shared" si="3"/>
        <v>-0.42972453583896353</v>
      </c>
      <c r="R47" s="160">
        <f>'2024'!N47</f>
        <v>10857865.770000001</v>
      </c>
      <c r="S47" s="161">
        <f t="shared" si="4"/>
        <v>13760505.279999996</v>
      </c>
      <c r="T47" s="165">
        <f t="shared" si="5"/>
        <v>1.2673305759608771</v>
      </c>
      <c r="W47" s="470"/>
      <c r="Y47" s="470"/>
    </row>
    <row r="48" spans="1:25" hidden="1">
      <c r="A48" s="135">
        <v>451</v>
      </c>
      <c r="B48" s="564" t="str">
        <f>+VLOOKUP($A48,Master!$D$30:$G$226,4,FALSE)</f>
        <v>Pozajmice i krediti</v>
      </c>
      <c r="C48" s="565"/>
      <c r="D48" s="565"/>
      <c r="E48" s="565"/>
      <c r="F48" s="565"/>
      <c r="G48" s="148">
        <f>'2025'!S48</f>
        <v>0</v>
      </c>
      <c r="H48" s="148">
        <f>SUM('2025'!G124:N124)</f>
        <v>0</v>
      </c>
      <c r="I48" s="149">
        <f>G48-H48</f>
        <v>0</v>
      </c>
      <c r="J48" s="266" t="str">
        <f t="shared" si="1"/>
        <v>...</v>
      </c>
      <c r="K48" s="148">
        <f>SUM('2024'!G48:N48)</f>
        <v>0</v>
      </c>
      <c r="L48" s="263">
        <f t="shared" si="7"/>
        <v>0</v>
      </c>
      <c r="M48" s="561" t="str">
        <f t="shared" si="2"/>
        <v>...</v>
      </c>
      <c r="N48" s="148">
        <f>'2025'!N48</f>
        <v>0</v>
      </c>
      <c r="O48" s="148">
        <f>'2025'!N124</f>
        <v>0</v>
      </c>
      <c r="P48" s="149">
        <f t="shared" si="6"/>
        <v>0</v>
      </c>
      <c r="Q48" s="266" t="str">
        <f t="shared" si="3"/>
        <v>...</v>
      </c>
      <c r="R48" s="148">
        <f>'2024'!N48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4" t="str">
        <f>+VLOOKUP($A49,Master!$D$30:$G$226,4,FALSE)</f>
        <v>Rezerve</v>
      </c>
      <c r="C49" s="565"/>
      <c r="D49" s="565"/>
      <c r="E49" s="565"/>
      <c r="F49" s="565"/>
      <c r="G49" s="148">
        <f>'2025'!S49</f>
        <v>4617968.26</v>
      </c>
      <c r="H49" s="148">
        <f>SUM('2025'!G125:N125)</f>
        <v>5851407.7800000003</v>
      </c>
      <c r="I49" s="149">
        <f t="shared" ref="I49:I50" si="8">G49-H49</f>
        <v>-1233439.5200000005</v>
      </c>
      <c r="J49" s="267">
        <f t="shared" si="1"/>
        <v>-0.21079363571547227</v>
      </c>
      <c r="K49" s="148">
        <f>SUM('2024'!G49:N49)</f>
        <v>20462267.989999998</v>
      </c>
      <c r="L49" s="264">
        <f t="shared" si="7"/>
        <v>-15844299.729999999</v>
      </c>
      <c r="M49" s="476">
        <f t="shared" si="2"/>
        <v>-0.77431786827067162</v>
      </c>
      <c r="N49" s="148">
        <f>'2025'!N49</f>
        <v>2000</v>
      </c>
      <c r="O49" s="148">
        <f>'2025'!N125</f>
        <v>1232013.7</v>
      </c>
      <c r="P49" s="149">
        <f t="shared" si="6"/>
        <v>-1230013.7</v>
      </c>
      <c r="Q49" s="267">
        <f t="shared" si="3"/>
        <v>-0.99837664142858151</v>
      </c>
      <c r="R49" s="148">
        <f>'2024'!N49</f>
        <v>13662.199999999999</v>
      </c>
      <c r="S49" s="264">
        <f t="shared" si="4"/>
        <v>-11662.199999999999</v>
      </c>
      <c r="T49" s="476">
        <f t="shared" si="5"/>
        <v>-0.85361069227503616</v>
      </c>
      <c r="W49" s="470"/>
      <c r="Y49" s="470"/>
    </row>
    <row r="50" spans="1:25" ht="15.7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48">
        <f>'2025'!S50</f>
        <v>4062322.96</v>
      </c>
      <c r="H50" s="148">
        <f>SUM('2025'!G126:N126)</f>
        <v>4100002.3999999994</v>
      </c>
      <c r="I50" s="149">
        <f t="shared" si="8"/>
        <v>-37679.439999999478</v>
      </c>
      <c r="J50" s="268">
        <f t="shared" si="1"/>
        <v>-9.1901019375011384E-3</v>
      </c>
      <c r="K50" s="148">
        <f>SUM('2024'!G50:N50)</f>
        <v>5849367.6699999999</v>
      </c>
      <c r="L50" s="264">
        <f t="shared" si="7"/>
        <v>-1787044.71</v>
      </c>
      <c r="M50" s="477">
        <f t="shared" si="2"/>
        <v>-0.30551075104499281</v>
      </c>
      <c r="N50" s="148">
        <f>'2025'!N50</f>
        <v>0</v>
      </c>
      <c r="O50" s="148">
        <f>'2025'!N126</f>
        <v>0.4</v>
      </c>
      <c r="P50" s="149">
        <f t="shared" si="6"/>
        <v>-0.4</v>
      </c>
      <c r="Q50" s="268">
        <f t="shared" si="3"/>
        <v>-1</v>
      </c>
      <c r="R50" s="148">
        <f>'2024'!N50</f>
        <v>3548206.51</v>
      </c>
      <c r="S50" s="264">
        <f t="shared" si="4"/>
        <v>-3548206.51</v>
      </c>
      <c r="T50" s="477">
        <f t="shared" si="5"/>
        <v>-1</v>
      </c>
      <c r="W50" s="470"/>
      <c r="Y50" s="470"/>
    </row>
    <row r="51" spans="1:25" ht="15" customHeight="1" thickBot="1">
      <c r="A51" s="129">
        <v>4630</v>
      </c>
      <c r="B51" s="582" t="str">
        <f>+VLOOKUP($A51,Master!$D$30:$G$226,4,FALSE)</f>
        <v>Otplata obaveza iz prethodnog perioda</v>
      </c>
      <c r="C51" s="583"/>
      <c r="D51" s="583"/>
      <c r="E51" s="583"/>
      <c r="F51" s="583"/>
      <c r="G51" s="295">
        <f>'2025'!S51</f>
        <v>14542294.569999997</v>
      </c>
      <c r="H51" s="295">
        <f>SUM('2025'!G127:N127)</f>
        <v>17569675.82</v>
      </c>
      <c r="I51" s="265">
        <f>G51-H51</f>
        <v>-3027381.2500000037</v>
      </c>
      <c r="J51" s="269">
        <f t="shared" si="1"/>
        <v>-0.17230717749236213</v>
      </c>
      <c r="K51" s="295">
        <f>SUM('2024'!G51:N51)</f>
        <v>15253896.789999997</v>
      </c>
      <c r="L51" s="271">
        <f t="shared" si="7"/>
        <v>-711602.22000000067</v>
      </c>
      <c r="M51" s="478">
        <f t="shared" si="2"/>
        <v>-4.6650520178326271E-2</v>
      </c>
      <c r="N51" s="295">
        <f>'2025'!N51</f>
        <v>737916.52000000014</v>
      </c>
      <c r="O51" s="295">
        <f>'2025'!N127</f>
        <v>916856.26000000047</v>
      </c>
      <c r="P51" s="265">
        <f>N51-O51</f>
        <v>-178939.74000000034</v>
      </c>
      <c r="Q51" s="269">
        <f t="shared" si="3"/>
        <v>-0.19516662295570764</v>
      </c>
      <c r="R51" s="295">
        <f>'2024'!N51</f>
        <v>644150.00000000012</v>
      </c>
      <c r="S51" s="271">
        <f>+N51-R51</f>
        <v>93766.520000000019</v>
      </c>
      <c r="T51" s="478">
        <f t="shared" si="5"/>
        <v>0.14556628114569592</v>
      </c>
      <c r="W51" s="470"/>
      <c r="Y51" s="470"/>
    </row>
    <row r="52" spans="1:25" ht="15.75" thickBot="1">
      <c r="A52" s="129">
        <v>1005</v>
      </c>
      <c r="B52" s="582" t="str">
        <f>+VLOOKUP($A52,Master!$D$30:$G$228,4,FALSE)</f>
        <v>Neto povećanje obaveza</v>
      </c>
      <c r="C52" s="583"/>
      <c r="D52" s="583"/>
      <c r="E52" s="583"/>
      <c r="F52" s="583"/>
      <c r="G52" s="148">
        <f>'2025'!S52</f>
        <v>0</v>
      </c>
      <c r="H52" s="148">
        <f>SUM('2025'!G128:N128)</f>
        <v>0</v>
      </c>
      <c r="I52" s="265">
        <f>G52-H52</f>
        <v>0</v>
      </c>
      <c r="J52" s="269" t="str">
        <f t="shared" si="1"/>
        <v>...</v>
      </c>
      <c r="K52" s="148">
        <f>SUM('2024'!G52:N52)</f>
        <v>0</v>
      </c>
      <c r="L52" s="271">
        <f t="shared" si="7"/>
        <v>0</v>
      </c>
      <c r="M52" s="478" t="str">
        <f t="shared" si="2"/>
        <v>...</v>
      </c>
      <c r="N52" s="148">
        <f>'2025'!N52</f>
        <v>0</v>
      </c>
      <c r="O52" s="148">
        <f>'2025'!N128</f>
        <v>0</v>
      </c>
      <c r="P52" s="265">
        <f>N52-O52</f>
        <v>0</v>
      </c>
      <c r="Q52" s="269" t="str">
        <f t="shared" si="3"/>
        <v>...</v>
      </c>
      <c r="R52" s="148">
        <f>'2024'!N52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>'2025'!S53</f>
        <v>-73284006.52000019</v>
      </c>
      <c r="H53" s="136">
        <f>SUM('2025'!G129:N129)</f>
        <v>-168005193.24916703</v>
      </c>
      <c r="I53" s="299">
        <f>+G53-H53</f>
        <v>94721186.729166836</v>
      </c>
      <c r="J53" s="270">
        <f t="shared" si="1"/>
        <v>-0.56379915940268988</v>
      </c>
      <c r="K53" s="136">
        <f>SUM('2024'!G53:N53)</f>
        <v>94468290.170000225</v>
      </c>
      <c r="L53" s="272">
        <f t="shared" si="7"/>
        <v>-167752296.69000041</v>
      </c>
      <c r="M53" s="479">
        <f t="shared" si="2"/>
        <v>-1.7757524391319257</v>
      </c>
      <c r="N53" s="136">
        <f>'2025'!N53</f>
        <v>23158343.379999995</v>
      </c>
      <c r="O53" s="136">
        <f>'2025'!N129</f>
        <v>-53322502.49680382</v>
      </c>
      <c r="P53" s="299">
        <f>N53-O53</f>
        <v>76480845.876803815</v>
      </c>
      <c r="Q53" s="270">
        <f t="shared" si="3"/>
        <v>-1.4343071366800184</v>
      </c>
      <c r="R53" s="136">
        <f>'2024'!N53</f>
        <v>50583022.710000128</v>
      </c>
      <c r="S53" s="272">
        <f t="shared" si="4"/>
        <v>-27424679.330000132</v>
      </c>
      <c r="T53" s="479">
        <f t="shared" si="5"/>
        <v>-0.54217161926502166</v>
      </c>
      <c r="W53" s="470"/>
      <c r="Y53" s="470"/>
    </row>
    <row r="54" spans="1:25" ht="15.7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36">
        <f>'2025'!S54</f>
        <v>14978934.389999818</v>
      </c>
      <c r="H54" s="136">
        <f>SUM('2025'!G130:N130)</f>
        <v>-67960263.659167022</v>
      </c>
      <c r="I54" s="191">
        <f t="shared" si="0"/>
        <v>82939198.049166843</v>
      </c>
      <c r="J54" s="193">
        <f t="shared" si="1"/>
        <v>-1.2204072436375744</v>
      </c>
      <c r="K54" s="136">
        <f>SUM('2024'!G54:N54)</f>
        <v>162614380.81000024</v>
      </c>
      <c r="L54" s="191">
        <f t="shared" si="7"/>
        <v>-147635446.42000043</v>
      </c>
      <c r="M54" s="195">
        <f t="shared" si="2"/>
        <v>-0.90788677904507531</v>
      </c>
      <c r="N54" s="136">
        <f>'2025'!N54</f>
        <v>25874395.669999994</v>
      </c>
      <c r="O54" s="136">
        <f>'2025'!N130</f>
        <v>-38830356.936803818</v>
      </c>
      <c r="P54" s="191">
        <f t="shared" si="6"/>
        <v>64704752.606803812</v>
      </c>
      <c r="Q54" s="193">
        <f t="shared" si="3"/>
        <v>-1.6663445229749092</v>
      </c>
      <c r="R54" s="136">
        <f>'2024'!N54</f>
        <v>54559267.930000126</v>
      </c>
      <c r="S54" s="191">
        <f t="shared" si="4"/>
        <v>-28684872.260000132</v>
      </c>
      <c r="T54" s="195">
        <f t="shared" si="5"/>
        <v>-0.52575617944146535</v>
      </c>
      <c r="W54" s="470"/>
      <c r="Y54" s="470"/>
    </row>
    <row r="55" spans="1:25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460">
        <f>'2025'!S55</f>
        <v>715674346.48000014</v>
      </c>
      <c r="H55" s="460">
        <f>SUM('2025'!G131:N131)</f>
        <v>743789858.20999992</v>
      </c>
      <c r="I55" s="461">
        <f t="shared" si="0"/>
        <v>-28115511.729999781</v>
      </c>
      <c r="J55" s="462">
        <f t="shared" si="1"/>
        <v>-3.7800342959317002E-2</v>
      </c>
      <c r="K55" s="460">
        <f>SUM('2024'!G55:N55)</f>
        <v>350518886.34000003</v>
      </c>
      <c r="L55" s="461">
        <f t="shared" si="7"/>
        <v>365155460.1400001</v>
      </c>
      <c r="M55" s="480">
        <f t="shared" si="2"/>
        <v>1.0417568763635825</v>
      </c>
      <c r="N55" s="460">
        <f>'2025'!N55</f>
        <v>7549624.8599999994</v>
      </c>
      <c r="O55" s="460">
        <f>'2025'!N131</f>
        <v>27550149.000000004</v>
      </c>
      <c r="P55" s="461">
        <f t="shared" si="6"/>
        <v>-20000524.140000004</v>
      </c>
      <c r="Q55" s="462">
        <f t="shared" si="3"/>
        <v>-0.7259679118250868</v>
      </c>
      <c r="R55" s="460">
        <f>'2024'!N55</f>
        <v>7581311.2700000014</v>
      </c>
      <c r="S55" s="461">
        <f t="shared" si="4"/>
        <v>-31686.410000002012</v>
      </c>
      <c r="T55" s="480">
        <f t="shared" si="5"/>
        <v>-4.1795421493097118E-3</v>
      </c>
      <c r="W55" s="470"/>
      <c r="Y55" s="470"/>
    </row>
    <row r="56" spans="1:25">
      <c r="A56" s="129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148">
        <f>'2025'!S56</f>
        <v>31867730.130000003</v>
      </c>
      <c r="H56" s="148">
        <f>SUM('2025'!G132:N132)</f>
        <v>31885723.490000002</v>
      </c>
      <c r="I56" s="197">
        <f t="shared" si="0"/>
        <v>-17993.359999999404</v>
      </c>
      <c r="J56" s="199">
        <f t="shared" si="1"/>
        <v>-5.6430772240878557E-4</v>
      </c>
      <c r="K56" s="148">
        <f>SUM('2024'!G56:N56)</f>
        <v>167309273.11000001</v>
      </c>
      <c r="L56" s="197">
        <f t="shared" si="7"/>
        <v>-135441542.98000002</v>
      </c>
      <c r="M56" s="201">
        <f t="shared" si="2"/>
        <v>-0.80952801038679978</v>
      </c>
      <c r="N56" s="148">
        <f>'2025'!N56</f>
        <v>1755694.7399999998</v>
      </c>
      <c r="O56" s="148">
        <f>'2025'!N132</f>
        <v>1752462.0999999999</v>
      </c>
      <c r="P56" s="197">
        <f t="shared" si="6"/>
        <v>3232.6399999998976</v>
      </c>
      <c r="Q56" s="199">
        <f t="shared" si="3"/>
        <v>1.8446276241865789E-3</v>
      </c>
      <c r="R56" s="148">
        <f>'2024'!N56</f>
        <v>3042001.86</v>
      </c>
      <c r="S56" s="197">
        <f t="shared" si="4"/>
        <v>-1286307.1200000001</v>
      </c>
      <c r="T56" s="201">
        <f t="shared" si="5"/>
        <v>-0.42284889332710673</v>
      </c>
      <c r="W56" s="470"/>
      <c r="Y56" s="470"/>
    </row>
    <row r="57" spans="1:25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48">
        <f>'2025'!S57</f>
        <v>683806616.35000002</v>
      </c>
      <c r="H57" s="148">
        <f>SUM('2025'!G133:N133)</f>
        <v>711904134.71999991</v>
      </c>
      <c r="I57" s="197">
        <f t="shared" si="0"/>
        <v>-28097518.369999886</v>
      </c>
      <c r="J57" s="199">
        <f t="shared" si="1"/>
        <v>-3.9468120775911775E-2</v>
      </c>
      <c r="K57" s="148">
        <f>SUM('2024'!G57:N57)</f>
        <v>183209613.22999999</v>
      </c>
      <c r="L57" s="197">
        <f t="shared" si="7"/>
        <v>500597003.12</v>
      </c>
      <c r="M57" s="201" t="str">
        <f t="shared" si="2"/>
        <v>...</v>
      </c>
      <c r="N57" s="148">
        <f>'2025'!N57</f>
        <v>5793930.1200000001</v>
      </c>
      <c r="O57" s="148">
        <f>'2025'!N133</f>
        <v>25797686.900000002</v>
      </c>
      <c r="P57" s="197">
        <f t="shared" si="6"/>
        <v>-20003756.780000001</v>
      </c>
      <c r="Q57" s="199">
        <f t="shared" si="3"/>
        <v>-0.77540892939513895</v>
      </c>
      <c r="R57" s="148">
        <f>'2024'!N57</f>
        <v>4539309.4100000011</v>
      </c>
      <c r="S57" s="197">
        <f t="shared" si="4"/>
        <v>1254620.709999999</v>
      </c>
      <c r="T57" s="201">
        <f t="shared" si="5"/>
        <v>0.27639021636993877</v>
      </c>
      <c r="W57" s="470"/>
      <c r="Y57" s="470"/>
    </row>
    <row r="58" spans="1:25" ht="15.75" thickBot="1">
      <c r="A58" s="129">
        <v>4418</v>
      </c>
      <c r="B58" s="592" t="str">
        <f>+VLOOKUP($A58,Master!$D$30:$G$226,4,FALSE)</f>
        <v>Izdaci za kupovinu hartija od vrijednosti</v>
      </c>
      <c r="C58" s="593"/>
      <c r="D58" s="593"/>
      <c r="E58" s="593"/>
      <c r="F58" s="593"/>
      <c r="G58" s="313">
        <f>'2025'!S58</f>
        <v>2669683.2699999996</v>
      </c>
      <c r="H58" s="313">
        <f>SUM('2025'!G134:N134)</f>
        <v>20492386.850000001</v>
      </c>
      <c r="I58" s="314">
        <f t="shared" ref="I58:I66" si="9">+G58-H58</f>
        <v>-17822703.580000002</v>
      </c>
      <c r="J58" s="315">
        <f t="shared" si="1"/>
        <v>-0.86972316648414238</v>
      </c>
      <c r="K58" s="313">
        <f>SUM('2024'!G58:N58)</f>
        <v>3266458.45</v>
      </c>
      <c r="L58" s="314">
        <f t="shared" ref="L58:L66" si="10">+G58-K58</f>
        <v>-596775.18000000063</v>
      </c>
      <c r="M58" s="481">
        <f t="shared" si="2"/>
        <v>-0.18269792472027335</v>
      </c>
      <c r="N58" s="313">
        <f>'2025'!N58</f>
        <v>0</v>
      </c>
      <c r="O58" s="313">
        <f>'2025'!N134</f>
        <v>3427386.85</v>
      </c>
      <c r="P58" s="314">
        <f t="shared" ref="P58:P66" si="11">+N58-O58</f>
        <v>-3427386.85</v>
      </c>
      <c r="Q58" s="315">
        <f t="shared" si="3"/>
        <v>-1</v>
      </c>
      <c r="R58" s="313">
        <f>'2024'!N58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313">
        <f>'2025'!S59</f>
        <v>5572143.7999999998</v>
      </c>
      <c r="H59" s="313">
        <f>SUM('2025'!G135:N135)</f>
        <v>4572001.5999999996</v>
      </c>
      <c r="I59" s="314">
        <f t="shared" si="9"/>
        <v>1000142.2000000002</v>
      </c>
      <c r="J59" s="315">
        <f t="shared" si="1"/>
        <v>0.21875368547552565</v>
      </c>
      <c r="K59" s="313">
        <f>SUM('2024'!G59:N59)</f>
        <v>5926794.1400000006</v>
      </c>
      <c r="L59" s="314">
        <f t="shared" si="10"/>
        <v>-354650.34000000078</v>
      </c>
      <c r="M59" s="481">
        <f t="shared" si="2"/>
        <v>-5.9838477872288798E-2</v>
      </c>
      <c r="N59" s="313">
        <f>'2025'!N59</f>
        <v>11164.5</v>
      </c>
      <c r="O59" s="313">
        <f>'2025'!N135</f>
        <v>192001.6</v>
      </c>
      <c r="P59" s="314">
        <f t="shared" si="11"/>
        <v>-180837.1</v>
      </c>
      <c r="Q59" s="315">
        <f t="shared" si="3"/>
        <v>-0.94185204706627446</v>
      </c>
      <c r="R59" s="313">
        <f>'2024'!N59</f>
        <v>1003067.94</v>
      </c>
      <c r="S59" s="314">
        <f t="shared" si="12"/>
        <v>-991903.44</v>
      </c>
      <c r="T59" s="481">
        <f t="shared" si="5"/>
        <v>-0.9888696472544023</v>
      </c>
      <c r="W59" s="470"/>
      <c r="Y59" s="470"/>
    </row>
    <row r="60" spans="1:25" ht="15.7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98">
        <f>'2025'!S60</f>
        <v>-797200180.07000029</v>
      </c>
      <c r="H60" s="298">
        <f>SUM('2025'!G136:N136)</f>
        <v>-936859439.90916717</v>
      </c>
      <c r="I60" s="300">
        <f t="shared" si="9"/>
        <v>139659259.83916688</v>
      </c>
      <c r="J60" s="301">
        <f t="shared" si="1"/>
        <v>-0.14907173252447292</v>
      </c>
      <c r="K60" s="298">
        <f>SUM('2024'!G60:N60)</f>
        <v>-265243848.75999981</v>
      </c>
      <c r="L60" s="300">
        <f>+G60-K60</f>
        <v>-531956331.31000048</v>
      </c>
      <c r="M60" s="482" t="str">
        <f t="shared" si="2"/>
        <v>...</v>
      </c>
      <c r="N60" s="298">
        <f>'2025'!N60</f>
        <v>15597554.019999996</v>
      </c>
      <c r="O60" s="298">
        <f>'2025'!N136</f>
        <v>-84492039.946803808</v>
      </c>
      <c r="P60" s="300">
        <f t="shared" si="11"/>
        <v>100089593.9668038</v>
      </c>
      <c r="Q60" s="301">
        <f t="shared" si="3"/>
        <v>-1.1846038281217997</v>
      </c>
      <c r="R60" s="298">
        <f>'2024'!N60</f>
        <v>41998643.500000127</v>
      </c>
      <c r="S60" s="300">
        <f t="shared" si="12"/>
        <v>-26401089.480000131</v>
      </c>
      <c r="T60" s="482">
        <f t="shared" si="5"/>
        <v>-0.62861767142550806</v>
      </c>
      <c r="W60" s="470"/>
      <c r="Y60" s="470"/>
    </row>
    <row r="61" spans="1:25" ht="15.7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'2025'!S61</f>
        <v>797200180.07000041</v>
      </c>
      <c r="H61" s="136">
        <f>SUM('2025'!G137:N137)</f>
        <v>936859439.90916717</v>
      </c>
      <c r="I61" s="299">
        <f t="shared" si="9"/>
        <v>-139659259.83916676</v>
      </c>
      <c r="J61" s="302">
        <f t="shared" si="1"/>
        <v>-0.14907173252447281</v>
      </c>
      <c r="K61" s="136">
        <f>SUM('2024'!G61:N61)</f>
        <v>265243848.75999981</v>
      </c>
      <c r="L61" s="299">
        <f t="shared" si="10"/>
        <v>531956331.3100006</v>
      </c>
      <c r="M61" s="483" t="str">
        <f t="shared" si="2"/>
        <v>...</v>
      </c>
      <c r="N61" s="136">
        <f>'2025'!N61</f>
        <v>-15597554.019999996</v>
      </c>
      <c r="O61" s="136">
        <f>'2025'!N137</f>
        <v>84492039.946803808</v>
      </c>
      <c r="P61" s="300">
        <f t="shared" si="11"/>
        <v>-100089593.9668038</v>
      </c>
      <c r="Q61" s="302">
        <f t="shared" si="3"/>
        <v>-1.1846038281217997</v>
      </c>
      <c r="R61" s="136">
        <f>'2024'!N61</f>
        <v>-41998643.500000127</v>
      </c>
      <c r="S61" s="299">
        <f t="shared" si="12"/>
        <v>26401089.480000131</v>
      </c>
      <c r="T61" s="483">
        <f t="shared" si="5"/>
        <v>-0.62861767142550806</v>
      </c>
      <c r="W61" s="470"/>
      <c r="Y61" s="470"/>
    </row>
    <row r="62" spans="1:25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148">
        <f>'2025'!S62</f>
        <v>6127675</v>
      </c>
      <c r="H62" s="148">
        <f>SUM('2025'!G138:N138)</f>
        <v>50000000</v>
      </c>
      <c r="I62" s="197">
        <f t="shared" si="9"/>
        <v>-43872325</v>
      </c>
      <c r="J62" s="199">
        <f t="shared" si="1"/>
        <v>-0.87744650000000002</v>
      </c>
      <c r="K62" s="148">
        <f>SUM('2024'!G62:N62)</f>
        <v>0</v>
      </c>
      <c r="L62" s="197">
        <f t="shared" si="10"/>
        <v>6127675</v>
      </c>
      <c r="M62" s="201" t="str">
        <f t="shared" si="2"/>
        <v>...</v>
      </c>
      <c r="N62" s="148">
        <f>'2025'!N62</f>
        <v>0</v>
      </c>
      <c r="O62" s="148">
        <f>'2025'!N138</f>
        <v>0</v>
      </c>
      <c r="P62" s="197">
        <f t="shared" si="11"/>
        <v>0</v>
      </c>
      <c r="Q62" s="199" t="str">
        <f t="shared" si="3"/>
        <v>...</v>
      </c>
      <c r="R62" s="148">
        <f>'2024'!N62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4" t="str">
        <f>+VLOOKUP($A63,Master!$D$30:$G$226,4,FALSE)</f>
        <v>Pozajmice i krediti od inostranih izvora</v>
      </c>
      <c r="C63" s="565"/>
      <c r="D63" s="565"/>
      <c r="E63" s="565"/>
      <c r="F63" s="565"/>
      <c r="G63" s="148">
        <f>'2025'!S63</f>
        <v>928422062.09000015</v>
      </c>
      <c r="H63" s="148">
        <f>SUM('2025'!G139:N139)</f>
        <v>700000000</v>
      </c>
      <c r="I63" s="197">
        <f t="shared" si="9"/>
        <v>228422062.09000015</v>
      </c>
      <c r="J63" s="199">
        <f t="shared" si="1"/>
        <v>0.32631723155714298</v>
      </c>
      <c r="K63" s="148">
        <f>SUM('2024'!G63:N63)</f>
        <v>710797455.16999996</v>
      </c>
      <c r="L63" s="197">
        <f t="shared" si="10"/>
        <v>217624606.9200002</v>
      </c>
      <c r="M63" s="201">
        <f t="shared" si="2"/>
        <v>0.30616964838169181</v>
      </c>
      <c r="N63" s="148">
        <f>'2025'!N63</f>
        <v>4969652.75</v>
      </c>
      <c r="O63" s="148">
        <f>'2025'!N139</f>
        <v>0</v>
      </c>
      <c r="P63" s="197">
        <f t="shared" si="11"/>
        <v>4969652.75</v>
      </c>
      <c r="Q63" s="199" t="str">
        <f t="shared" si="3"/>
        <v>...</v>
      </c>
      <c r="R63" s="148">
        <f>'2024'!N63</f>
        <v>1379630.82</v>
      </c>
      <c r="S63" s="197">
        <f t="shared" si="12"/>
        <v>3590021.9299999997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148">
        <f>'2025'!S64</f>
        <v>1302230.79</v>
      </c>
      <c r="H64" s="148">
        <f>SUM('2025'!G140:N140)</f>
        <v>4000000</v>
      </c>
      <c r="I64" s="197">
        <f t="shared" si="9"/>
        <v>-2697769.21</v>
      </c>
      <c r="J64" s="199">
        <f t="shared" si="1"/>
        <v>-0.67444230249999992</v>
      </c>
      <c r="K64" s="148">
        <f>SUM('2024'!G64:N64)</f>
        <v>1516614.08</v>
      </c>
      <c r="L64" s="197">
        <f t="shared" si="10"/>
        <v>-214383.29000000004</v>
      </c>
      <c r="M64" s="201">
        <f t="shared" si="2"/>
        <v>-0.14135652096807649</v>
      </c>
      <c r="N64" s="148">
        <f>'2025'!N64</f>
        <v>213815.58</v>
      </c>
      <c r="O64" s="148">
        <f>'2025'!N140</f>
        <v>500000</v>
      </c>
      <c r="P64" s="197">
        <f t="shared" si="11"/>
        <v>-286184.42000000004</v>
      </c>
      <c r="Q64" s="199">
        <f t="shared" si="3"/>
        <v>-0.57236883999999999</v>
      </c>
      <c r="R64" s="148">
        <f>'2024'!N64</f>
        <v>79361.94</v>
      </c>
      <c r="S64" s="197">
        <f t="shared" si="12"/>
        <v>134453.63999999998</v>
      </c>
      <c r="T64" s="201">
        <f t="shared" si="5"/>
        <v>1.6941828790979652</v>
      </c>
      <c r="W64" s="470"/>
      <c r="Y64" s="470"/>
    </row>
    <row r="65" spans="1:25">
      <c r="A65" s="129">
        <v>73</v>
      </c>
      <c r="B65" s="564" t="str">
        <f>+VLOOKUP($A65,Master!$D$30:$G$226,4,FALSE)</f>
        <v>Primici od otplate kredita i sredstva prenesena iz prethodne godine</v>
      </c>
      <c r="C65" s="565"/>
      <c r="D65" s="565"/>
      <c r="E65" s="565"/>
      <c r="F65" s="565"/>
      <c r="G65" s="148">
        <f>'2025'!S65</f>
        <v>13822930.83</v>
      </c>
      <c r="H65" s="148">
        <f>SUM('2025'!G141:N141)</f>
        <v>5412636.4831097517</v>
      </c>
      <c r="I65" s="197">
        <f t="shared" si="9"/>
        <v>8410294.3468902484</v>
      </c>
      <c r="J65" s="199">
        <f t="shared" si="1"/>
        <v>1.5538258246484413</v>
      </c>
      <c r="K65" s="148">
        <f>SUM('2024'!G65:N65)</f>
        <v>13871367.640000001</v>
      </c>
      <c r="L65" s="197">
        <f t="shared" si="10"/>
        <v>-48436.810000000522</v>
      </c>
      <c r="M65" s="201">
        <f t="shared" si="2"/>
        <v>-3.4918554000635815E-3</v>
      </c>
      <c r="N65" s="148">
        <f>'2025'!N65</f>
        <v>1151441.7</v>
      </c>
      <c r="O65" s="148">
        <f>'2025'!N141</f>
        <v>1527452.9651282593</v>
      </c>
      <c r="P65" s="197">
        <f t="shared" si="11"/>
        <v>-376011.26512825931</v>
      </c>
      <c r="Q65" s="199">
        <f t="shared" si="3"/>
        <v>-0.24616880107773786</v>
      </c>
      <c r="R65" s="148">
        <f>'2024'!N65</f>
        <v>591472.64000000001</v>
      </c>
      <c r="S65" s="197">
        <f t="shared" si="12"/>
        <v>559969.05999999994</v>
      </c>
      <c r="T65" s="201">
        <f t="shared" si="5"/>
        <v>0.94673704602802911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-152474718.63999987</v>
      </c>
      <c r="H66" s="296">
        <f>SUM('2025'!G142:N142)</f>
        <v>177446803.42605728</v>
      </c>
      <c r="I66" s="211">
        <f t="shared" si="9"/>
        <v>-329921522.06605715</v>
      </c>
      <c r="J66" s="213">
        <f t="shared" si="1"/>
        <v>-1.8592700217535145</v>
      </c>
      <c r="K66" s="296">
        <f>SUM('2024'!G66:N66)</f>
        <v>-460941588.13000023</v>
      </c>
      <c r="L66" s="211">
        <f t="shared" si="10"/>
        <v>308466869.49000037</v>
      </c>
      <c r="M66" s="215">
        <f t="shared" si="2"/>
        <v>-0.6692103238968381</v>
      </c>
      <c r="N66" s="296">
        <f>'2025'!N66</f>
        <v>-21932464.049999997</v>
      </c>
      <c r="O66" s="296">
        <f>'2025'!N142</f>
        <v>82464586.98167555</v>
      </c>
      <c r="P66" s="211">
        <f t="shared" si="11"/>
        <v>-104397051.03167555</v>
      </c>
      <c r="Q66" s="213">
        <f t="shared" si="3"/>
        <v>-1.2659622130269519</v>
      </c>
      <c r="R66" s="296">
        <f>'2024'!N66</f>
        <v>-44049108.900000125</v>
      </c>
      <c r="S66" s="211">
        <f t="shared" si="12"/>
        <v>22116644.850000128</v>
      </c>
      <c r="T66" s="215">
        <f t="shared" si="5"/>
        <v>-0.50209063026017464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8w3YFM1WYC4PAdAyIfOuQp3+70IosiSUCU1QcERWHSUq2pGjmEaxcJNeMvW8dEVgMKz8cC7MYCPFlrZgZ0jzZA==" saltValue="ChgiNoWuAbbtu2Z4sucTxA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2024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7459213000</v>
      </c>
    </row>
    <row r="8" spans="1:24" ht="16.5" customHeight="1">
      <c r="A8" s="129"/>
      <c r="B8" s="568"/>
      <c r="C8" s="569"/>
      <c r="D8" s="569"/>
      <c r="E8" s="569"/>
      <c r="F8" s="57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4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4" t="str">
        <f>+VLOOKUP($A63,Master!$D$30:$G$226,4,FALSE)</f>
        <v>Pozajmice i krediti od inostranih izvora</v>
      </c>
      <c r="C63" s="565"/>
      <c r="D63" s="565"/>
      <c r="E63" s="565"/>
      <c r="F63" s="565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98" t="s">
        <v>101</v>
      </c>
      <c r="C65" s="599"/>
      <c r="D65" s="599"/>
      <c r="E65" s="599"/>
      <c r="F65" s="599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5" t="str">
        <f>+Master!G253</f>
        <v>Plan ostvarenja budžeta</v>
      </c>
      <c r="C83" s="636"/>
      <c r="D83" s="636"/>
      <c r="E83" s="636"/>
      <c r="F83" s="636"/>
      <c r="G83" s="620">
        <v>2024</v>
      </c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2"/>
      <c r="S83" s="96" t="str">
        <f>+S7</f>
        <v>BDP</v>
      </c>
      <c r="T83" s="97">
        <v>7279700000</v>
      </c>
    </row>
    <row r="84" spans="1:26" ht="15.75" customHeight="1">
      <c r="B84" s="637"/>
      <c r="C84" s="638"/>
      <c r="D84" s="638"/>
      <c r="E84" s="638"/>
      <c r="F84" s="639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20" t="str">
        <f>+Master!G247</f>
        <v>Jan - Dec</v>
      </c>
      <c r="T84" s="622">
        <f>+T8</f>
        <v>0</v>
      </c>
    </row>
    <row r="85" spans="1:26" ht="13.5" thickBot="1">
      <c r="B85" s="640"/>
      <c r="C85" s="641"/>
      <c r="D85" s="641"/>
      <c r="E85" s="641"/>
      <c r="F85" s="642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9" t="str">
        <f>+VLOOKUP(LEFT($A86,LEN(A86)-1)*1,Master!$D$30:$G$226,4,FALSE)</f>
        <v>Prihodi budžeta</v>
      </c>
      <c r="C86" s="630"/>
      <c r="D86" s="630"/>
      <c r="E86" s="630"/>
      <c r="F86" s="630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3" t="str">
        <f>+VLOOKUP(LEFT($A88,LEN(A88)-1)*1,Master!$D$30:$G$229,4,FALSE)</f>
        <v>Porez na dohodak fizičkih lica</v>
      </c>
      <c r="C88" s="634"/>
      <c r="D88" s="634"/>
      <c r="E88" s="634"/>
      <c r="F88" s="634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3" t="str">
        <f>+VLOOKUP(LEFT($A89,LEN(A89)-1)*1,Master!$D$30:$G$229,4,FALSE)</f>
        <v>Porez na dobit pravnih lica</v>
      </c>
      <c r="C89" s="634"/>
      <c r="D89" s="634"/>
      <c r="E89" s="634"/>
      <c r="F89" s="634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3" t="str">
        <f>+VLOOKUP(LEFT($A90,LEN(A90)-1)*1,Master!$D$30:$G$229,4,FALSE)</f>
        <v>Porez na promet nepokretnosti</v>
      </c>
      <c r="C90" s="634"/>
      <c r="D90" s="634"/>
      <c r="E90" s="634"/>
      <c r="F90" s="63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3" t="str">
        <f>+VLOOKUP(LEFT($A91,LEN(A91)-1)*1,Master!$D$30:$G$229,4,FALSE)</f>
        <v>Porez na dodatu vrijednost</v>
      </c>
      <c r="C91" s="634"/>
      <c r="D91" s="634"/>
      <c r="E91" s="634"/>
      <c r="F91" s="634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3" t="str">
        <f>+VLOOKUP(LEFT($A92,LEN(A92)-1)*1,Master!$D$30:$G$229,4,FALSE)</f>
        <v>Akcize</v>
      </c>
      <c r="C92" s="634"/>
      <c r="D92" s="634"/>
      <c r="E92" s="634"/>
      <c r="F92" s="634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3" t="str">
        <f>+VLOOKUP(LEFT($A93,LEN(A93)-1)*1,Master!$D$30:$G$229,4,FALSE)</f>
        <v>Porez na međunarodnu trgovinu i transakcije</v>
      </c>
      <c r="C93" s="634"/>
      <c r="D93" s="634"/>
      <c r="E93" s="634"/>
      <c r="F93" s="634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3" t="str">
        <f>+VLOOKUP(LEFT($A94,LEN(A94)-1)*1,Master!$D$30:$G$229,4,FALSE)</f>
        <v>Ostali državni porezi</v>
      </c>
      <c r="C94" s="634"/>
      <c r="D94" s="634"/>
      <c r="E94" s="634"/>
      <c r="F94" s="634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3" t="str">
        <f>+VLOOKUP(LEFT($A95,LEN(A95)-1)*1,Master!$D$30:$G$229,4,FALSE)</f>
        <v>Doprinosi</v>
      </c>
      <c r="C95" s="644"/>
      <c r="D95" s="644"/>
      <c r="E95" s="644"/>
      <c r="F95" s="644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3" t="str">
        <f>+VLOOKUP(LEFT($A96,LEN(A96)-1)*1,Master!$D$30:$G$229,4,FALSE)</f>
        <v>Doprinosi za penzijsko i invalidsko osiguranje</v>
      </c>
      <c r="C96" s="634"/>
      <c r="D96" s="634"/>
      <c r="E96" s="634"/>
      <c r="F96" s="634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3" t="str">
        <f>+VLOOKUP(LEFT($A97,LEN(A97)-1)*1,Master!$D$30:$G$229,4,FALSE)</f>
        <v>Doprinosi za zdravstveno osiguranje</v>
      </c>
      <c r="C97" s="634"/>
      <c r="D97" s="634"/>
      <c r="E97" s="634"/>
      <c r="F97" s="634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3" t="str">
        <f>+VLOOKUP(LEFT($A98,LEN(A98)-1)*1,Master!$D$30:$G$229,4,FALSE)</f>
        <v>Doprinosi za osiguranje od nezaposlenosti</v>
      </c>
      <c r="C98" s="634"/>
      <c r="D98" s="634"/>
      <c r="E98" s="634"/>
      <c r="F98" s="634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3" t="str">
        <f>+VLOOKUP(LEFT($A99,LEN(A99)-1)*1,Master!$D$30:$G$229,4,FALSE)</f>
        <v>Ostali doprinosi</v>
      </c>
      <c r="C99" s="634"/>
      <c r="D99" s="634"/>
      <c r="E99" s="634"/>
      <c r="F99" s="634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3" t="str">
        <f>+VLOOKUP(LEFT($A100,LEN(A100)-1)*1,Master!$D$30:$G$229,4,FALSE)</f>
        <v>Takse</v>
      </c>
      <c r="C100" s="644"/>
      <c r="D100" s="644"/>
      <c r="E100" s="644"/>
      <c r="F100" s="644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3" t="str">
        <f>+VLOOKUP(LEFT($A101,LEN(A101)-1)*1,Master!$D$30:$G$229,4,FALSE)</f>
        <v>Naknade</v>
      </c>
      <c r="C101" s="644"/>
      <c r="D101" s="644"/>
      <c r="E101" s="644"/>
      <c r="F101" s="644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3" t="str">
        <f>+VLOOKUP(LEFT($A102,LEN(A102)-1)*1,Master!$D$30:$G$229,4,FALSE)</f>
        <v>Ostali prihodi</v>
      </c>
      <c r="C102" s="644"/>
      <c r="D102" s="644"/>
      <c r="E102" s="644"/>
      <c r="F102" s="644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3" t="str">
        <f>+VLOOKUP(LEFT($A103,LEN(A103)-1)*1,Master!$D$30:$G$229,4,FALSE)</f>
        <v>Primici od otplate kredita i sredstva prenesena iz prethodne godine</v>
      </c>
      <c r="C103" s="644"/>
      <c r="D103" s="644"/>
      <c r="E103" s="644"/>
      <c r="F103" s="644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5" t="str">
        <f>+VLOOKUP(LEFT($A104,LEN(A104)-1)*1,Master!$D$30:$G$229,4,FALSE)</f>
        <v>Donacije i transferi</v>
      </c>
      <c r="C104" s="646"/>
      <c r="D104" s="646"/>
      <c r="E104" s="646"/>
      <c r="F104" s="646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29" t="str">
        <f>+VLOOKUP(LEFT($A105,LEN(A105)-1)*1,Master!$D$30:$G$229,4,FALSE)</f>
        <v>Izdaci budžeta</v>
      </c>
      <c r="C105" s="630"/>
      <c r="D105" s="630"/>
      <c r="E105" s="630"/>
      <c r="F105" s="630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7" t="str">
        <f>+VLOOKUP(LEFT($A106,LEN(A106)-1)*1,Master!$D$30:$G$229,4,FALSE)</f>
        <v>Tekući izdaci</v>
      </c>
      <c r="C106" s="648"/>
      <c r="D106" s="648"/>
      <c r="E106" s="648"/>
      <c r="F106" s="648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3" t="str">
        <f>+VLOOKUP(LEFT($A107,LEN(A107)-1)*1,Master!$D$30:$G$229,4,FALSE)</f>
        <v>Bruto zarade i doprinosi na teret poslodavca</v>
      </c>
      <c r="C107" s="634"/>
      <c r="D107" s="634"/>
      <c r="E107" s="634"/>
      <c r="F107" s="634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3" t="str">
        <f>+VLOOKUP(LEFT($A108,LEN(A108)-1)*1,Master!$D$30:$G$229,4,FALSE)</f>
        <v>Ostala lična primanja</v>
      </c>
      <c r="C108" s="634"/>
      <c r="D108" s="634"/>
      <c r="E108" s="634"/>
      <c r="F108" s="634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3" t="str">
        <f>+VLOOKUP(LEFT($A109,LEN(A109)-1)*1,Master!$D$30:$G$229,4,FALSE)</f>
        <v>Rashodi za materijal</v>
      </c>
      <c r="C109" s="634"/>
      <c r="D109" s="634"/>
      <c r="E109" s="634"/>
      <c r="F109" s="634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3" t="str">
        <f>+VLOOKUP(LEFT($A110,LEN(A110)-1)*1,Master!$D$30:$G$229,4,FALSE)</f>
        <v>Rashodi za usluge</v>
      </c>
      <c r="C110" s="634"/>
      <c r="D110" s="634"/>
      <c r="E110" s="634"/>
      <c r="F110" s="634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3" t="str">
        <f>+VLOOKUP(LEFT($A111,LEN(A111)-1)*1,Master!$D$30:$G$229,4,FALSE)</f>
        <v>Rashodi za tekuće održavanje</v>
      </c>
      <c r="C111" s="634"/>
      <c r="D111" s="634"/>
      <c r="E111" s="634"/>
      <c r="F111" s="634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3" t="str">
        <f>+VLOOKUP(LEFT($A112,LEN(A112)-1)*1,Master!$D$30:$G$229,4,FALSE)</f>
        <v>Kamate</v>
      </c>
      <c r="C112" s="634"/>
      <c r="D112" s="634"/>
      <c r="E112" s="634"/>
      <c r="F112" s="634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3" t="str">
        <f>+VLOOKUP(LEFT($A113,LEN(A113)-1)*1,Master!$D$30:$G$229,4,FALSE)</f>
        <v>Renta</v>
      </c>
      <c r="C113" s="634"/>
      <c r="D113" s="634"/>
      <c r="E113" s="634"/>
      <c r="F113" s="634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3" t="str">
        <f>+VLOOKUP(LEFT($A114,LEN(A114)-1)*1,Master!$D$30:$G$229,4,FALSE)</f>
        <v>Subvencije</v>
      </c>
      <c r="C114" s="634"/>
      <c r="D114" s="634"/>
      <c r="E114" s="634"/>
      <c r="F114" s="634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3" t="str">
        <f>+VLOOKUP(LEFT($A115,LEN(A115)-1)*1,Master!$D$30:$G$229,4,FALSE)</f>
        <v>Ostali izdaci</v>
      </c>
      <c r="C115" s="634"/>
      <c r="D115" s="634"/>
      <c r="E115" s="634"/>
      <c r="F115" s="634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3" t="str">
        <f>+VLOOKUP(LEFT($A116,LEN(A116)-1)*1,Master!$D$30:$G$229,4,FALSE)</f>
        <v>Transferi za socijalnu zaštitu</v>
      </c>
      <c r="C116" s="654"/>
      <c r="D116" s="654"/>
      <c r="E116" s="654"/>
      <c r="F116" s="654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3" t="str">
        <f>+VLOOKUP(LEFT($A117,LEN(A117)-1)*1,Master!$D$30:$G$229,4,FALSE)</f>
        <v>Prava iz oblasti socijalne zaštite</v>
      </c>
      <c r="C117" s="634"/>
      <c r="D117" s="634"/>
      <c r="E117" s="634"/>
      <c r="F117" s="634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3" t="str">
        <f>+VLOOKUP(LEFT($A118,LEN(A118)-1)*1,Master!$D$30:$G$229,4,FALSE)</f>
        <v>Sredstva za tehnološke viškove</v>
      </c>
      <c r="C118" s="634"/>
      <c r="D118" s="634"/>
      <c r="E118" s="634"/>
      <c r="F118" s="634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3" t="str">
        <f>+VLOOKUP(LEFT($A119,LEN(A119)-1)*1,Master!$D$30:$G$229,4,FALSE)</f>
        <v>Prava iz oblasti penzijskog i invalidskog osiguranja</v>
      </c>
      <c r="C119" s="634"/>
      <c r="D119" s="634"/>
      <c r="E119" s="634"/>
      <c r="F119" s="634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3" t="str">
        <f>+VLOOKUP(LEFT($A120,LEN(A120)-1)*1,Master!$D$30:$G$229,4,FALSE)</f>
        <v>Ostala prava iz oblasti zdravstvene zaštite</v>
      </c>
      <c r="C120" s="634"/>
      <c r="D120" s="634"/>
      <c r="E120" s="634"/>
      <c r="F120" s="634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3" t="str">
        <f>+VLOOKUP(LEFT($A121,LEN(A121)-1)*1,Master!$D$30:$G$229,4,FALSE)</f>
        <v>Ostala prava iz zdravstvenog osiguranja</v>
      </c>
      <c r="C121" s="634"/>
      <c r="D121" s="634"/>
      <c r="E121" s="634"/>
      <c r="F121" s="634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49" t="str">
        <f>+VLOOKUP(LEFT($A122,LEN(A122)-1)*1,Master!$D$30:$G$229,4,FALSE)</f>
        <v xml:space="preserve">Transferi institucijama, pojedincima, nevladinom i javnom sektoru </v>
      </c>
      <c r="C122" s="650"/>
      <c r="D122" s="650"/>
      <c r="E122" s="650"/>
      <c r="F122" s="650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49" t="str">
        <f>+VLOOKUP(LEFT($A123,LEN(A123)-1)*1,Master!$D$30:$G$229,4,FALSE)</f>
        <v>Kapitalni izdaci</v>
      </c>
      <c r="C123" s="650"/>
      <c r="D123" s="650"/>
      <c r="E123" s="650"/>
      <c r="F123" s="650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51" t="str">
        <f>+VLOOKUP(LEFT($A124,LEN(A124)-1)*1,Master!$D$30:$G$229,4,FALSE)</f>
        <v>Pozajmice i krediti</v>
      </c>
      <c r="C124" s="652"/>
      <c r="D124" s="652"/>
      <c r="E124" s="652"/>
      <c r="F124" s="652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51" t="str">
        <f>+VLOOKUP(LEFT($A125,LEN(A125)-1)*1,Master!$D$30:$G$229,4,FALSE)</f>
        <v>Rezerve</v>
      </c>
      <c r="C125" s="652"/>
      <c r="D125" s="652"/>
      <c r="E125" s="652"/>
      <c r="F125" s="652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51" t="str">
        <f>+VLOOKUP(LEFT($A126,LEN(A126)-1)*1,Master!$D$30:$G$229,4,FALSE)</f>
        <v>Otplata garancija</v>
      </c>
      <c r="C126" s="652"/>
      <c r="D126" s="652"/>
      <c r="E126" s="652"/>
      <c r="F126" s="652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51" t="str">
        <f>+VLOOKUP(LEFT($A127,LEN(A127)-1)*1,Master!$D$30:$G$229,4,FALSE)</f>
        <v>Otplata obaveza iz prethodnog perioda</v>
      </c>
      <c r="C127" s="652"/>
      <c r="D127" s="652"/>
      <c r="E127" s="652"/>
      <c r="F127" s="652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51" t="str">
        <f>+VLOOKUP(LEFT($A128,LEN(A128)-1)*1,Master!$D$30:$G$229,4,FALSE)</f>
        <v>Neto povećanje obaveza</v>
      </c>
      <c r="C128" s="652"/>
      <c r="D128" s="652"/>
      <c r="E128" s="652"/>
      <c r="F128" s="652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9" t="str">
        <f>+VLOOKUP(LEFT($A129,LEN(A129)-1)*1,Master!$D$30:$G$226,4,FALSE)</f>
        <v>Suficit / deficit</v>
      </c>
      <c r="C129" s="660"/>
      <c r="D129" s="660"/>
      <c r="E129" s="660"/>
      <c r="F129" s="660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61" t="str">
        <f>+VLOOKUP(LEFT($A130,LEN(A130)-1)*1,Master!$D$30:$G$226,4,FALSE)</f>
        <v>Primarni suficit/deficit</v>
      </c>
      <c r="C130" s="662"/>
      <c r="D130" s="662"/>
      <c r="E130" s="662"/>
      <c r="F130" s="662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3" t="str">
        <f>+VLOOKUP(LEFT($A131,LEN(A131)-1)*1,Master!$D$30:$G$226,4,FALSE)</f>
        <v>Otplata dugova</v>
      </c>
      <c r="C131" s="654"/>
      <c r="D131" s="654"/>
      <c r="E131" s="654"/>
      <c r="F131" s="654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7" t="str">
        <f>+VLOOKUP(LEFT($A132,LEN(A132)-1)*1,Master!$D$30:$G$226,4,FALSE)</f>
        <v>Otplata hartija od vrijednosti i kredita rezidentima</v>
      </c>
      <c r="C132" s="658"/>
      <c r="D132" s="658"/>
      <c r="E132" s="658"/>
      <c r="F132" s="658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51" t="str">
        <f>+VLOOKUP(LEFT($A133,LEN(A133)-1)*1,Master!$D$30:$G$226,4,FALSE)</f>
        <v>Otplata hartija od vrijednosti i kredita nerezidentima</v>
      </c>
      <c r="C133" s="652"/>
      <c r="D133" s="652"/>
      <c r="E133" s="652"/>
      <c r="F133" s="652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29" t="str">
        <f>+VLOOKUP(LEFT($A134,LEN(A134)-1)*1,Master!$D$30:$G$226,4,FALSE)</f>
        <v>Izdaci za kupovinu hartija od vrijednosti</v>
      </c>
      <c r="C134" s="630"/>
      <c r="D134" s="630"/>
      <c r="E134" s="630"/>
      <c r="F134" s="630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29" t="s">
        <v>113</v>
      </c>
      <c r="C135" s="630"/>
      <c r="D135" s="630"/>
      <c r="E135" s="630"/>
      <c r="F135" s="630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5" t="str">
        <f>+VLOOKUP(LEFT($A136,LEN(A136)-1)*1,Master!$D$30:$G$226,4,FALSE)</f>
        <v>Nedostajuća sredstva</v>
      </c>
      <c r="C136" s="656"/>
      <c r="D136" s="656"/>
      <c r="E136" s="656"/>
      <c r="F136" s="656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29" t="str">
        <f>+VLOOKUP(LEFT($A137,LEN(A137)-1)*1,Master!$D$30:$G$226,4,FALSE)</f>
        <v>Finansiranje</v>
      </c>
      <c r="C137" s="630"/>
      <c r="D137" s="630"/>
      <c r="E137" s="630"/>
      <c r="F137" s="630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7" t="str">
        <f>+VLOOKUP(LEFT($A138,LEN(A138)-1)*1,Master!$D$30:$G$226,4,FALSE)</f>
        <v>Pozajmice i krediti od domaćih izvora</v>
      </c>
      <c r="C138" s="658"/>
      <c r="D138" s="658"/>
      <c r="E138" s="658"/>
      <c r="F138" s="658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51" t="str">
        <f>+VLOOKUP(LEFT($A139,LEN(A139)-1)*1,Master!$D$30:$G$226,4,FALSE)</f>
        <v>Pozajmice i krediti od inostranih izvora</v>
      </c>
      <c r="C139" s="652"/>
      <c r="D139" s="652"/>
      <c r="E139" s="652"/>
      <c r="F139" s="652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51" t="str">
        <f>+VLOOKUP(LEFT($A140,LEN(A140)-1)*1,Master!$D$30:$G$226,4,FALSE)</f>
        <v>Primici od prodaje imovine</v>
      </c>
      <c r="C140" s="652"/>
      <c r="D140" s="652"/>
      <c r="E140" s="652"/>
      <c r="F140" s="652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topLeftCell="E1" zoomScale="90" zoomScaleNormal="90" workbookViewId="0">
      <pane ySplit="1" topLeftCell="A2" activePane="bottomLeft" state="frozen"/>
      <selection pane="bottomLeft" activeCell="H23" sqref="H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2025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7918500000</v>
      </c>
    </row>
    <row r="8" spans="1:23" ht="16.5" customHeight="1">
      <c r="A8" s="129"/>
      <c r="B8" s="568"/>
      <c r="C8" s="569"/>
      <c r="D8" s="569"/>
      <c r="E8" s="569"/>
      <c r="F8" s="57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3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513">
        <f>G11+G19+G24+G25+G26+G27+G28</f>
        <v>156750672.07999998</v>
      </c>
      <c r="H10" s="513">
        <f t="shared" ref="H10:L10" si="1">+H11+H19+SUM(H24:H28)</f>
        <v>178348802.93000001</v>
      </c>
      <c r="I10" s="513">
        <f t="shared" si="1"/>
        <v>245354774.28999996</v>
      </c>
      <c r="J10" s="513">
        <f t="shared" si="1"/>
        <v>317119220.47000003</v>
      </c>
      <c r="K10" s="513">
        <f t="shared" si="1"/>
        <v>199482464.05999997</v>
      </c>
      <c r="L10" s="513">
        <f t="shared" si="1"/>
        <v>225904199.02999997</v>
      </c>
      <c r="M10" s="513">
        <f t="shared" ref="M10:R10" si="2">+M11+M19+SUM(M24:M28)</f>
        <v>256764059.95000002</v>
      </c>
      <c r="N10" s="513">
        <f t="shared" si="2"/>
        <v>258519820.17000002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1838244012.98</v>
      </c>
      <c r="T10" s="515">
        <f>+S10/$T$7*100</f>
        <v>23.214548373808171</v>
      </c>
    </row>
    <row r="11" spans="1:23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265707637.32000002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202252135.63</v>
      </c>
      <c r="N11" s="516">
        <f t="shared" si="4"/>
        <v>208690353.47999999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1482377400.5500002</v>
      </c>
      <c r="T11" s="519">
        <f t="shared" ref="T11:T66" si="5">+S11/$T$7*100</f>
        <v>18.720431906926819</v>
      </c>
    </row>
    <row r="12" spans="1:23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499">
        <v>3030555.43</v>
      </c>
      <c r="H12" s="499">
        <v>8431658.6199999992</v>
      </c>
      <c r="I12" s="499">
        <v>8822636.5500000007</v>
      </c>
      <c r="J12" s="499">
        <v>10595893.43</v>
      </c>
      <c r="K12" s="499">
        <v>7860769.3200000003</v>
      </c>
      <c r="L12" s="148">
        <v>7843776.29</v>
      </c>
      <c r="M12" s="148">
        <v>9900438.5999999996</v>
      </c>
      <c r="N12" s="148">
        <v>9648119.4199999999</v>
      </c>
      <c r="O12" s="148"/>
      <c r="P12" s="148"/>
      <c r="Q12" s="148"/>
      <c r="R12" s="148"/>
      <c r="S12" s="227">
        <f>+SUM(G12:R12)</f>
        <v>66133847.660000004</v>
      </c>
      <c r="T12" s="436">
        <f t="shared" si="5"/>
        <v>0.83518150735619123</v>
      </c>
    </row>
    <row r="13" spans="1:23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499">
        <v>4758743.22</v>
      </c>
      <c r="H13" s="499">
        <v>4374185.16</v>
      </c>
      <c r="I13" s="499">
        <v>69066545.549999997</v>
      </c>
      <c r="J13" s="499">
        <v>112838365.88</v>
      </c>
      <c r="K13" s="499">
        <v>8765336.6999999993</v>
      </c>
      <c r="L13" s="148">
        <v>10311268.779999999</v>
      </c>
      <c r="M13" s="148">
        <v>5773713.3300000001</v>
      </c>
      <c r="N13" s="148">
        <v>2926004.8</v>
      </c>
      <c r="O13" s="148"/>
      <c r="P13" s="148"/>
      <c r="Q13" s="148"/>
      <c r="R13" s="148"/>
      <c r="S13" s="227">
        <f t="shared" ref="S13:S65" si="6">+SUM(G13:R13)</f>
        <v>218814163.42000002</v>
      </c>
      <c r="T13" s="436">
        <f t="shared" si="5"/>
        <v>2.7633284513481091</v>
      </c>
      <c r="V13" s="276"/>
      <c r="W13" s="494"/>
    </row>
    <row r="14" spans="1:23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499">
        <v>96606704.819999993</v>
      </c>
      <c r="H15" s="499">
        <v>90486320.040000007</v>
      </c>
      <c r="I15" s="499">
        <v>95190601.359999999</v>
      </c>
      <c r="J15" s="499">
        <v>101620940.56</v>
      </c>
      <c r="K15" s="499">
        <v>103302134.66</v>
      </c>
      <c r="L15" s="148">
        <v>114852175.14</v>
      </c>
      <c r="M15" s="148">
        <v>136015036.31999999</v>
      </c>
      <c r="N15" s="148">
        <v>142252517.13</v>
      </c>
      <c r="O15" s="148"/>
      <c r="P15" s="148"/>
      <c r="Q15" s="148"/>
      <c r="R15" s="148"/>
      <c r="S15" s="227">
        <f t="shared" si="6"/>
        <v>880326430.03000009</v>
      </c>
      <c r="T15" s="436">
        <f t="shared" si="5"/>
        <v>11.117338258887417</v>
      </c>
      <c r="V15" s="276"/>
      <c r="W15" s="494"/>
    </row>
    <row r="16" spans="1:23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499">
        <v>23651764.850000001</v>
      </c>
      <c r="H16" s="499">
        <v>25416734.460000001</v>
      </c>
      <c r="I16" s="499">
        <v>22396675.600000001</v>
      </c>
      <c r="J16" s="499">
        <v>33254768.050000001</v>
      </c>
      <c r="K16" s="499">
        <v>31121619.41</v>
      </c>
      <c r="L16" s="148">
        <v>37020225.659999996</v>
      </c>
      <c r="M16" s="148">
        <v>41468885</v>
      </c>
      <c r="N16" s="148">
        <v>46239123.810000002</v>
      </c>
      <c r="O16" s="148"/>
      <c r="P16" s="148"/>
      <c r="Q16" s="148"/>
      <c r="R16" s="148"/>
      <c r="S16" s="227">
        <f t="shared" si="6"/>
        <v>260569796.84</v>
      </c>
      <c r="T16" s="436">
        <f t="shared" si="5"/>
        <v>3.2906459157668753</v>
      </c>
      <c r="V16" s="276"/>
      <c r="W16" s="494"/>
    </row>
    <row r="17" spans="1:23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499">
        <v>3527264.2</v>
      </c>
      <c r="H17" s="499">
        <v>4794688.67</v>
      </c>
      <c r="I17" s="499">
        <v>5839125.4400000004</v>
      </c>
      <c r="J17" s="499">
        <v>6146881</v>
      </c>
      <c r="K17" s="499">
        <v>5626244.9800000004</v>
      </c>
      <c r="L17" s="148">
        <v>6373571.0700000003</v>
      </c>
      <c r="M17" s="148">
        <v>7389935.04</v>
      </c>
      <c r="N17" s="148">
        <v>6176594.8899999997</v>
      </c>
      <c r="O17" s="148"/>
      <c r="P17" s="148"/>
      <c r="Q17" s="148"/>
      <c r="R17" s="148"/>
      <c r="S17" s="227">
        <f t="shared" si="6"/>
        <v>45874305.290000007</v>
      </c>
      <c r="T17" s="436">
        <f t="shared" si="5"/>
        <v>0.57933074812148766</v>
      </c>
      <c r="V17" s="276"/>
      <c r="W17" s="494"/>
    </row>
    <row r="18" spans="1:23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499">
        <v>1127596.99</v>
      </c>
      <c r="H18" s="499">
        <v>1153646.6000000001</v>
      </c>
      <c r="I18" s="499">
        <v>1202456.68</v>
      </c>
      <c r="J18" s="499">
        <v>1250788.3999999999</v>
      </c>
      <c r="K18" s="499">
        <v>1302048.17</v>
      </c>
      <c r="L18" s="148">
        <v>1470199.7</v>
      </c>
      <c r="M18" s="148">
        <v>1704127.34</v>
      </c>
      <c r="N18" s="148">
        <v>1447993.43</v>
      </c>
      <c r="O18" s="148"/>
      <c r="P18" s="148"/>
      <c r="Q18" s="148"/>
      <c r="R18" s="148"/>
      <c r="S18" s="227">
        <f t="shared" si="6"/>
        <v>10658857.310000001</v>
      </c>
      <c r="T18" s="436">
        <f t="shared" si="5"/>
        <v>0.13460702544673867</v>
      </c>
      <c r="V18" s="276"/>
      <c r="W18" s="494"/>
    </row>
    <row r="19" spans="1:23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34931492.049999997</v>
      </c>
      <c r="N19" s="520">
        <f t="shared" si="7"/>
        <v>36620901.300000004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255632116.45999998</v>
      </c>
      <c r="T19" s="522">
        <f t="shared" si="5"/>
        <v>3.2282896566268864</v>
      </c>
      <c r="V19" s="276"/>
      <c r="W19" s="494"/>
    </row>
    <row r="20" spans="1:23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499">
        <v>14262452.49</v>
      </c>
      <c r="H20" s="499">
        <v>29554149.210000001</v>
      </c>
      <c r="I20" s="499">
        <v>27476313.780000001</v>
      </c>
      <c r="J20" s="499">
        <v>28513630.079999998</v>
      </c>
      <c r="K20" s="499">
        <v>27075161.030000001</v>
      </c>
      <c r="L20" s="148">
        <v>28518289.399999999</v>
      </c>
      <c r="M20" s="148">
        <v>29314001.120000001</v>
      </c>
      <c r="N20" s="148">
        <v>30908485.440000001</v>
      </c>
      <c r="O20" s="148"/>
      <c r="P20" s="148"/>
      <c r="Q20" s="148"/>
      <c r="R20" s="148"/>
      <c r="S20" s="227">
        <f>+SUM(G20:R20)</f>
        <v>215622482.55000001</v>
      </c>
      <c r="T20" s="436">
        <f t="shared" si="5"/>
        <v>2.7230218166319378</v>
      </c>
      <c r="V20" s="276"/>
      <c r="W20" s="494"/>
    </row>
    <row r="21" spans="1:23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499">
        <v>314658.88</v>
      </c>
      <c r="H21" s="499">
        <v>1154569.93</v>
      </c>
      <c r="I21" s="499">
        <v>583561.47</v>
      </c>
      <c r="J21" s="499">
        <v>524440.96</v>
      </c>
      <c r="K21" s="499">
        <v>499269.08</v>
      </c>
      <c r="L21" s="148">
        <v>572757.14</v>
      </c>
      <c r="M21" s="148">
        <v>514025.99</v>
      </c>
      <c r="N21" s="148">
        <v>478138.37</v>
      </c>
      <c r="O21" s="148"/>
      <c r="P21" s="148"/>
      <c r="Q21" s="148"/>
      <c r="R21" s="148"/>
      <c r="S21" s="227">
        <f t="shared" si="6"/>
        <v>4641421.82</v>
      </c>
      <c r="T21" s="436">
        <f t="shared" si="5"/>
        <v>5.8614912167708533E-2</v>
      </c>
      <c r="V21" s="276"/>
      <c r="W21" s="494"/>
    </row>
    <row r="22" spans="1:23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499">
        <v>1216722.56</v>
      </c>
      <c r="H22" s="499">
        <v>2764148.03</v>
      </c>
      <c r="I22" s="499">
        <v>2567338.7400000002</v>
      </c>
      <c r="J22" s="499">
        <v>2726994.09</v>
      </c>
      <c r="K22" s="499">
        <v>2429549.14</v>
      </c>
      <c r="L22" s="148">
        <v>2974122.76</v>
      </c>
      <c r="M22" s="148">
        <v>2992596.32</v>
      </c>
      <c r="N22" s="148">
        <v>3041994</v>
      </c>
      <c r="O22" s="148"/>
      <c r="P22" s="148"/>
      <c r="Q22" s="148"/>
      <c r="R22" s="148"/>
      <c r="S22" s="227">
        <f t="shared" si="6"/>
        <v>20713465.640000001</v>
      </c>
      <c r="T22" s="436">
        <f t="shared" si="5"/>
        <v>0.26158319934330998</v>
      </c>
    </row>
    <row r="23" spans="1:23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499">
        <v>819141.76</v>
      </c>
      <c r="H23" s="499">
        <v>1881585.61</v>
      </c>
      <c r="I23" s="499">
        <v>1805929.14</v>
      </c>
      <c r="J23" s="499">
        <v>1990062.44</v>
      </c>
      <c r="K23" s="499">
        <v>1768003.91</v>
      </c>
      <c r="L23" s="148">
        <v>2086871.48</v>
      </c>
      <c r="M23" s="148">
        <v>2110868.62</v>
      </c>
      <c r="N23" s="148">
        <v>2192283.4900000002</v>
      </c>
      <c r="O23" s="148"/>
      <c r="P23" s="148"/>
      <c r="Q23" s="148"/>
      <c r="R23" s="148"/>
      <c r="S23" s="227">
        <f t="shared" si="6"/>
        <v>14654746.450000001</v>
      </c>
      <c r="T23" s="436">
        <f t="shared" si="5"/>
        <v>0.18506972848393005</v>
      </c>
      <c r="V23" s="495"/>
      <c r="W23" s="494"/>
    </row>
    <row r="24" spans="1:23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876568.74</v>
      </c>
      <c r="H24" s="160">
        <v>1052557.3699999999</v>
      </c>
      <c r="I24" s="160">
        <v>1107384.3999999999</v>
      </c>
      <c r="J24" s="160">
        <v>1282834.46</v>
      </c>
      <c r="K24" s="160">
        <v>1223227.82</v>
      </c>
      <c r="L24" s="523">
        <v>1517861.18</v>
      </c>
      <c r="M24" s="523">
        <v>1847059.53</v>
      </c>
      <c r="N24" s="523">
        <v>1783600.39</v>
      </c>
      <c r="O24" s="523"/>
      <c r="P24" s="523"/>
      <c r="Q24" s="523"/>
      <c r="R24" s="523"/>
      <c r="S24" s="521">
        <f t="shared" si="6"/>
        <v>10691093.890000001</v>
      </c>
      <c r="T24" s="522">
        <f t="shared" si="5"/>
        <v>0.13501413007514049</v>
      </c>
    </row>
    <row r="25" spans="1:23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4273770.1400000006</v>
      </c>
      <c r="H25" s="160">
        <v>3496530.8</v>
      </c>
      <c r="I25" s="160">
        <v>4383671.12</v>
      </c>
      <c r="J25" s="160">
        <v>7314217.7100000009</v>
      </c>
      <c r="K25" s="160">
        <v>4743652.47</v>
      </c>
      <c r="L25" s="523">
        <v>7205854.8599999994</v>
      </c>
      <c r="M25" s="523">
        <v>6884049.8699999992</v>
      </c>
      <c r="N25" s="523">
        <v>6686850.2999999998</v>
      </c>
      <c r="O25" s="523"/>
      <c r="P25" s="523"/>
      <c r="Q25" s="523"/>
      <c r="R25" s="523"/>
      <c r="S25" s="521">
        <f t="shared" si="6"/>
        <v>44988597.269999996</v>
      </c>
      <c r="T25" s="522">
        <f t="shared" si="5"/>
        <v>0.56814544762265573</v>
      </c>
    </row>
    <row r="26" spans="1:23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2284728</v>
      </c>
      <c r="H26" s="160">
        <v>2935178.32</v>
      </c>
      <c r="I26" s="160">
        <v>2894676.9999999995</v>
      </c>
      <c r="J26" s="160">
        <v>8456385.3900000006</v>
      </c>
      <c r="K26" s="160">
        <v>3041978.58</v>
      </c>
      <c r="L26" s="523">
        <v>4108450.77</v>
      </c>
      <c r="M26" s="523">
        <v>7215062.8300000001</v>
      </c>
      <c r="N26" s="523">
        <v>3898113.64</v>
      </c>
      <c r="O26" s="523"/>
      <c r="P26" s="523"/>
      <c r="Q26" s="523"/>
      <c r="R26" s="523"/>
      <c r="S26" s="521">
        <f t="shared" si="6"/>
        <v>34834574.530000001</v>
      </c>
      <c r="T26" s="522">
        <f t="shared" si="5"/>
        <v>0.4399138034981373</v>
      </c>
    </row>
    <row r="27" spans="1:23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0</v>
      </c>
      <c r="H28" s="160">
        <v>852850.11</v>
      </c>
      <c r="I28" s="160">
        <v>2017857.46</v>
      </c>
      <c r="J28" s="160">
        <v>603018.02</v>
      </c>
      <c r="K28" s="160">
        <v>723468.79</v>
      </c>
      <c r="L28" s="523">
        <v>1048774.8</v>
      </c>
      <c r="M28" s="523">
        <v>3634260.04</v>
      </c>
      <c r="N28" s="523">
        <v>840001.06</v>
      </c>
      <c r="O28" s="523"/>
      <c r="P28" s="523"/>
      <c r="Q28" s="523"/>
      <c r="R28" s="523"/>
      <c r="S28" s="521">
        <f t="shared" si="6"/>
        <v>9720230.2799999993</v>
      </c>
      <c r="T28" s="524">
        <f t="shared" si="5"/>
        <v>0.12275342905853381</v>
      </c>
    </row>
    <row r="29" spans="1:23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154390488.06999996</v>
      </c>
      <c r="H29" s="136">
        <f t="shared" ref="H29:L29" si="8">+H30+H40+H46+SUM(H47:H51)</f>
        <v>212755586.39000005</v>
      </c>
      <c r="I29" s="136">
        <f t="shared" si="8"/>
        <v>278522892.41000003</v>
      </c>
      <c r="J29" s="136">
        <f t="shared" si="8"/>
        <v>284499880.84000009</v>
      </c>
      <c r="K29" s="136">
        <f t="shared" si="8"/>
        <v>236034871.40000001</v>
      </c>
      <c r="L29" s="136">
        <f t="shared" si="8"/>
        <v>267312097.50000003</v>
      </c>
      <c r="M29" s="136">
        <f t="shared" ref="M29:R29" si="9">+M30+M40+M46+SUM(M47:M51)</f>
        <v>242650726.09999996</v>
      </c>
      <c r="N29" s="136">
        <f t="shared" si="9"/>
        <v>235361476.79000002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1911528019.5000002</v>
      </c>
      <c r="T29" s="526">
        <f t="shared" si="5"/>
        <v>24.140026766433039</v>
      </c>
    </row>
    <row r="30" spans="1:23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" si="10">+SUM(G31:G39)</f>
        <v>62043543.54999999</v>
      </c>
      <c r="H30" s="172">
        <f t="shared" ref="H30:L30" si="11">+SUM(H31:H39)</f>
        <v>75176540.300000042</v>
      </c>
      <c r="I30" s="172">
        <f t="shared" si="11"/>
        <v>110899642.14000003</v>
      </c>
      <c r="J30" s="172">
        <f t="shared" si="11"/>
        <v>122538529.20000006</v>
      </c>
      <c r="K30" s="172">
        <f t="shared" si="11"/>
        <v>91193014.469999969</v>
      </c>
      <c r="L30" s="172">
        <f t="shared" si="11"/>
        <v>96476662.649999991</v>
      </c>
      <c r="M30" s="172">
        <f t="shared" ref="M30:R30" si="12">+SUM(M31:M39)</f>
        <v>91815562.11999999</v>
      </c>
      <c r="N30" s="172">
        <f t="shared" si="12"/>
        <v>83285058.520000026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733428552.95000005</v>
      </c>
      <c r="T30" s="519">
        <f t="shared" si="5"/>
        <v>9.2622157346719725</v>
      </c>
      <c r="U30" s="472"/>
    </row>
    <row r="31" spans="1:23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499">
        <v>55836509.87999998</v>
      </c>
      <c r="H31" s="499">
        <v>57530041.020000033</v>
      </c>
      <c r="I31" s="499">
        <v>56241192.140000015</v>
      </c>
      <c r="J31" s="499">
        <v>57955580.230000049</v>
      </c>
      <c r="K31" s="499">
        <v>57929792.420000002</v>
      </c>
      <c r="L31" s="499">
        <v>57841844.710000001</v>
      </c>
      <c r="M31" s="499">
        <v>56105463.139999993</v>
      </c>
      <c r="N31" s="499">
        <v>55952853.20000001</v>
      </c>
      <c r="O31" s="499"/>
      <c r="P31" s="499"/>
      <c r="Q31" s="499"/>
      <c r="R31" s="148"/>
      <c r="S31" s="227">
        <f t="shared" si="6"/>
        <v>455393276.74000001</v>
      </c>
      <c r="T31" s="436">
        <f t="shared" si="5"/>
        <v>5.7510043157163606</v>
      </c>
      <c r="U31" s="472"/>
    </row>
    <row r="32" spans="1:23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499">
        <v>31766.52</v>
      </c>
      <c r="H32" s="499">
        <v>1842166.1700000016</v>
      </c>
      <c r="I32" s="499">
        <v>1859578.6300000006</v>
      </c>
      <c r="J32" s="499">
        <v>2512992.9100000006</v>
      </c>
      <c r="K32" s="499">
        <v>1594579.5199999996</v>
      </c>
      <c r="L32" s="499">
        <v>2658566.0099999998</v>
      </c>
      <c r="M32" s="499">
        <v>1633324.4899999998</v>
      </c>
      <c r="N32" s="499">
        <v>2785504.12</v>
      </c>
      <c r="O32" s="499"/>
      <c r="P32" s="499"/>
      <c r="Q32" s="499"/>
      <c r="R32" s="148"/>
      <c r="S32" s="227">
        <f t="shared" si="6"/>
        <v>14918478.370000001</v>
      </c>
      <c r="T32" s="436">
        <f t="shared" si="5"/>
        <v>0.18840030776030814</v>
      </c>
      <c r="U32" s="472"/>
    </row>
    <row r="33" spans="1:23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499">
        <v>39625.339999999997</v>
      </c>
      <c r="H33" s="499">
        <v>1487088.8500000003</v>
      </c>
      <c r="I33" s="499">
        <v>4592010.7299999995</v>
      </c>
      <c r="J33" s="499">
        <v>3866754.5999999996</v>
      </c>
      <c r="K33" s="499">
        <v>2644436.0699999998</v>
      </c>
      <c r="L33" s="499">
        <v>2839973.1600000006</v>
      </c>
      <c r="M33" s="499">
        <v>3117960.62</v>
      </c>
      <c r="N33" s="499">
        <v>3610133.7300000004</v>
      </c>
      <c r="O33" s="499"/>
      <c r="P33" s="499"/>
      <c r="Q33" s="499"/>
      <c r="R33" s="148"/>
      <c r="S33" s="227">
        <f t="shared" si="6"/>
        <v>22197983.100000001</v>
      </c>
      <c r="T33" s="436">
        <f t="shared" si="5"/>
        <v>0.2803306573214624</v>
      </c>
      <c r="U33" s="472"/>
    </row>
    <row r="34" spans="1:23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499">
        <v>1245697.8400000001</v>
      </c>
      <c r="H34" s="499">
        <v>3160849.0199999996</v>
      </c>
      <c r="I34" s="499">
        <v>5714884.3200000003</v>
      </c>
      <c r="J34" s="499">
        <v>8513198.9800000004</v>
      </c>
      <c r="K34" s="499">
        <v>6665322.1999999993</v>
      </c>
      <c r="L34" s="499">
        <v>7562278.5300000003</v>
      </c>
      <c r="M34" s="499">
        <v>7218562.919999999</v>
      </c>
      <c r="N34" s="499">
        <v>5633275.0000000009</v>
      </c>
      <c r="O34" s="499"/>
      <c r="P34" s="499"/>
      <c r="Q34" s="499"/>
      <c r="R34" s="148"/>
      <c r="S34" s="227">
        <f t="shared" si="6"/>
        <v>45714068.810000002</v>
      </c>
      <c r="T34" s="436">
        <f t="shared" si="5"/>
        <v>0.57730717699059175</v>
      </c>
      <c r="U34" s="472"/>
    </row>
    <row r="35" spans="1:23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499">
        <v>1721.01</v>
      </c>
      <c r="H35" s="499">
        <v>948846.46</v>
      </c>
      <c r="I35" s="499">
        <v>3236889.07</v>
      </c>
      <c r="J35" s="499">
        <v>2562919.08</v>
      </c>
      <c r="K35" s="499">
        <v>2313041.1300000004</v>
      </c>
      <c r="L35" s="499">
        <v>3214980.1100000013</v>
      </c>
      <c r="M35" s="499">
        <v>2619371.9699999997</v>
      </c>
      <c r="N35" s="499">
        <v>2796550.34</v>
      </c>
      <c r="O35" s="499"/>
      <c r="P35" s="499"/>
      <c r="Q35" s="499"/>
      <c r="R35" s="148"/>
      <c r="S35" s="227">
        <f t="shared" si="6"/>
        <v>17694319.170000002</v>
      </c>
      <c r="T35" s="436">
        <f t="shared" si="5"/>
        <v>0.22345544193976136</v>
      </c>
      <c r="U35" s="472"/>
    </row>
    <row r="36" spans="1:23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499">
        <v>3788619.5500000003</v>
      </c>
      <c r="H36" s="499">
        <v>3320549.1300000004</v>
      </c>
      <c r="I36" s="499">
        <v>24471807.800000004</v>
      </c>
      <c r="J36" s="499">
        <v>33272514.920000002</v>
      </c>
      <c r="K36" s="499">
        <v>10340576.27</v>
      </c>
      <c r="L36" s="499">
        <v>5428174.1699999999</v>
      </c>
      <c r="M36" s="499">
        <v>4924646.78</v>
      </c>
      <c r="N36" s="499">
        <v>2716052.29</v>
      </c>
      <c r="O36" s="499"/>
      <c r="P36" s="499"/>
      <c r="Q36" s="499"/>
      <c r="R36" s="148"/>
      <c r="S36" s="227">
        <f>+SUM(G36:R36)</f>
        <v>88262940.910000011</v>
      </c>
      <c r="T36" s="436">
        <f t="shared" si="5"/>
        <v>1.1146421785691736</v>
      </c>
      <c r="U36" s="472"/>
    </row>
    <row r="37" spans="1:23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499">
        <v>17739.240000000002</v>
      </c>
      <c r="H37" s="499">
        <v>658913.61</v>
      </c>
      <c r="I37" s="499">
        <v>1423673.45</v>
      </c>
      <c r="J37" s="499">
        <v>1026043.0900000001</v>
      </c>
      <c r="K37" s="499">
        <v>804963.71999999986</v>
      </c>
      <c r="L37" s="499">
        <v>1422017.38</v>
      </c>
      <c r="M37" s="499">
        <v>1142860.7000000002</v>
      </c>
      <c r="N37" s="499">
        <v>749974.72999999986</v>
      </c>
      <c r="O37" s="499"/>
      <c r="P37" s="499"/>
      <c r="Q37" s="499"/>
      <c r="R37" s="148"/>
      <c r="S37" s="227">
        <f t="shared" si="6"/>
        <v>7246185.919999999</v>
      </c>
      <c r="T37" s="436">
        <f t="shared" si="5"/>
        <v>9.1509577824082838E-2</v>
      </c>
      <c r="U37" s="472"/>
    </row>
    <row r="38" spans="1:23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499">
        <v>651862.92999999982</v>
      </c>
      <c r="H38" s="499">
        <v>4133251.8899999955</v>
      </c>
      <c r="I38" s="499">
        <v>6084455.6400000025</v>
      </c>
      <c r="J38" s="499">
        <v>6925339.3099999987</v>
      </c>
      <c r="K38" s="499">
        <v>4645561.2299999967</v>
      </c>
      <c r="L38" s="499">
        <v>5186790.0599999949</v>
      </c>
      <c r="M38" s="499">
        <v>6248831.4699999951</v>
      </c>
      <c r="N38" s="499">
        <v>4290997.33</v>
      </c>
      <c r="O38" s="499"/>
      <c r="P38" s="499"/>
      <c r="Q38" s="499"/>
      <c r="R38" s="148"/>
      <c r="S38" s="227">
        <f t="shared" si="6"/>
        <v>38167089.859999985</v>
      </c>
      <c r="T38" s="436">
        <f t="shared" si="5"/>
        <v>0.48199898793963486</v>
      </c>
      <c r="U38" s="472"/>
    </row>
    <row r="39" spans="1:23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499">
        <v>430001.24</v>
      </c>
      <c r="H39" s="499">
        <v>2094834.1499999992</v>
      </c>
      <c r="I39" s="499">
        <v>7275150.3600000003</v>
      </c>
      <c r="J39" s="499">
        <v>5903186.0800000001</v>
      </c>
      <c r="K39" s="499">
        <v>4254741.9099999992</v>
      </c>
      <c r="L39" s="499">
        <v>10322038.519999998</v>
      </c>
      <c r="M39" s="499">
        <v>8804540.0299999975</v>
      </c>
      <c r="N39" s="499">
        <v>4749717.7800000012</v>
      </c>
      <c r="O39" s="499"/>
      <c r="P39" s="499"/>
      <c r="Q39" s="499"/>
      <c r="R39" s="148"/>
      <c r="S39" s="227">
        <f t="shared" si="6"/>
        <v>43834210.069999993</v>
      </c>
      <c r="T39" s="436">
        <f t="shared" si="5"/>
        <v>0.55356709061059539</v>
      </c>
      <c r="U39" s="472"/>
    </row>
    <row r="40" spans="1:23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82168714.539999992</v>
      </c>
      <c r="H40" s="178">
        <f t="shared" ref="H40:L40" si="13">+SUM(H41:H45)</f>
        <v>94350241.819999993</v>
      </c>
      <c r="I40" s="178">
        <f t="shared" si="13"/>
        <v>92708075.590000004</v>
      </c>
      <c r="J40" s="178">
        <f t="shared" si="13"/>
        <v>90295472.180000007</v>
      </c>
      <c r="K40" s="178">
        <f t="shared" si="13"/>
        <v>90668144.410000026</v>
      </c>
      <c r="L40" s="178">
        <f t="shared" si="13"/>
        <v>93416914.150000006</v>
      </c>
      <c r="M40" s="178">
        <f t="shared" ref="M40:R40" si="14">+SUM(M41:M45)</f>
        <v>92684341.479999989</v>
      </c>
      <c r="N40" s="178">
        <f t="shared" si="14"/>
        <v>94423150.140000015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730715054.31000006</v>
      </c>
      <c r="T40" s="529">
        <f t="shared" si="5"/>
        <v>9.2279478980867591</v>
      </c>
      <c r="U40" s="472"/>
    </row>
    <row r="41" spans="1:23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499">
        <v>19200151.200000003</v>
      </c>
      <c r="H41" s="499">
        <v>22395140.600000005</v>
      </c>
      <c r="I41" s="499">
        <v>21236495.860000007</v>
      </c>
      <c r="J41" s="499">
        <v>19874612.220000003</v>
      </c>
      <c r="K41" s="499">
        <v>19545034.68</v>
      </c>
      <c r="L41" s="499">
        <v>20328527.629999995</v>
      </c>
      <c r="M41" s="499">
        <v>20317695.200000003</v>
      </c>
      <c r="N41" s="499">
        <v>21307290.510000002</v>
      </c>
      <c r="O41" s="499"/>
      <c r="P41" s="499"/>
      <c r="Q41" s="499"/>
      <c r="R41" s="148"/>
      <c r="S41" s="227">
        <f t="shared" si="6"/>
        <v>164204947.90000004</v>
      </c>
      <c r="T41" s="436">
        <f t="shared" si="5"/>
        <v>2.0736875405695527</v>
      </c>
      <c r="U41" s="472"/>
    </row>
    <row r="42" spans="1:23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499">
        <v>37260</v>
      </c>
      <c r="H42" s="499">
        <v>2145915.9300000002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>
        <v>2074198.53</v>
      </c>
      <c r="N42" s="499">
        <v>2056772.54</v>
      </c>
      <c r="O42" s="499"/>
      <c r="P42" s="499"/>
      <c r="Q42" s="499"/>
      <c r="R42" s="148"/>
      <c r="S42" s="227">
        <f t="shared" si="6"/>
        <v>14808637.550000001</v>
      </c>
      <c r="T42" s="436">
        <f t="shared" si="5"/>
        <v>0.1870131660036623</v>
      </c>
      <c r="U42" s="472"/>
    </row>
    <row r="43" spans="1:23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499">
        <v>62931303.339999989</v>
      </c>
      <c r="H43" s="499">
        <v>65497529.849999987</v>
      </c>
      <c r="I43" s="499">
        <v>65458140.899999999</v>
      </c>
      <c r="J43" s="499">
        <v>65623487.380000003</v>
      </c>
      <c r="K43" s="499">
        <v>65646943.670000017</v>
      </c>
      <c r="L43" s="499">
        <v>66986411.460000008</v>
      </c>
      <c r="M43" s="499">
        <v>66789126.959999993</v>
      </c>
      <c r="N43" s="499">
        <v>66941612.710000023</v>
      </c>
      <c r="O43" s="499"/>
      <c r="P43" s="499"/>
      <c r="Q43" s="499"/>
      <c r="R43" s="148"/>
      <c r="S43" s="227">
        <f t="shared" si="6"/>
        <v>525874556.27000004</v>
      </c>
      <c r="T43" s="436">
        <f t="shared" si="5"/>
        <v>6.6410880377596779</v>
      </c>
      <c r="U43" s="472"/>
    </row>
    <row r="44" spans="1:23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499">
        <v>0</v>
      </c>
      <c r="H44" s="499">
        <v>2943314.7199999997</v>
      </c>
      <c r="I44" s="499">
        <v>1831981</v>
      </c>
      <c r="J44" s="499">
        <v>1453855.4</v>
      </c>
      <c r="K44" s="499">
        <v>1873268.44</v>
      </c>
      <c r="L44" s="499">
        <v>2688499.0300000003</v>
      </c>
      <c r="M44" s="499">
        <v>2207282.3800000004</v>
      </c>
      <c r="N44" s="499">
        <v>2543110.19</v>
      </c>
      <c r="O44" s="499"/>
      <c r="P44" s="499"/>
      <c r="Q44" s="499"/>
      <c r="R44" s="148"/>
      <c r="S44" s="227">
        <f t="shared" si="6"/>
        <v>15541311.16</v>
      </c>
      <c r="T44" s="436">
        <f t="shared" si="5"/>
        <v>0.19626584782471429</v>
      </c>
      <c r="U44" s="472"/>
    </row>
    <row r="45" spans="1:23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499">
        <v>0</v>
      </c>
      <c r="H45" s="499">
        <v>1368340.72</v>
      </c>
      <c r="I45" s="499">
        <v>2013570.3699999989</v>
      </c>
      <c r="J45" s="499">
        <v>1200730.3399999999</v>
      </c>
      <c r="K45" s="499">
        <v>1511614.4000000008</v>
      </c>
      <c r="L45" s="499">
        <v>1320942.9999999995</v>
      </c>
      <c r="M45" s="499">
        <v>1296038.4099999999</v>
      </c>
      <c r="N45" s="499">
        <v>1574364.19</v>
      </c>
      <c r="O45" s="499"/>
      <c r="P45" s="499"/>
      <c r="Q45" s="499"/>
      <c r="R45" s="148"/>
      <c r="S45" s="227">
        <f t="shared" si="6"/>
        <v>10285601.43</v>
      </c>
      <c r="T45" s="436">
        <f t="shared" si="5"/>
        <v>0.12989330592915324</v>
      </c>
      <c r="U45" s="472"/>
    </row>
    <row r="46" spans="1:23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4939745.53</v>
      </c>
      <c r="H46" s="160">
        <v>29118491.300000001</v>
      </c>
      <c r="I46" s="160">
        <v>48389791.06000001</v>
      </c>
      <c r="J46" s="160">
        <v>36213748.170000002</v>
      </c>
      <c r="K46" s="160">
        <v>42197619.029999994</v>
      </c>
      <c r="L46" s="160">
        <v>42288285.969999999</v>
      </c>
      <c r="M46" s="160">
        <v>33408551.100000001</v>
      </c>
      <c r="N46" s="160">
        <v>32294980.560000002</v>
      </c>
      <c r="O46" s="160"/>
      <c r="P46" s="160"/>
      <c r="Q46" s="160"/>
      <c r="R46" s="160"/>
      <c r="S46" s="521">
        <f t="shared" si="6"/>
        <v>268851212.72000003</v>
      </c>
      <c r="T46" s="522">
        <f t="shared" si="5"/>
        <v>3.3952290549977908</v>
      </c>
      <c r="U46" s="472"/>
    </row>
    <row r="47" spans="1:23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125800.66000000002</v>
      </c>
      <c r="H47" s="160">
        <v>11702685.83</v>
      </c>
      <c r="I47" s="160">
        <v>20240491.23</v>
      </c>
      <c r="J47" s="160">
        <v>33567503.510000005</v>
      </c>
      <c r="K47" s="160">
        <v>10208587.779999999</v>
      </c>
      <c r="L47" s="160">
        <v>33636049.24000001</v>
      </c>
      <c r="M47" s="160">
        <v>21211124.43</v>
      </c>
      <c r="N47" s="160">
        <v>24618371.049999997</v>
      </c>
      <c r="O47" s="160"/>
      <c r="P47" s="160"/>
      <c r="Q47" s="160"/>
      <c r="R47" s="160"/>
      <c r="S47" s="521">
        <f t="shared" si="6"/>
        <v>155310613.73000002</v>
      </c>
      <c r="T47" s="522">
        <f t="shared" si="5"/>
        <v>1.9613640680684477</v>
      </c>
      <c r="U47" s="472"/>
      <c r="V47" s="292"/>
      <c r="W47" s="292"/>
    </row>
    <row r="48" spans="1:23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499">
        <v>0</v>
      </c>
      <c r="H49" s="499">
        <v>209850</v>
      </c>
      <c r="I49" s="499">
        <v>4097639.84</v>
      </c>
      <c r="J49" s="499">
        <v>60894.41</v>
      </c>
      <c r="K49" s="499">
        <v>22681.05</v>
      </c>
      <c r="L49" s="499">
        <v>196045.28999999998</v>
      </c>
      <c r="M49" s="499">
        <v>28857.670000000002</v>
      </c>
      <c r="N49" s="499">
        <v>2000</v>
      </c>
      <c r="O49" s="499"/>
      <c r="P49" s="499"/>
      <c r="Q49" s="499"/>
      <c r="R49" s="148"/>
      <c r="S49" s="227">
        <f t="shared" si="6"/>
        <v>4617968.26</v>
      </c>
      <c r="T49" s="436">
        <f t="shared" si="5"/>
        <v>5.831872526362316E-2</v>
      </c>
      <c r="U49" s="472"/>
    </row>
    <row r="50" spans="1:21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0</v>
      </c>
      <c r="O50" s="499"/>
      <c r="P50" s="499"/>
      <c r="Q50" s="499"/>
      <c r="R50" s="148"/>
      <c r="S50" s="227">
        <f t="shared" si="6"/>
        <v>4062322.96</v>
      </c>
      <c r="T50" s="436">
        <f t="shared" si="5"/>
        <v>5.1301672791564057E-2</v>
      </c>
      <c r="U50" s="472"/>
    </row>
    <row r="51" spans="1:21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1050360.8299999998</v>
      </c>
      <c r="H51" s="430">
        <v>2197777.1399999997</v>
      </c>
      <c r="I51" s="430">
        <v>2187252.5499999998</v>
      </c>
      <c r="J51" s="430">
        <v>1823733.37</v>
      </c>
      <c r="K51" s="430">
        <v>1744824.6599999997</v>
      </c>
      <c r="L51" s="430">
        <v>1298140.2</v>
      </c>
      <c r="M51" s="430">
        <v>3502289.3</v>
      </c>
      <c r="N51" s="430">
        <v>737916.52000000014</v>
      </c>
      <c r="O51" s="430"/>
      <c r="P51" s="430"/>
      <c r="Q51" s="430"/>
      <c r="R51" s="430"/>
      <c r="S51" s="398">
        <f>+SUM(G51:R51)</f>
        <v>14542294.569999997</v>
      </c>
      <c r="T51" s="440">
        <f t="shared" si="5"/>
        <v>0.18364961255288245</v>
      </c>
      <c r="U51" s="472"/>
    </row>
    <row r="52" spans="1:21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/>
      <c r="P52" s="84"/>
      <c r="Q52" s="84"/>
      <c r="R52" s="486"/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15">+G10-G29</f>
        <v>2360184.0100000203</v>
      </c>
      <c r="H53" s="136">
        <f t="shared" si="15"/>
        <v>-34406783.460000038</v>
      </c>
      <c r="I53" s="136">
        <f t="shared" si="15"/>
        <v>-33168118.120000064</v>
      </c>
      <c r="J53" s="136">
        <f t="shared" si="15"/>
        <v>32619339.629999936</v>
      </c>
      <c r="K53" s="136">
        <f t="shared" si="15"/>
        <v>-36552407.340000033</v>
      </c>
      <c r="L53" s="136">
        <f t="shared" si="15"/>
        <v>-41407898.470000058</v>
      </c>
      <c r="M53" s="136">
        <f t="shared" si="15"/>
        <v>14113333.850000054</v>
      </c>
      <c r="N53" s="136">
        <f t="shared" si="15"/>
        <v>23158343.379999995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-73284006.52000019</v>
      </c>
      <c r="T53" s="531">
        <f t="shared" si="5"/>
        <v>-0.92547839262486831</v>
      </c>
    </row>
    <row r="54" spans="1:21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16">+G53+G36</f>
        <v>6148803.560000021</v>
      </c>
      <c r="H54" s="190">
        <f t="shared" si="16"/>
        <v>-31086234.330000039</v>
      </c>
      <c r="I54" s="190">
        <f t="shared" si="16"/>
        <v>-8696310.3200000599</v>
      </c>
      <c r="J54" s="190">
        <f t="shared" si="16"/>
        <v>65891854.549999937</v>
      </c>
      <c r="K54" s="190">
        <f t="shared" si="16"/>
        <v>-26211831.070000034</v>
      </c>
      <c r="L54" s="190">
        <f t="shared" si="16"/>
        <v>-35979724.300000057</v>
      </c>
      <c r="M54" s="190">
        <f t="shared" si="16"/>
        <v>19037980.630000055</v>
      </c>
      <c r="N54" s="190">
        <f t="shared" si="16"/>
        <v>25874395.669999994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14978934.389999818</v>
      </c>
      <c r="T54" s="531">
        <f t="shared" si="5"/>
        <v>0.18916378594430536</v>
      </c>
    </row>
    <row r="55" spans="1:21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35822753.07</v>
      </c>
      <c r="J55" s="160">
        <f t="shared" si="18"/>
        <v>507364176.06000006</v>
      </c>
      <c r="K55" s="178">
        <f t="shared" si="18"/>
        <v>49335423.139999993</v>
      </c>
      <c r="L55" s="178">
        <f t="shared" si="18"/>
        <v>38233496.119999997</v>
      </c>
      <c r="M55" s="178">
        <f t="shared" ref="M55:Q55" si="19">+SUM(M56:M57)</f>
        <v>34467856.200000003</v>
      </c>
      <c r="N55" s="178">
        <f t="shared" si="19"/>
        <v>7549624.8599999994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>+SUM(R56:R57)</f>
        <v>0</v>
      </c>
      <c r="S55" s="532">
        <f t="shared" si="6"/>
        <v>715674346.48000014</v>
      </c>
      <c r="T55" s="533">
        <f t="shared" si="5"/>
        <v>9.0380039967165509</v>
      </c>
    </row>
    <row r="56" spans="1:21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554">
        <v>1984895.29</v>
      </c>
      <c r="H56" s="554">
        <v>1705490.1300000001</v>
      </c>
      <c r="I56" s="554">
        <v>4420486.6500000004</v>
      </c>
      <c r="J56" s="554">
        <v>2049822.23</v>
      </c>
      <c r="K56" s="554">
        <v>2795674.8899999997</v>
      </c>
      <c r="L56" s="554">
        <v>15431758.250000002</v>
      </c>
      <c r="M56" s="554">
        <v>1723907.95</v>
      </c>
      <c r="N56" s="554">
        <v>1755694.7399999998</v>
      </c>
      <c r="O56" s="554"/>
      <c r="P56" s="554"/>
      <c r="Q56" s="554"/>
      <c r="R56" s="196"/>
      <c r="S56" s="235">
        <f t="shared" si="6"/>
        <v>31867730.130000003</v>
      </c>
      <c r="T56" s="444">
        <f t="shared" si="5"/>
        <v>0.40244655086190573</v>
      </c>
    </row>
    <row r="57" spans="1:21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554">
        <v>32635767.399999999</v>
      </c>
      <c r="H57" s="554">
        <v>6574864.2100000009</v>
      </c>
      <c r="I57" s="554">
        <v>31402266.420000002</v>
      </c>
      <c r="J57" s="554">
        <v>505314353.83000004</v>
      </c>
      <c r="K57" s="554">
        <v>46539748.249999993</v>
      </c>
      <c r="L57" s="554">
        <v>22801737.869999997</v>
      </c>
      <c r="M57" s="554">
        <v>32743948.25</v>
      </c>
      <c r="N57" s="554">
        <v>5793930.1200000001</v>
      </c>
      <c r="P57" s="554"/>
      <c r="Q57" s="554"/>
      <c r="R57" s="554"/>
      <c r="S57" s="235">
        <f>+SUM(G57:R57)</f>
        <v>683806616.35000002</v>
      </c>
      <c r="T57" s="444">
        <f t="shared" si="5"/>
        <v>8.6355574458546442</v>
      </c>
    </row>
    <row r="58" spans="1:21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>
        <v>1266816.8499999999</v>
      </c>
      <c r="N58" s="432">
        <v>0</v>
      </c>
      <c r="O58" s="432"/>
      <c r="P58" s="432"/>
      <c r="Q58" s="432"/>
      <c r="R58" s="432"/>
      <c r="S58" s="532">
        <f>SUM(G58:R58)</f>
        <v>2669683.2699999996</v>
      </c>
      <c r="T58" s="534">
        <f t="shared" si="5"/>
        <v>3.3714507419334461E-2</v>
      </c>
    </row>
    <row r="59" spans="1:21" ht="13.5" thickBot="1">
      <c r="A59" s="135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499">
        <v>0</v>
      </c>
      <c r="H59" s="499">
        <v>1478222</v>
      </c>
      <c r="I59" s="499">
        <v>1456725.62</v>
      </c>
      <c r="J59" s="499">
        <v>792552.3</v>
      </c>
      <c r="K59" s="499">
        <v>768533.87</v>
      </c>
      <c r="L59" s="499">
        <v>776984.56</v>
      </c>
      <c r="M59" s="499">
        <v>287960.95</v>
      </c>
      <c r="N59" s="499">
        <v>11164.5</v>
      </c>
      <c r="O59" s="499"/>
      <c r="P59" s="499"/>
      <c r="Q59" s="499"/>
      <c r="R59" s="432"/>
      <c r="S59" s="532">
        <f>SUM(G59:R59)</f>
        <v>5572143.7999999998</v>
      </c>
      <c r="T59" s="534">
        <f t="shared" si="5"/>
        <v>7.0368678411315264E-2</v>
      </c>
    </row>
    <row r="60" spans="1:21" ht="13.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02">
        <f>+G53-G55-G58-G59</f>
        <v>-32260478.679999977</v>
      </c>
      <c r="H60" s="202">
        <f t="shared" ref="H60:S60" si="20">+H53-H55-H58-H59</f>
        <v>-44165359.800000042</v>
      </c>
      <c r="I60" s="202">
        <f t="shared" si="20"/>
        <v>-71489767.730000064</v>
      </c>
      <c r="J60" s="202">
        <f t="shared" si="20"/>
        <v>-475537388.73000014</v>
      </c>
      <c r="K60" s="202">
        <f t="shared" si="20"/>
        <v>-86656364.350000024</v>
      </c>
      <c r="L60" s="202">
        <f t="shared" si="20"/>
        <v>-80779074.650000066</v>
      </c>
      <c r="M60" s="202">
        <f t="shared" si="20"/>
        <v>-21909300.14999995</v>
      </c>
      <c r="N60" s="202">
        <f t="shared" si="20"/>
        <v>15597554.019999996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-797200180.07000029</v>
      </c>
      <c r="T60" s="535">
        <f t="shared" si="5"/>
        <v>-10.067565575172068</v>
      </c>
    </row>
    <row r="61" spans="1:21" ht="13.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+SUM(G62:G66)</f>
        <v>32260478.679999977</v>
      </c>
      <c r="H61" s="136">
        <f t="shared" ref="H61:L61" si="21">+SUM(H62:H66)</f>
        <v>44165359.800000042</v>
      </c>
      <c r="I61" s="136">
        <f t="shared" si="21"/>
        <v>71489767.730000064</v>
      </c>
      <c r="J61" s="136">
        <f t="shared" si="21"/>
        <v>475537388.73000014</v>
      </c>
      <c r="K61" s="136">
        <f t="shared" si="21"/>
        <v>86656364.350000024</v>
      </c>
      <c r="L61" s="136">
        <f t="shared" si="21"/>
        <v>80779074.650000066</v>
      </c>
      <c r="M61" s="136">
        <f t="shared" ref="M61:R61" si="22">+SUM(M62:M66)</f>
        <v>21909300.14999995</v>
      </c>
      <c r="N61" s="136">
        <f t="shared" si="22"/>
        <v>-15597554.019999996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797200180.07000041</v>
      </c>
      <c r="T61" s="537">
        <f t="shared" si="5"/>
        <v>10.06756557517207</v>
      </c>
    </row>
    <row r="62" spans="1:21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>
        <v>0</v>
      </c>
      <c r="N62" s="554">
        <v>0</v>
      </c>
      <c r="O62" s="554"/>
      <c r="P62" s="554"/>
      <c r="Q62" s="554"/>
      <c r="R62" s="196"/>
      <c r="S62" s="235">
        <f t="shared" si="6"/>
        <v>6127675</v>
      </c>
      <c r="T62" s="444">
        <f t="shared" si="5"/>
        <v>7.7384289953905408E-2</v>
      </c>
    </row>
    <row r="63" spans="1:21">
      <c r="A63" s="129">
        <v>7512</v>
      </c>
      <c r="B63" s="564" t="str">
        <f>+VLOOKUP($A63,Master!$D$30:$G$226,4,FALSE)</f>
        <v>Pozajmice i krediti od inostranih izvora</v>
      </c>
      <c r="C63" s="565"/>
      <c r="D63" s="565"/>
      <c r="E63" s="565"/>
      <c r="F63" s="565"/>
      <c r="G63" s="554">
        <v>1824723.8699999999</v>
      </c>
      <c r="H63" s="554">
        <v>12400327.83</v>
      </c>
      <c r="I63" s="554">
        <v>2228432.89</v>
      </c>
      <c r="J63" s="554">
        <v>875107403.84000003</v>
      </c>
      <c r="K63" s="554">
        <v>13247476.579999998</v>
      </c>
      <c r="L63" s="554">
        <v>16815414.879999999</v>
      </c>
      <c r="M63" s="555">
        <v>1828629.45</v>
      </c>
      <c r="N63" s="554">
        <v>4969652.75</v>
      </c>
      <c r="O63" s="554"/>
      <c r="P63" s="554"/>
      <c r="Q63" s="554"/>
      <c r="R63" s="196"/>
      <c r="S63" s="235">
        <f t="shared" si="6"/>
        <v>928422062.09000015</v>
      </c>
      <c r="T63" s="444">
        <f t="shared" si="5"/>
        <v>11.72472137513418</v>
      </c>
    </row>
    <row r="64" spans="1:21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>
        <v>164141.29999999999</v>
      </c>
      <c r="N64" s="554">
        <v>213815.58</v>
      </c>
      <c r="O64" s="554"/>
      <c r="P64" s="554"/>
      <c r="Q64" s="554"/>
      <c r="R64" s="196"/>
      <c r="S64" s="235">
        <f t="shared" si="6"/>
        <v>1302230.79</v>
      </c>
      <c r="T64" s="444">
        <f t="shared" si="5"/>
        <v>1.644542261792006E-2</v>
      </c>
    </row>
    <row r="65" spans="1:20">
      <c r="A65" s="129">
        <v>73</v>
      </c>
      <c r="B65" s="598" t="s">
        <v>101</v>
      </c>
      <c r="C65" s="599"/>
      <c r="D65" s="599"/>
      <c r="E65" s="599"/>
      <c r="F65" s="599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920177.48</v>
      </c>
      <c r="L65" s="160">
        <v>2464204.52</v>
      </c>
      <c r="M65" s="160">
        <v>3116777.48</v>
      </c>
      <c r="N65" s="160">
        <v>1151441.7</v>
      </c>
      <c r="O65" s="160"/>
      <c r="P65" s="160"/>
      <c r="Q65" s="160"/>
      <c r="R65" s="160"/>
      <c r="S65" s="228">
        <f t="shared" si="6"/>
        <v>13822930.83</v>
      </c>
      <c r="T65" s="437">
        <f t="shared" si="5"/>
        <v>0.17456501648039402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27395423.659999978</v>
      </c>
      <c r="H66" s="210">
        <f t="shared" ref="H66:L66" si="23">-H60-SUM(H62:H65)</f>
        <v>30653414.930000041</v>
      </c>
      <c r="I66" s="210">
        <f t="shared" si="23"/>
        <v>68581223.150000066</v>
      </c>
      <c r="J66" s="210">
        <f t="shared" si="23"/>
        <v>-401625045.15999997</v>
      </c>
      <c r="K66" s="210">
        <f t="shared" si="23"/>
        <v>72377593.410000026</v>
      </c>
      <c r="L66" s="210">
        <f t="shared" si="23"/>
        <v>55275383.500000067</v>
      </c>
      <c r="M66" s="210">
        <f t="shared" ref="M66:S66" si="24">-M60-SUM(M62:M65)</f>
        <v>16799751.91999995</v>
      </c>
      <c r="N66" s="210">
        <f t="shared" si="24"/>
        <v>-21932464.049999997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-152474718.63999987</v>
      </c>
      <c r="T66" s="448">
        <f t="shared" si="5"/>
        <v>-1.9255505290143318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5" t="str">
        <f>+Master!G253</f>
        <v>Plan ostvarenja budžeta</v>
      </c>
      <c r="C83" s="636"/>
      <c r="D83" s="636"/>
      <c r="E83" s="636"/>
      <c r="F83" s="636"/>
      <c r="G83" s="620">
        <v>2025</v>
      </c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2"/>
      <c r="S83" s="96" t="str">
        <f>+S7</f>
        <v>BDP</v>
      </c>
      <c r="T83" s="221">
        <v>7918500000</v>
      </c>
    </row>
    <row r="84" spans="1:25" ht="15.75" customHeight="1">
      <c r="B84" s="637"/>
      <c r="C84" s="638"/>
      <c r="D84" s="638"/>
      <c r="E84" s="638"/>
      <c r="F84" s="639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20" t="str">
        <f>+Master!G247</f>
        <v>Jan - Dec</v>
      </c>
      <c r="T84" s="622">
        <f>+T8</f>
        <v>0</v>
      </c>
    </row>
    <row r="85" spans="1:25" ht="13.5" thickBot="1">
      <c r="B85" s="640"/>
      <c r="C85" s="641"/>
      <c r="D85" s="641"/>
      <c r="E85" s="641"/>
      <c r="F85" s="642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29" t="str">
        <f>+VLOOKUP(LEFT($A86,LEN(A86)-1)*1,Master!$D$30:$G$226,4,FALSE)</f>
        <v>Prihodi budžeta</v>
      </c>
      <c r="C86" s="630"/>
      <c r="D86" s="630"/>
      <c r="E86" s="630"/>
      <c r="F86" s="630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36.447218539874711</v>
      </c>
      <c r="U86" s="243"/>
    </row>
    <row r="87" spans="1:25">
      <c r="A87" s="105" t="str">
        <f t="shared" si="27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27.575664702036285</v>
      </c>
    </row>
    <row r="88" spans="1:25">
      <c r="A88" s="105" t="str">
        <f t="shared" si="27"/>
        <v>7111p</v>
      </c>
      <c r="B88" s="633" t="str">
        <f>+VLOOKUP(LEFT($A88,LEN(A88)-1)*1,Master!$D$30:$G$229,4,FALSE)</f>
        <v>Porez na dohodak fizičkih lica</v>
      </c>
      <c r="C88" s="634"/>
      <c r="D88" s="634"/>
      <c r="E88" s="634"/>
      <c r="F88" s="634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1.3679799683486709</v>
      </c>
    </row>
    <row r="89" spans="1:25">
      <c r="A89" s="105" t="str">
        <f t="shared" si="27"/>
        <v>7112p</v>
      </c>
      <c r="B89" s="633" t="str">
        <f>+VLOOKUP(LEFT($A89,LEN(A89)-1)*1,Master!$D$30:$G$229,4,FALSE)</f>
        <v>Porez na dobit pravnih lica</v>
      </c>
      <c r="C89" s="634"/>
      <c r="D89" s="634"/>
      <c r="E89" s="634"/>
      <c r="F89" s="634"/>
      <c r="G89" s="77">
        <v>4758743.22</v>
      </c>
      <c r="H89" s="77">
        <v>4914823.2626296896</v>
      </c>
      <c r="I89" s="77">
        <v>72553471.511286497</v>
      </c>
      <c r="J89" s="77">
        <v>106836454.2244426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219862849.24098569</v>
      </c>
      <c r="T89" s="436">
        <f t="shared" si="29"/>
        <v>2.7765719421732107</v>
      </c>
    </row>
    <row r="90" spans="1:25">
      <c r="A90" s="105" t="str">
        <f t="shared" si="27"/>
        <v>7113p</v>
      </c>
      <c r="B90" s="633" t="str">
        <f>+VLOOKUP(LEFT($A90,LEN(A90)-1)*1,Master!$D$30:$G$229,4,FALSE)</f>
        <v>Porez na promet nepokretnosti</v>
      </c>
      <c r="C90" s="634"/>
      <c r="D90" s="634"/>
      <c r="E90" s="634"/>
      <c r="F90" s="63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</row>
    <row r="91" spans="1:25">
      <c r="A91" s="105" t="str">
        <f t="shared" si="27"/>
        <v>7114p</v>
      </c>
      <c r="B91" s="633" t="str">
        <f>+VLOOKUP(LEFT($A91,LEN(A91)-1)*1,Master!$D$30:$G$229,4,FALSE)</f>
        <v>Porez na dodatu vrijednost</v>
      </c>
      <c r="C91" s="634"/>
      <c r="D91" s="634"/>
      <c r="E91" s="634"/>
      <c r="F91" s="634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17.334002651964806</v>
      </c>
    </row>
    <row r="92" spans="1:25">
      <c r="A92" s="105" t="str">
        <f t="shared" si="27"/>
        <v>7115p</v>
      </c>
      <c r="B92" s="633" t="str">
        <f>+VLOOKUP(LEFT($A92,LEN(A92)-1)*1,Master!$D$30:$G$229,4,FALSE)</f>
        <v>Akcize</v>
      </c>
      <c r="C92" s="634"/>
      <c r="D92" s="634"/>
      <c r="E92" s="634"/>
      <c r="F92" s="634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5.0956620572078046</v>
      </c>
      <c r="W92" s="242"/>
      <c r="X92" s="242"/>
      <c r="Y92" s="242"/>
    </row>
    <row r="93" spans="1:25">
      <c r="A93" s="105" t="str">
        <f t="shared" si="27"/>
        <v>7116p</v>
      </c>
      <c r="B93" s="633" t="str">
        <f>+VLOOKUP(LEFT($A93,LEN(A93)-1)*1,Master!$D$30:$G$229,4,FALSE)</f>
        <v>Porez na međunarodnu trgovinu i transakcije</v>
      </c>
      <c r="C93" s="634"/>
      <c r="D93" s="634"/>
      <c r="E93" s="634"/>
      <c r="F93" s="634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0.80814533836165103</v>
      </c>
    </row>
    <row r="94" spans="1:25">
      <c r="A94" s="105" t="str">
        <f t="shared" si="27"/>
        <v>7118p</v>
      </c>
      <c r="B94" s="633" t="str">
        <f>+VLOOKUP(LEFT($A94,LEN(A94)-1)*1,Master!$D$30:$G$229,4,FALSE)</f>
        <v>Ostali državni porezi</v>
      </c>
      <c r="C94" s="634"/>
      <c r="D94" s="634"/>
      <c r="E94" s="634"/>
      <c r="F94" s="634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0.19330274398013358</v>
      </c>
    </row>
    <row r="95" spans="1:25">
      <c r="A95" s="105" t="str">
        <f t="shared" si="27"/>
        <v>712p</v>
      </c>
      <c r="B95" s="643" t="str">
        <f>+VLOOKUP(LEFT($A95,LEN(A95)-1)*1,Master!$D$30:$G$229,4,FALSE)</f>
        <v>Doprinosi</v>
      </c>
      <c r="C95" s="644"/>
      <c r="D95" s="644"/>
      <c r="E95" s="644"/>
      <c r="F95" s="644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5.6709139593001661</v>
      </c>
    </row>
    <row r="96" spans="1:25">
      <c r="A96" s="105" t="str">
        <f t="shared" si="27"/>
        <v>7121p</v>
      </c>
      <c r="B96" s="633" t="str">
        <f>+VLOOKUP(LEFT($A96,LEN(A96)-1)*1,Master!$D$30:$G$229,4,FALSE)</f>
        <v>Doprinosi za penzijsko i invalidsko osiguranje</v>
      </c>
      <c r="C96" s="634"/>
      <c r="D96" s="634"/>
      <c r="E96" s="634"/>
      <c r="F96" s="634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5.0178559997651213</v>
      </c>
      <c r="V96" s="292"/>
    </row>
    <row r="97" spans="1:22">
      <c r="A97" s="105" t="str">
        <f t="shared" si="27"/>
        <v>7122p</v>
      </c>
      <c r="B97" s="633" t="str">
        <f>+VLOOKUP(LEFT($A97,LEN(A97)-1)*1,Master!$D$30:$G$229,4,FALSE)</f>
        <v>Doprinosi za zdravstveno osiguranje</v>
      </c>
      <c r="C97" s="634"/>
      <c r="D97" s="634"/>
      <c r="E97" s="634"/>
      <c r="F97" s="634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7.5771926555904465E-2</v>
      </c>
    </row>
    <row r="98" spans="1:22">
      <c r="A98" s="105" t="str">
        <f t="shared" si="27"/>
        <v>7123p</v>
      </c>
      <c r="B98" s="633" t="str">
        <f>+VLOOKUP(LEFT($A98,LEN(A98)-1)*1,Master!$D$30:$G$229,4,FALSE)</f>
        <v>Doprinosi za osiguranje od nezaposlenosti</v>
      </c>
      <c r="C98" s="634"/>
      <c r="D98" s="634"/>
      <c r="E98" s="634"/>
      <c r="F98" s="634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0.32834501488566575</v>
      </c>
    </row>
    <row r="99" spans="1:22">
      <c r="A99" s="105" t="str">
        <f t="shared" si="27"/>
        <v>7124p</v>
      </c>
      <c r="B99" s="633" t="str">
        <f>+VLOOKUP(LEFT($A99,LEN(A99)-1)*1,Master!$D$30:$G$229,4,FALSE)</f>
        <v>Ostali doprinosi</v>
      </c>
      <c r="C99" s="634"/>
      <c r="D99" s="634"/>
      <c r="E99" s="634"/>
      <c r="F99" s="634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0.24894101809347469</v>
      </c>
    </row>
    <row r="100" spans="1:22">
      <c r="A100" s="105" t="str">
        <f t="shared" si="27"/>
        <v>713p</v>
      </c>
      <c r="B100" s="643" t="str">
        <f>+VLOOKUP(LEFT($A100,LEN(A100)-1)*1,Master!$D$30:$G$229,4,FALSE)</f>
        <v>Takse</v>
      </c>
      <c r="C100" s="644"/>
      <c r="D100" s="644"/>
      <c r="E100" s="644"/>
      <c r="F100" s="644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0.22466337087069907</v>
      </c>
    </row>
    <row r="101" spans="1:22">
      <c r="A101" s="105" t="str">
        <f t="shared" si="27"/>
        <v>714p</v>
      </c>
      <c r="B101" s="643" t="str">
        <f>+VLOOKUP(LEFT($A101,LEN(A101)-1)*1,Master!$D$30:$G$229,4,FALSE)</f>
        <v>Naknade</v>
      </c>
      <c r="C101" s="644"/>
      <c r="D101" s="644"/>
      <c r="E101" s="644"/>
      <c r="F101" s="644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0.93683282857156391</v>
      </c>
    </row>
    <row r="102" spans="1:22">
      <c r="A102" s="105" t="str">
        <f t="shared" si="27"/>
        <v>715p</v>
      </c>
      <c r="B102" s="643" t="str">
        <f>+VLOOKUP(LEFT($A102,LEN(A102)-1)*1,Master!$D$30:$G$229,4,FALSE)</f>
        <v>Ostali prihodi</v>
      </c>
      <c r="C102" s="644"/>
      <c r="D102" s="644"/>
      <c r="E102" s="644"/>
      <c r="F102" s="644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0.6600946167735966</v>
      </c>
    </row>
    <row r="103" spans="1:22">
      <c r="A103" s="105" t="str">
        <f t="shared" si="27"/>
        <v>73p</v>
      </c>
      <c r="B103" s="643" t="str">
        <f>+VLOOKUP(LEFT($A103,LEN(A103)-1)*1,Master!$D$30:$G$229,4,FALSE)</f>
        <v>Primici od otplate kredita i sredstva prenesena iz prethodne godine</v>
      </c>
      <c r="C103" s="644"/>
      <c r="D103" s="644"/>
      <c r="E103" s="644"/>
      <c r="F103" s="644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V103" s="292"/>
    </row>
    <row r="104" spans="1:22" ht="13.5" thickBot="1">
      <c r="A104" s="105" t="str">
        <f t="shared" si="27"/>
        <v>74p</v>
      </c>
      <c r="B104" s="645" t="str">
        <f>+VLOOKUP(LEFT($A104,LEN(A104)-1)*1,Master!$D$30:$G$229,4,FALSE)</f>
        <v>Donacije i transferi</v>
      </c>
      <c r="C104" s="646"/>
      <c r="D104" s="646"/>
      <c r="E104" s="646"/>
      <c r="F104" s="646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1.379049062322409</v>
      </c>
    </row>
    <row r="105" spans="1:22" ht="13.5" thickBot="1">
      <c r="A105" s="105" t="str">
        <f t="shared" si="27"/>
        <v>4p</v>
      </c>
      <c r="B105" s="629" t="str">
        <f>+VLOOKUP(LEFT($A105,LEN(A105)-1)*1,Master!$D$30:$G$229,4,FALSE)</f>
        <v>Izdaci budžeta</v>
      </c>
      <c r="C105" s="630"/>
      <c r="D105" s="630"/>
      <c r="E105" s="630"/>
      <c r="F105" s="630"/>
      <c r="G105" s="505">
        <f t="shared" ref="G105:R105" si="30">+G106+G116+G122+SUM(G123:G127)</f>
        <v>191850501.09999999</v>
      </c>
      <c r="H105" s="505">
        <f t="shared" si="30"/>
        <v>207927797.50999999</v>
      </c>
      <c r="I105" s="505">
        <f t="shared" si="30"/>
        <v>277008731.77999997</v>
      </c>
      <c r="J105" s="505">
        <f t="shared" si="30"/>
        <v>271880428.35000002</v>
      </c>
      <c r="K105" s="505">
        <f t="shared" si="30"/>
        <v>256531461.26999998</v>
      </c>
      <c r="L105" s="505">
        <f t="shared" si="30"/>
        <v>246434339.25</v>
      </c>
      <c r="M105" s="505">
        <f t="shared" si="30"/>
        <v>266915229.65000004</v>
      </c>
      <c r="N105" s="505">
        <f t="shared" si="30"/>
        <v>316160063.56999999</v>
      </c>
      <c r="O105" s="505">
        <f t="shared" si="30"/>
        <v>271901203.69999999</v>
      </c>
      <c r="P105" s="505">
        <f t="shared" si="30"/>
        <v>285828121.29000002</v>
      </c>
      <c r="Q105" s="505">
        <f t="shared" si="30"/>
        <v>286419476.34000003</v>
      </c>
      <c r="R105" s="505">
        <f t="shared" si="30"/>
        <v>285364087.87</v>
      </c>
      <c r="S105" s="548">
        <f>+SUM(G105:R105)</f>
        <v>3164221441.6799998</v>
      </c>
      <c r="T105" s="549">
        <f t="shared" si="29"/>
        <v>39.959859085432846</v>
      </c>
    </row>
    <row r="106" spans="1:22">
      <c r="A106" s="105" t="str">
        <f t="shared" si="27"/>
        <v>41p</v>
      </c>
      <c r="B106" s="647" t="str">
        <f>+VLOOKUP(LEFT($A106,LEN(A106)-1)*1,Master!$D$30:$G$229,4,FALSE)</f>
        <v>Tekući izdaci</v>
      </c>
      <c r="C106" s="648"/>
      <c r="D106" s="648"/>
      <c r="E106" s="648"/>
      <c r="F106" s="648"/>
      <c r="G106" s="511">
        <f t="shared" ref="G106" si="31">+SUM(G107:G115)</f>
        <v>73899012.900000006</v>
      </c>
      <c r="H106" s="511">
        <f t="shared" ref="H106:R106" si="32">+SUM(H107:H115)</f>
        <v>76519007.039999977</v>
      </c>
      <c r="I106" s="511">
        <f t="shared" si="32"/>
        <v>113798834.45999998</v>
      </c>
      <c r="J106" s="511">
        <f t="shared" si="32"/>
        <v>121182353.83000003</v>
      </c>
      <c r="K106" s="511">
        <f t="shared" si="32"/>
        <v>98021414.909999996</v>
      </c>
      <c r="L106" s="511">
        <f t="shared" si="32"/>
        <v>98591845.979999989</v>
      </c>
      <c r="M106" s="511">
        <f t="shared" si="32"/>
        <v>91078475.690000027</v>
      </c>
      <c r="N106" s="511">
        <f t="shared" si="32"/>
        <v>128306150.55999999</v>
      </c>
      <c r="O106" s="511">
        <f t="shared" si="32"/>
        <v>109940184.04000001</v>
      </c>
      <c r="P106" s="511">
        <f t="shared" si="32"/>
        <v>123887194.72000001</v>
      </c>
      <c r="Q106" s="511">
        <f t="shared" si="32"/>
        <v>123145561.94000001</v>
      </c>
      <c r="R106" s="512">
        <f t="shared" si="32"/>
        <v>103445277.06999999</v>
      </c>
      <c r="S106" s="542">
        <f t="shared" si="28"/>
        <v>1261815313.1399999</v>
      </c>
      <c r="T106" s="519">
        <f t="shared" si="29"/>
        <v>15.935029527562037</v>
      </c>
      <c r="V106" s="275"/>
    </row>
    <row r="107" spans="1:22">
      <c r="A107" s="105" t="str">
        <f t="shared" si="27"/>
        <v>411p</v>
      </c>
      <c r="B107" s="633" t="str">
        <f>+VLOOKUP(LEFT($A107,LEN(A107)-1)*1,Master!$D$30:$G$229,4,FALSE)</f>
        <v>Bruto zarade i doprinosi na teret poslodavca</v>
      </c>
      <c r="C107" s="634"/>
      <c r="D107" s="634"/>
      <c r="E107" s="634"/>
      <c r="F107" s="634"/>
      <c r="G107" s="77">
        <v>54740563.130000018</v>
      </c>
      <c r="H107" s="77">
        <v>58682980.979999974</v>
      </c>
      <c r="I107" s="77">
        <v>56764031.079999998</v>
      </c>
      <c r="J107" s="77">
        <v>57444656.570000015</v>
      </c>
      <c r="K107" s="77">
        <v>57919124.770000003</v>
      </c>
      <c r="L107" s="77">
        <v>57898328.379999988</v>
      </c>
      <c r="M107" s="77">
        <v>56113640.890000015</v>
      </c>
      <c r="N107" s="77">
        <v>67404412.189999983</v>
      </c>
      <c r="O107" s="77">
        <v>57198032.290000014</v>
      </c>
      <c r="P107" s="77">
        <v>71633621.799999997</v>
      </c>
      <c r="Q107" s="77">
        <v>70481093.040000007</v>
      </c>
      <c r="R107" s="77">
        <v>48093301.420000009</v>
      </c>
      <c r="S107" s="101">
        <f t="shared" si="28"/>
        <v>714373786.53999996</v>
      </c>
      <c r="T107" s="436">
        <f t="shared" si="29"/>
        <v>9.0215796746858619</v>
      </c>
    </row>
    <row r="108" spans="1:22">
      <c r="A108" s="105" t="str">
        <f t="shared" si="27"/>
        <v>412p</v>
      </c>
      <c r="B108" s="633" t="str">
        <f>+VLOOKUP(LEFT($A108,LEN(A108)-1)*1,Master!$D$30:$G$229,4,FALSE)</f>
        <v>Ostala lična primanja</v>
      </c>
      <c r="C108" s="634"/>
      <c r="D108" s="634"/>
      <c r="E108" s="634"/>
      <c r="F108" s="634"/>
      <c r="G108" s="77">
        <v>1310785.99</v>
      </c>
      <c r="H108" s="77">
        <v>1349281.21</v>
      </c>
      <c r="I108" s="77">
        <v>1992150.0900000003</v>
      </c>
      <c r="J108" s="77">
        <v>2081222.35</v>
      </c>
      <c r="K108" s="77">
        <v>2134029.5100000002</v>
      </c>
      <c r="L108" s="77">
        <v>2114169.5899999994</v>
      </c>
      <c r="M108" s="77">
        <v>2190687.5999999996</v>
      </c>
      <c r="N108" s="77">
        <v>3267790.1700000023</v>
      </c>
      <c r="O108" s="77">
        <v>2502701.1100000003</v>
      </c>
      <c r="P108" s="77">
        <v>2600813.6500000008</v>
      </c>
      <c r="Q108" s="77">
        <v>2577314.4900000002</v>
      </c>
      <c r="R108" s="77">
        <v>2409220.79</v>
      </c>
      <c r="S108" s="101">
        <f t="shared" si="28"/>
        <v>26530166.550000004</v>
      </c>
      <c r="T108" s="436">
        <f t="shared" si="29"/>
        <v>0.33504030498200421</v>
      </c>
    </row>
    <row r="109" spans="1:22">
      <c r="A109" s="105" t="str">
        <f t="shared" si="27"/>
        <v>413p</v>
      </c>
      <c r="B109" s="633" t="str">
        <f>+VLOOKUP(LEFT($A109,LEN(A109)-1)*1,Master!$D$30:$G$229,4,FALSE)</f>
        <v>Rashodi za materijal</v>
      </c>
      <c r="C109" s="634"/>
      <c r="D109" s="634"/>
      <c r="E109" s="634"/>
      <c r="F109" s="634"/>
      <c r="G109" s="77">
        <v>1513718.3000000005</v>
      </c>
      <c r="H109" s="77">
        <v>1797627.1500000004</v>
      </c>
      <c r="I109" s="77">
        <v>4827844.37</v>
      </c>
      <c r="J109" s="77">
        <v>4553517.620000001</v>
      </c>
      <c r="K109" s="77">
        <v>3783604.2300000009</v>
      </c>
      <c r="L109" s="77">
        <v>3300641.6800000011</v>
      </c>
      <c r="M109" s="77">
        <v>3702728.7500000023</v>
      </c>
      <c r="N109" s="77">
        <v>7623708.0300000003</v>
      </c>
      <c r="O109" s="77">
        <v>4652342.3299999973</v>
      </c>
      <c r="P109" s="77">
        <v>4654790.7199999969</v>
      </c>
      <c r="Q109" s="77">
        <v>5055380.1099999975</v>
      </c>
      <c r="R109" s="77">
        <v>5146580.28</v>
      </c>
      <c r="S109" s="101">
        <f t="shared" si="28"/>
        <v>50612483.57</v>
      </c>
      <c r="T109" s="436">
        <f t="shared" si="29"/>
        <v>0.63916756418513609</v>
      </c>
    </row>
    <row r="110" spans="1:22">
      <c r="A110" s="105" t="str">
        <f t="shared" si="27"/>
        <v>414p</v>
      </c>
      <c r="B110" s="633" t="str">
        <f>+VLOOKUP(LEFT($A110,LEN(A110)-1)*1,Master!$D$30:$G$229,4,FALSE)</f>
        <v>Rashodi za usluge</v>
      </c>
      <c r="C110" s="634"/>
      <c r="D110" s="634"/>
      <c r="E110" s="634"/>
      <c r="F110" s="634"/>
      <c r="G110" s="77">
        <v>3056018.6500000004</v>
      </c>
      <c r="H110" s="77">
        <v>2625955.9100000011</v>
      </c>
      <c r="I110" s="77">
        <v>9527791.25</v>
      </c>
      <c r="J110" s="77">
        <v>8092225.6700000009</v>
      </c>
      <c r="K110" s="77">
        <v>5872326.9600000009</v>
      </c>
      <c r="L110" s="77">
        <v>8880916.2100000009</v>
      </c>
      <c r="M110" s="77">
        <v>7488395.9199999999</v>
      </c>
      <c r="N110" s="77">
        <v>10619318.450000003</v>
      </c>
      <c r="O110" s="77">
        <v>9806600.110000005</v>
      </c>
      <c r="P110" s="77">
        <v>9700594.1500000041</v>
      </c>
      <c r="Q110" s="77">
        <v>9755744.1000000034</v>
      </c>
      <c r="R110" s="77">
        <v>13071654.640000006</v>
      </c>
      <c r="S110" s="101">
        <f t="shared" si="28"/>
        <v>98497542.020000026</v>
      </c>
      <c r="T110" s="436">
        <f t="shared" si="29"/>
        <v>1.2438914190818973</v>
      </c>
    </row>
    <row r="111" spans="1:22">
      <c r="A111" s="105" t="str">
        <f t="shared" si="27"/>
        <v>415p</v>
      </c>
      <c r="B111" s="633" t="str">
        <f>+VLOOKUP(LEFT($A111,LEN(A111)-1)*1,Master!$D$30:$G$229,4,FALSE)</f>
        <v>Rashodi za tekuće održavanje</v>
      </c>
      <c r="C111" s="634"/>
      <c r="D111" s="634"/>
      <c r="E111" s="634"/>
      <c r="F111" s="634"/>
      <c r="G111" s="77">
        <v>2125329.88</v>
      </c>
      <c r="H111" s="77">
        <v>1894844.4099999997</v>
      </c>
      <c r="I111" s="77">
        <v>1539250.36</v>
      </c>
      <c r="J111" s="77">
        <v>2443414.79</v>
      </c>
      <c r="K111" s="77">
        <v>3185703.97</v>
      </c>
      <c r="L111" s="77">
        <v>2941751.4800000004</v>
      </c>
      <c r="M111" s="77">
        <v>3000937.5999999992</v>
      </c>
      <c r="N111" s="77">
        <v>4897068.71</v>
      </c>
      <c r="O111" s="77">
        <v>4694097.96</v>
      </c>
      <c r="P111" s="77">
        <v>4674452.66</v>
      </c>
      <c r="Q111" s="77">
        <v>4714537.42</v>
      </c>
      <c r="R111" s="77">
        <v>4723052.0699999994</v>
      </c>
      <c r="S111" s="101">
        <f t="shared" si="28"/>
        <v>40834441.310000002</v>
      </c>
      <c r="T111" s="436">
        <f t="shared" si="29"/>
        <v>0.51568404761002717</v>
      </c>
    </row>
    <row r="112" spans="1:22">
      <c r="A112" s="105" t="str">
        <f t="shared" si="27"/>
        <v>416p</v>
      </c>
      <c r="B112" s="633" t="str">
        <f>+VLOOKUP(LEFT($A112,LEN(A112)-1)*1,Master!$D$30:$G$229,4,FALSE)</f>
        <v>Kamate</v>
      </c>
      <c r="C112" s="634"/>
      <c r="D112" s="634"/>
      <c r="E112" s="634"/>
      <c r="F112" s="634"/>
      <c r="G112" s="77">
        <v>3791323.42</v>
      </c>
      <c r="H112" s="77">
        <v>3323278.74</v>
      </c>
      <c r="I112" s="77">
        <v>24437291.91</v>
      </c>
      <c r="J112" s="77">
        <v>33305080.140000001</v>
      </c>
      <c r="K112" s="77">
        <v>10217951.199999999</v>
      </c>
      <c r="L112" s="77">
        <v>5629662.4399999995</v>
      </c>
      <c r="M112" s="77">
        <v>4848196.1800000006</v>
      </c>
      <c r="N112" s="77">
        <v>14492145.559999999</v>
      </c>
      <c r="O112" s="77">
        <v>14492145.559999999</v>
      </c>
      <c r="P112" s="77">
        <v>14492145.559999999</v>
      </c>
      <c r="Q112" s="77">
        <v>14492145.559999999</v>
      </c>
      <c r="R112" s="77">
        <v>14490645.719999999</v>
      </c>
      <c r="S112" s="101">
        <f t="shared" si="28"/>
        <v>158012011.99000001</v>
      </c>
      <c r="T112" s="436">
        <f t="shared" si="29"/>
        <v>1.9954790931363264</v>
      </c>
    </row>
    <row r="113" spans="1:21">
      <c r="A113" s="105" t="str">
        <f t="shared" si="27"/>
        <v>417p</v>
      </c>
      <c r="B113" s="633" t="str">
        <f>+VLOOKUP(LEFT($A113,LEN(A113)-1)*1,Master!$D$30:$G$229,4,FALSE)</f>
        <v>Renta</v>
      </c>
      <c r="C113" s="634"/>
      <c r="D113" s="634"/>
      <c r="E113" s="634"/>
      <c r="F113" s="634"/>
      <c r="G113" s="77">
        <v>1029107.9699999999</v>
      </c>
      <c r="H113" s="77">
        <v>1022679.6100000001</v>
      </c>
      <c r="I113" s="77">
        <v>1093120.0200000007</v>
      </c>
      <c r="J113" s="77">
        <v>1106490.6200000006</v>
      </c>
      <c r="K113" s="77">
        <v>1044686.16</v>
      </c>
      <c r="L113" s="77">
        <v>1058107.29</v>
      </c>
      <c r="M113" s="77">
        <v>1025082.5599999999</v>
      </c>
      <c r="N113" s="77">
        <v>1361970.1999999997</v>
      </c>
      <c r="O113" s="77">
        <v>1326158.4899999998</v>
      </c>
      <c r="P113" s="77">
        <v>1138981.2899999996</v>
      </c>
      <c r="Q113" s="77">
        <v>1110150.2199999997</v>
      </c>
      <c r="R113" s="77">
        <v>1031644.0999999994</v>
      </c>
      <c r="S113" s="101">
        <f t="shared" si="28"/>
        <v>13348178.529999999</v>
      </c>
      <c r="T113" s="436">
        <f t="shared" si="29"/>
        <v>0.16856953375007891</v>
      </c>
    </row>
    <row r="114" spans="1:21">
      <c r="A114" s="105" t="str">
        <f t="shared" si="27"/>
        <v>418p</v>
      </c>
      <c r="B114" s="633" t="str">
        <f>+VLOOKUP(LEFT($A114,LEN(A114)-1)*1,Master!$D$30:$G$229,4,FALSE)</f>
        <v>Subvencije</v>
      </c>
      <c r="C114" s="634"/>
      <c r="D114" s="634"/>
      <c r="E114" s="634"/>
      <c r="F114" s="634"/>
      <c r="G114" s="77">
        <v>3923337.52</v>
      </c>
      <c r="H114" s="77">
        <v>2411250</v>
      </c>
      <c r="I114" s="77">
        <v>5901966.2799999993</v>
      </c>
      <c r="J114" s="77">
        <v>5865018.6399999997</v>
      </c>
      <c r="K114" s="77">
        <v>6219007.0999999996</v>
      </c>
      <c r="L114" s="77">
        <v>5525954.71</v>
      </c>
      <c r="M114" s="77">
        <v>5355770.79</v>
      </c>
      <c r="N114" s="77">
        <v>8596998.2300000004</v>
      </c>
      <c r="O114" s="77">
        <v>6721963.5600000015</v>
      </c>
      <c r="P114" s="77">
        <v>6721963.5600000015</v>
      </c>
      <c r="Q114" s="77">
        <v>6721963.5600000015</v>
      </c>
      <c r="R114" s="77">
        <v>6721963.5799999991</v>
      </c>
      <c r="S114" s="101">
        <f t="shared" si="28"/>
        <v>70687157.530000001</v>
      </c>
      <c r="T114" s="436">
        <f t="shared" si="29"/>
        <v>0.892683684157353</v>
      </c>
    </row>
    <row r="115" spans="1:21">
      <c r="A115" s="105" t="str">
        <f t="shared" si="27"/>
        <v>419p</v>
      </c>
      <c r="B115" s="633" t="str">
        <f>+VLOOKUP(LEFT($A115,LEN(A115)-1)*1,Master!$D$30:$G$229,4,FALSE)</f>
        <v>Ostali izdaci</v>
      </c>
      <c r="C115" s="634"/>
      <c r="D115" s="634"/>
      <c r="E115" s="634"/>
      <c r="F115" s="634"/>
      <c r="G115" s="77">
        <v>2408828.0399999986</v>
      </c>
      <c r="H115" s="77">
        <v>3411109.0299999993</v>
      </c>
      <c r="I115" s="77">
        <v>7715389.0999999978</v>
      </c>
      <c r="J115" s="77">
        <v>6290727.4299999988</v>
      </c>
      <c r="K115" s="77">
        <v>7644981.0099999988</v>
      </c>
      <c r="L115" s="77">
        <v>11242314.199999999</v>
      </c>
      <c r="M115" s="77">
        <v>7353035.3999999985</v>
      </c>
      <c r="N115" s="77">
        <v>10042739.019999998</v>
      </c>
      <c r="O115" s="77">
        <v>8546142.6299999971</v>
      </c>
      <c r="P115" s="77">
        <v>8269831.3299999973</v>
      </c>
      <c r="Q115" s="77">
        <v>8237233.4399999985</v>
      </c>
      <c r="R115" s="77">
        <v>7757214.4699999988</v>
      </c>
      <c r="S115" s="101">
        <f t="shared" si="28"/>
        <v>88919545.099999964</v>
      </c>
      <c r="T115" s="436">
        <f t="shared" si="29"/>
        <v>1.1229342059733531</v>
      </c>
    </row>
    <row r="116" spans="1:21">
      <c r="A116" s="105" t="str">
        <f t="shared" si="27"/>
        <v>42p</v>
      </c>
      <c r="B116" s="653" t="str">
        <f>+VLOOKUP(LEFT($A116,LEN(A116)-1)*1,Master!$D$30:$G$229,4,FALSE)</f>
        <v>Transferi za socijalnu zaštitu</v>
      </c>
      <c r="C116" s="654"/>
      <c r="D116" s="654"/>
      <c r="E116" s="654"/>
      <c r="F116" s="654"/>
      <c r="G116" s="507">
        <f t="shared" ref="G116:R116" si="33">+SUM(G117:G121)</f>
        <v>86392001.530000001</v>
      </c>
      <c r="H116" s="507">
        <f t="shared" si="33"/>
        <v>93735058.950000003</v>
      </c>
      <c r="I116" s="507">
        <f t="shared" si="33"/>
        <v>92633322.390000015</v>
      </c>
      <c r="J116" s="507">
        <f t="shared" si="33"/>
        <v>90975550.370000005</v>
      </c>
      <c r="K116" s="507">
        <f t="shared" si="33"/>
        <v>90385627.5</v>
      </c>
      <c r="L116" s="507">
        <f t="shared" si="33"/>
        <v>93674809.960000008</v>
      </c>
      <c r="M116" s="507">
        <f t="shared" si="33"/>
        <v>93162509.829999998</v>
      </c>
      <c r="N116" s="507">
        <f t="shared" si="33"/>
        <v>95987426.800000012</v>
      </c>
      <c r="O116" s="507">
        <f t="shared" si="33"/>
        <v>81019219.200000003</v>
      </c>
      <c r="P116" s="507">
        <f t="shared" si="33"/>
        <v>85339625.640000015</v>
      </c>
      <c r="Q116" s="507">
        <f t="shared" si="33"/>
        <v>85314680.13000001</v>
      </c>
      <c r="R116" s="507">
        <f t="shared" si="33"/>
        <v>77037176.379999995</v>
      </c>
      <c r="S116" s="546">
        <f t="shared" si="28"/>
        <v>1065657008.6800002</v>
      </c>
      <c r="T116" s="522">
        <f t="shared" si="29"/>
        <v>13.457814089537163</v>
      </c>
    </row>
    <row r="117" spans="1:21">
      <c r="A117" s="105" t="str">
        <f t="shared" si="27"/>
        <v>421p</v>
      </c>
      <c r="B117" s="633" t="str">
        <f>+VLOOKUP(LEFT($A117,LEN(A117)-1)*1,Master!$D$30:$G$229,4,FALSE)</f>
        <v>Prava iz oblasti socijalne zaštite</v>
      </c>
      <c r="C117" s="634"/>
      <c r="D117" s="634"/>
      <c r="E117" s="634"/>
      <c r="F117" s="634"/>
      <c r="G117" s="499">
        <v>19200151.200000003</v>
      </c>
      <c r="H117" s="499">
        <v>22395857.720000003</v>
      </c>
      <c r="I117" s="499">
        <v>21236495.860000003</v>
      </c>
      <c r="J117" s="499">
        <v>19875975.959999997</v>
      </c>
      <c r="K117" s="499">
        <v>19561222.140000001</v>
      </c>
      <c r="L117" s="499">
        <v>20310976.43</v>
      </c>
      <c r="M117" s="499">
        <v>20317695.199999999</v>
      </c>
      <c r="N117" s="499">
        <v>22053719.830000002</v>
      </c>
      <c r="O117" s="499">
        <v>15726325.110000001</v>
      </c>
      <c r="P117" s="499">
        <v>15726325.110000001</v>
      </c>
      <c r="Q117" s="499">
        <v>15701379.6</v>
      </c>
      <c r="R117" s="499">
        <v>9423875.8399999999</v>
      </c>
      <c r="S117" s="101">
        <f t="shared" si="28"/>
        <v>221530000.00000003</v>
      </c>
      <c r="T117" s="436">
        <f t="shared" si="29"/>
        <v>2.7976258129696285</v>
      </c>
    </row>
    <row r="118" spans="1:21">
      <c r="A118" s="105" t="str">
        <f t="shared" si="27"/>
        <v>422p</v>
      </c>
      <c r="B118" s="633" t="str">
        <f>+VLOOKUP(LEFT($A118,LEN(A118)-1)*1,Master!$D$30:$G$229,4,FALSE)</f>
        <v>Sredstva za tehnološke viškove</v>
      </c>
      <c r="C118" s="634"/>
      <c r="D118" s="634"/>
      <c r="E118" s="634"/>
      <c r="F118" s="634"/>
      <c r="G118" s="499">
        <v>2213718.63</v>
      </c>
      <c r="H118" s="499">
        <v>2165427.89</v>
      </c>
      <c r="I118" s="499">
        <v>2163156.12</v>
      </c>
      <c r="J118" s="499">
        <v>2158505.1</v>
      </c>
      <c r="K118" s="499">
        <v>2057419.81</v>
      </c>
      <c r="L118" s="499">
        <v>2084407.9800000002</v>
      </c>
      <c r="M118" s="499">
        <v>2096069.3900000001</v>
      </c>
      <c r="N118" s="499">
        <v>2344604.0299999998</v>
      </c>
      <c r="O118" s="499">
        <v>2344604.0299999998</v>
      </c>
      <c r="P118" s="499">
        <v>2344604.0299999998</v>
      </c>
      <c r="Q118" s="499">
        <v>2344604.0299999998</v>
      </c>
      <c r="R118" s="499">
        <v>344604</v>
      </c>
      <c r="S118" s="101">
        <f t="shared" si="28"/>
        <v>24661725.040000007</v>
      </c>
      <c r="T118" s="436">
        <f t="shared" si="29"/>
        <v>0.31144440285407599</v>
      </c>
    </row>
    <row r="119" spans="1:21">
      <c r="A119" s="105" t="str">
        <f t="shared" si="27"/>
        <v>423p</v>
      </c>
      <c r="B119" s="633" t="str">
        <f>+VLOOKUP(LEFT($A119,LEN(A119)-1)*1,Master!$D$30:$G$229,4,FALSE)</f>
        <v>Prava iz oblasti penzijskog i invalidskog osiguranja</v>
      </c>
      <c r="C119" s="634"/>
      <c r="D119" s="634"/>
      <c r="E119" s="634"/>
      <c r="F119" s="634"/>
      <c r="G119" s="499">
        <v>63002630.410000004</v>
      </c>
      <c r="H119" s="499">
        <v>65519895.829999998</v>
      </c>
      <c r="I119" s="499">
        <v>65511585.650000006</v>
      </c>
      <c r="J119" s="499">
        <v>65613396.360000007</v>
      </c>
      <c r="K119" s="499">
        <v>65712452.989999995</v>
      </c>
      <c r="L119" s="499">
        <v>66973578.530000001</v>
      </c>
      <c r="M119" s="499">
        <v>66835126.730000004</v>
      </c>
      <c r="N119" s="499">
        <v>67927729.870000005</v>
      </c>
      <c r="O119" s="499">
        <v>59286916.989999995</v>
      </c>
      <c r="P119" s="499">
        <v>63607323.430000007</v>
      </c>
      <c r="Q119" s="499">
        <v>63607323.430000007</v>
      </c>
      <c r="R119" s="499">
        <v>63607323.419999994</v>
      </c>
      <c r="S119" s="101">
        <f t="shared" si="28"/>
        <v>777205283.63999999</v>
      </c>
      <c r="T119" s="436">
        <f t="shared" si="29"/>
        <v>9.8150569380564505</v>
      </c>
    </row>
    <row r="120" spans="1:21">
      <c r="A120" s="105" t="str">
        <f t="shared" si="27"/>
        <v>424p</v>
      </c>
      <c r="B120" s="633" t="str">
        <f>+VLOOKUP(LEFT($A120,LEN(A120)-1)*1,Master!$D$30:$G$229,4,FALSE)</f>
        <v>Ostala prava iz oblasti zdravstvene zaštite</v>
      </c>
      <c r="C120" s="634"/>
      <c r="D120" s="634"/>
      <c r="E120" s="634"/>
      <c r="F120" s="634"/>
      <c r="G120" s="499">
        <v>1296116.4099999999</v>
      </c>
      <c r="H120" s="499">
        <v>2368371.2599999998</v>
      </c>
      <c r="I120" s="499">
        <v>1988435.53</v>
      </c>
      <c r="J120" s="499">
        <v>1904853.6400000001</v>
      </c>
      <c r="K120" s="499">
        <v>1750586.83</v>
      </c>
      <c r="L120" s="499">
        <v>2838301.37</v>
      </c>
      <c r="M120" s="499">
        <v>2255237.94</v>
      </c>
      <c r="N120" s="499">
        <v>2231619.4</v>
      </c>
      <c r="O120" s="499">
        <v>2231619.4</v>
      </c>
      <c r="P120" s="499">
        <v>2231619.4</v>
      </c>
      <c r="Q120" s="499">
        <v>2231619.4</v>
      </c>
      <c r="R120" s="499">
        <v>2231619.42</v>
      </c>
      <c r="S120" s="101">
        <f t="shared" si="28"/>
        <v>25559999.999999993</v>
      </c>
      <c r="T120" s="436">
        <f t="shared" si="29"/>
        <v>0.32278840689524524</v>
      </c>
      <c r="U120" s="243"/>
    </row>
    <row r="121" spans="1:21">
      <c r="A121" s="105" t="str">
        <f t="shared" si="27"/>
        <v>425p</v>
      </c>
      <c r="B121" s="633" t="str">
        <f>+VLOOKUP(LEFT($A121,LEN(A121)-1)*1,Master!$D$30:$G$229,4,FALSE)</f>
        <v>Ostala prava iz zdravstvenog osiguranja</v>
      </c>
      <c r="C121" s="634"/>
      <c r="D121" s="634"/>
      <c r="E121" s="634"/>
      <c r="F121" s="634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1303945.73</v>
      </c>
      <c r="L121" s="499">
        <v>1467545.6500000001</v>
      </c>
      <c r="M121" s="499">
        <v>1658380.57</v>
      </c>
      <c r="N121" s="499">
        <v>1429753.6700000002</v>
      </c>
      <c r="O121" s="499">
        <v>1429753.6700000002</v>
      </c>
      <c r="P121" s="499">
        <v>1429753.6700000002</v>
      </c>
      <c r="Q121" s="499">
        <v>1429753.6700000002</v>
      </c>
      <c r="R121" s="499">
        <v>1429753.7000000002</v>
      </c>
      <c r="S121" s="101">
        <f t="shared" si="28"/>
        <v>16700000</v>
      </c>
      <c r="T121" s="436">
        <f t="shared" si="29"/>
        <v>0.21089852876176046</v>
      </c>
      <c r="U121" s="243"/>
    </row>
    <row r="122" spans="1:21">
      <c r="A122" s="105" t="str">
        <f t="shared" si="27"/>
        <v>43p</v>
      </c>
      <c r="B122" s="649" t="str">
        <f>+VLOOKUP(LEFT($A122,LEN(A122)-1)*1,Master!$D$30:$G$229,4,FALSE)</f>
        <v xml:space="preserve">Transferi institucijama, pojedincima, nevladinom i javnom sektoru </v>
      </c>
      <c r="C122" s="650"/>
      <c r="D122" s="650"/>
      <c r="E122" s="650"/>
      <c r="F122" s="650"/>
      <c r="G122" s="510">
        <v>22312747.940000001</v>
      </c>
      <c r="H122" s="510">
        <v>25330454.930000003</v>
      </c>
      <c r="I122" s="510">
        <v>41879641.159999996</v>
      </c>
      <c r="J122" s="510">
        <v>37225153.310000002</v>
      </c>
      <c r="K122" s="510">
        <v>43353495.059999995</v>
      </c>
      <c r="L122" s="510">
        <v>37033961.009999998</v>
      </c>
      <c r="M122" s="510">
        <v>50964091.189999998</v>
      </c>
      <c r="N122" s="510">
        <v>46548353.63000001</v>
      </c>
      <c r="O122" s="510">
        <v>45860047.220000006</v>
      </c>
      <c r="P122" s="510">
        <v>42366884.090000004</v>
      </c>
      <c r="Q122" s="510">
        <v>38851862.540000007</v>
      </c>
      <c r="R122" s="510">
        <v>24159617.740000006</v>
      </c>
      <c r="S122" s="546">
        <f>+SUM(G122:R122)</f>
        <v>455886309.82000011</v>
      </c>
      <c r="T122" s="522">
        <f t="shared" si="29"/>
        <v>5.7572306600997676</v>
      </c>
      <c r="U122" s="243"/>
    </row>
    <row r="123" spans="1:21">
      <c r="A123" s="105" t="str">
        <f t="shared" si="27"/>
        <v>44p</v>
      </c>
      <c r="B123" s="649" t="str">
        <f>+VLOOKUP(LEFT($A123,LEN(A123)-1)*1,Master!$D$30:$G$229,4,FALSE)</f>
        <v>Kapitalni izdaci</v>
      </c>
      <c r="C123" s="650"/>
      <c r="D123" s="650"/>
      <c r="E123" s="650"/>
      <c r="F123" s="650"/>
      <c r="G123" s="510">
        <v>3130331.0900000003</v>
      </c>
      <c r="H123" s="510">
        <v>9035018.9500000011</v>
      </c>
      <c r="I123" s="510">
        <v>22771028</v>
      </c>
      <c r="J123" s="510">
        <v>20600392.410000008</v>
      </c>
      <c r="K123" s="510">
        <v>22919618.569999997</v>
      </c>
      <c r="L123" s="510">
        <v>14816455.689999998</v>
      </c>
      <c r="M123" s="510">
        <v>27754058.619999997</v>
      </c>
      <c r="N123" s="510">
        <v>43169262.220000006</v>
      </c>
      <c r="O123" s="510">
        <v>33287648.420000002</v>
      </c>
      <c r="P123" s="510">
        <v>30627538.580000013</v>
      </c>
      <c r="Q123" s="510">
        <v>35294592.410000019</v>
      </c>
      <c r="R123" s="510">
        <v>76097863.920000017</v>
      </c>
      <c r="S123" s="546">
        <f>+SUM(G123:R123)</f>
        <v>339503808.88</v>
      </c>
      <c r="T123" s="522">
        <f t="shared" si="29"/>
        <v>4.2874762755572391</v>
      </c>
      <c r="U123" s="243"/>
    </row>
    <row r="124" spans="1:21">
      <c r="A124" s="105" t="str">
        <f t="shared" si="27"/>
        <v>451p</v>
      </c>
      <c r="B124" s="651" t="str">
        <f>+VLOOKUP(LEFT($A124,LEN(A124)-1)*1,Master!$D$30:$G$229,4,FALSE)</f>
        <v>Pozajmice i krediti</v>
      </c>
      <c r="C124" s="652"/>
      <c r="D124" s="652"/>
      <c r="E124" s="652"/>
      <c r="F124" s="652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43"/>
    </row>
    <row r="125" spans="1:21">
      <c r="A125" s="105" t="str">
        <f t="shared" si="27"/>
        <v>47p</v>
      </c>
      <c r="B125" s="651" t="str">
        <f>+VLOOKUP(LEFT($A125,LEN(A125)-1)*1,Master!$D$30:$G$229,4,FALSE)</f>
        <v>Rezerve</v>
      </c>
      <c r="C125" s="652"/>
      <c r="D125" s="652"/>
      <c r="E125" s="652"/>
      <c r="F125" s="652"/>
      <c r="G125" s="501">
        <v>0</v>
      </c>
      <c r="H125" s="501">
        <v>1209850</v>
      </c>
      <c r="I125" s="501">
        <v>3097639.84</v>
      </c>
      <c r="J125" s="501">
        <v>60929.33</v>
      </c>
      <c r="K125" s="501">
        <v>23004.35</v>
      </c>
      <c r="L125" s="501">
        <v>203203.49</v>
      </c>
      <c r="M125" s="501">
        <v>24767.07</v>
      </c>
      <c r="N125" s="501">
        <v>1232013.7</v>
      </c>
      <c r="O125" s="501">
        <v>452013.7</v>
      </c>
      <c r="P125" s="501">
        <v>2452013.7000000002</v>
      </c>
      <c r="Q125" s="501">
        <v>2452013.7000000002</v>
      </c>
      <c r="R125" s="501">
        <v>2576498.7200000002</v>
      </c>
      <c r="S125" s="101">
        <f t="shared" si="28"/>
        <v>13783947.6</v>
      </c>
      <c r="T125" s="436">
        <f t="shared" si="29"/>
        <v>0.17407271074067057</v>
      </c>
      <c r="U125" s="243"/>
    </row>
    <row r="126" spans="1:21">
      <c r="A126" s="105" t="str">
        <f t="shared" si="27"/>
        <v>462p</v>
      </c>
      <c r="B126" s="651" t="str">
        <f>+VLOOKUP(LEFT($A126,LEN(A126)-1)*1,Master!$D$30:$G$229,4,FALSE)</f>
        <v>Otplata garancija</v>
      </c>
      <c r="C126" s="652"/>
      <c r="D126" s="652"/>
      <c r="E126" s="652"/>
      <c r="F126" s="652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5.1777533623792373E-2</v>
      </c>
      <c r="U126" s="243"/>
    </row>
    <row r="127" spans="1:21">
      <c r="A127" s="106" t="str">
        <f t="shared" si="27"/>
        <v>4630p</v>
      </c>
      <c r="B127" s="651" t="str">
        <f>+VLOOKUP(LEFT($A127,LEN(A127)-1)*1,Master!$D$30:$G$229,4,FALSE)</f>
        <v>Otplata obaveza iz prethodnog perioda</v>
      </c>
      <c r="C127" s="652"/>
      <c r="D127" s="652"/>
      <c r="E127" s="652"/>
      <c r="F127" s="652"/>
      <c r="G127" s="502">
        <v>2016407.64</v>
      </c>
      <c r="H127" s="501">
        <v>2098407.64</v>
      </c>
      <c r="I127" s="501">
        <v>2828265.53</v>
      </c>
      <c r="J127" s="501">
        <v>1836048.7</v>
      </c>
      <c r="K127" s="501">
        <v>1828300.48</v>
      </c>
      <c r="L127" s="501">
        <v>2114062.7200000002</v>
      </c>
      <c r="M127" s="501">
        <v>3931326.85</v>
      </c>
      <c r="N127" s="501">
        <v>916856.26000000047</v>
      </c>
      <c r="O127" s="501">
        <v>1342090.7200000007</v>
      </c>
      <c r="P127" s="501">
        <v>1154864.1600000006</v>
      </c>
      <c r="Q127" s="501">
        <v>1360765.2200000007</v>
      </c>
      <c r="R127" s="501">
        <v>2047653.6400000004</v>
      </c>
      <c r="S127" s="92">
        <f>+SUM(G127:R127)</f>
        <v>23475049.560000002</v>
      </c>
      <c r="T127" s="444">
        <f t="shared" si="29"/>
        <v>0.29645828831218041</v>
      </c>
      <c r="U127" s="243"/>
    </row>
    <row r="128" spans="1:21" ht="13.5" thickBot="1">
      <c r="A128" s="105" t="str">
        <f t="shared" si="27"/>
        <v>1005p</v>
      </c>
      <c r="B128" s="651" t="str">
        <f>+VLOOKUP(LEFT($A128,LEN(A128)-1)*1,Master!$D$30:$G$229,4,FALSE)</f>
        <v>Neto povećanje obaveza</v>
      </c>
      <c r="C128" s="652"/>
      <c r="D128" s="652"/>
      <c r="E128" s="652"/>
      <c r="F128" s="652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43"/>
    </row>
    <row r="129" spans="1:21" ht="13.5" thickBot="1">
      <c r="A129" s="106" t="str">
        <f t="shared" si="27"/>
        <v>1000p</v>
      </c>
      <c r="B129" s="659" t="str">
        <f>+VLOOKUP(LEFT($A129,LEN(A129)-1)*1,Master!$D$30:$G$226,4,FALSE)</f>
        <v>Suficit / deficit</v>
      </c>
      <c r="C129" s="660"/>
      <c r="D129" s="660"/>
      <c r="E129" s="660"/>
      <c r="F129" s="660"/>
      <c r="G129" s="504">
        <f t="shared" ref="G129:R129" si="34">+G86-G105</f>
        <v>-35685139.530000031</v>
      </c>
      <c r="H129" s="505">
        <f t="shared" si="34"/>
        <v>-21462022.897298485</v>
      </c>
      <c r="I129" s="504">
        <f t="shared" si="34"/>
        <v>-26227578.019224495</v>
      </c>
      <c r="J129" s="504">
        <f t="shared" si="34"/>
        <v>45254505.859589815</v>
      </c>
      <c r="K129" s="504">
        <f t="shared" si="34"/>
        <v>-47834487.188635528</v>
      </c>
      <c r="L129" s="504">
        <f t="shared" si="34"/>
        <v>-6116654.0882425606</v>
      </c>
      <c r="M129" s="504">
        <f t="shared" si="34"/>
        <v>-22611314.888551921</v>
      </c>
      <c r="N129" s="504">
        <f t="shared" si="34"/>
        <v>-53322502.49680382</v>
      </c>
      <c r="O129" s="504">
        <f t="shared" si="34"/>
        <v>-18476224.943335593</v>
      </c>
      <c r="P129" s="504">
        <f t="shared" si="34"/>
        <v>-23660341.943951547</v>
      </c>
      <c r="Q129" s="504">
        <f t="shared" si="34"/>
        <v>-45712841.179270029</v>
      </c>
      <c r="R129" s="504">
        <f t="shared" si="34"/>
        <v>-22293840.284296304</v>
      </c>
      <c r="S129" s="550">
        <f t="shared" si="28"/>
        <v>-278148441.60002053</v>
      </c>
      <c r="T129" s="531">
        <f t="shared" si="29"/>
        <v>-3.51264054555813</v>
      </c>
      <c r="U129" s="243"/>
    </row>
    <row r="130" spans="1:21" ht="13.5" thickBot="1">
      <c r="A130" s="106" t="str">
        <f t="shared" si="27"/>
        <v>1001p</v>
      </c>
      <c r="B130" s="661" t="str">
        <f>+VLOOKUP(LEFT($A130,LEN(A130)-1)*1,Master!$D$30:$G$226,4,FALSE)</f>
        <v>Primarni suficit/deficit</v>
      </c>
      <c r="C130" s="662"/>
      <c r="D130" s="662"/>
      <c r="E130" s="662"/>
      <c r="F130" s="662"/>
      <c r="G130" s="506">
        <f>+G129+G112</f>
        <v>-31893816.110000029</v>
      </c>
      <c r="H130" s="506">
        <f t="shared" ref="H130:R130" si="35">+H129+H112</f>
        <v>-18138744.157298483</v>
      </c>
      <c r="I130" s="506">
        <f t="shared" si="35"/>
        <v>-1790286.1092244945</v>
      </c>
      <c r="J130" s="506">
        <f t="shared" si="35"/>
        <v>78559585.999589816</v>
      </c>
      <c r="K130" s="506">
        <f t="shared" si="35"/>
        <v>-37616535.988635525</v>
      </c>
      <c r="L130" s="506">
        <f t="shared" si="35"/>
        <v>-486991.64824256115</v>
      </c>
      <c r="M130" s="506">
        <f t="shared" si="35"/>
        <v>-17763118.708551921</v>
      </c>
      <c r="N130" s="506">
        <f t="shared" si="35"/>
        <v>-38830356.936803818</v>
      </c>
      <c r="O130" s="506">
        <f t="shared" si="35"/>
        <v>-3984079.3833355941</v>
      </c>
      <c r="P130" s="506">
        <f t="shared" si="35"/>
        <v>-9168196.3839515485</v>
      </c>
      <c r="Q130" s="506">
        <f t="shared" si="35"/>
        <v>-31220695.61927003</v>
      </c>
      <c r="R130" s="506">
        <f t="shared" si="35"/>
        <v>-7803194.5642963052</v>
      </c>
      <c r="S130" s="550">
        <f t="shared" si="28"/>
        <v>-120136429.61002049</v>
      </c>
      <c r="T130" s="531">
        <f t="shared" si="29"/>
        <v>-1.5171614524218031</v>
      </c>
      <c r="U130" s="243"/>
    </row>
    <row r="131" spans="1:21">
      <c r="A131" s="106" t="str">
        <f t="shared" si="27"/>
        <v>46p</v>
      </c>
      <c r="B131" s="653" t="str">
        <f>+VLOOKUP(LEFT($A131,LEN(A131)-1)*1,Master!$D$30:$G$226,4,FALSE)</f>
        <v>Otplata dugova</v>
      </c>
      <c r="C131" s="654"/>
      <c r="D131" s="654"/>
      <c r="E131" s="654"/>
      <c r="F131" s="654"/>
      <c r="G131" s="507">
        <v>34623384.329999998</v>
      </c>
      <c r="H131" s="507">
        <v>8283075.9799999995</v>
      </c>
      <c r="I131" s="507">
        <v>26500975.739999998</v>
      </c>
      <c r="J131" s="507">
        <v>516680510.11000001</v>
      </c>
      <c r="K131" s="507">
        <v>49356649.140000001</v>
      </c>
      <c r="L131" s="507">
        <v>31468035.539999999</v>
      </c>
      <c r="M131" s="508">
        <v>49327078.370000005</v>
      </c>
      <c r="N131" s="507">
        <v>27550149.000000004</v>
      </c>
      <c r="O131" s="507">
        <v>26364355.75</v>
      </c>
      <c r="P131" s="507">
        <v>15224048.299999999</v>
      </c>
      <c r="Q131" s="507">
        <v>8450028.0999999996</v>
      </c>
      <c r="R131" s="507">
        <v>27083355.399999999</v>
      </c>
      <c r="S131" s="551">
        <f t="shared" si="28"/>
        <v>820911645.75999987</v>
      </c>
      <c r="T131" s="533">
        <f t="shared" si="29"/>
        <v>10.367009481088589</v>
      </c>
      <c r="U131" s="243"/>
    </row>
    <row r="132" spans="1:21">
      <c r="A132" s="106" t="str">
        <f t="shared" si="27"/>
        <v>4611p</v>
      </c>
      <c r="B132" s="657" t="str">
        <f>+VLOOKUP(LEFT($A132,LEN(A132)-1)*1,Master!$D$30:$G$226,4,FALSE)</f>
        <v>Otplata hartija od vrijednosti i kredita rezidentima</v>
      </c>
      <c r="C132" s="658"/>
      <c r="D132" s="658"/>
      <c r="E132" s="658"/>
      <c r="F132" s="658"/>
      <c r="G132" s="502">
        <v>1987616.93</v>
      </c>
      <c r="H132" s="502">
        <v>1708211.7699999998</v>
      </c>
      <c r="I132" s="502">
        <v>4420663.5200000005</v>
      </c>
      <c r="J132" s="502">
        <v>2044202.0799999998</v>
      </c>
      <c r="K132" s="502">
        <v>2816900.89</v>
      </c>
      <c r="L132" s="502">
        <v>15431758.25</v>
      </c>
      <c r="M132" s="503">
        <v>1723907.95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15726739.58</v>
      </c>
      <c r="S132" s="92">
        <f t="shared" si="28"/>
        <v>56781644.759999998</v>
      </c>
      <c r="T132" s="444">
        <f t="shared" si="29"/>
        <v>0.71707576889562419</v>
      </c>
      <c r="U132" s="243"/>
    </row>
    <row r="133" spans="1:21" ht="13.5" thickBot="1">
      <c r="A133" s="106" t="str">
        <f t="shared" si="27"/>
        <v>4612p</v>
      </c>
      <c r="B133" s="651" t="str">
        <f>+VLOOKUP(LEFT($A133,LEN(A133)-1)*1,Master!$D$30:$G$226,4,FALSE)</f>
        <v>Otplata hartija od vrijednosti i kredita nerezidentima</v>
      </c>
      <c r="C133" s="652"/>
      <c r="D133" s="652"/>
      <c r="E133" s="652"/>
      <c r="F133" s="652"/>
      <c r="G133" s="502">
        <v>32635767.399999999</v>
      </c>
      <c r="H133" s="502">
        <v>6574864.21</v>
      </c>
      <c r="I133" s="502">
        <v>22080312.219999999</v>
      </c>
      <c r="J133" s="502">
        <v>514636308.03000003</v>
      </c>
      <c r="K133" s="502">
        <v>46539748.25</v>
      </c>
      <c r="L133" s="502">
        <v>16036277.290000001</v>
      </c>
      <c r="M133" s="503">
        <v>47603170.420000002</v>
      </c>
      <c r="N133" s="503">
        <v>25797686.900000002</v>
      </c>
      <c r="O133" s="503">
        <v>21808571.850000001</v>
      </c>
      <c r="P133" s="503">
        <v>13476055.52</v>
      </c>
      <c r="Q133" s="503">
        <v>5584623.0899999999</v>
      </c>
      <c r="R133" s="503">
        <v>11356615.819999998</v>
      </c>
      <c r="S133" s="92">
        <f t="shared" si="28"/>
        <v>764130001</v>
      </c>
      <c r="T133" s="444">
        <f t="shared" si="29"/>
        <v>9.6499337121929667</v>
      </c>
      <c r="U133" s="243"/>
    </row>
    <row r="134" spans="1:21" ht="13.5" thickBot="1">
      <c r="A134" s="106" t="str">
        <f t="shared" si="27"/>
        <v>4418p</v>
      </c>
      <c r="B134" s="629" t="str">
        <f>+VLOOKUP(LEFT($A134,LEN(A134)-1)*1,Master!$D$30:$G$226,4,FALSE)</f>
        <v>Izdaci za kupovinu hartija od vrijednosti</v>
      </c>
      <c r="C134" s="630"/>
      <c r="D134" s="630"/>
      <c r="E134" s="630"/>
      <c r="F134" s="630"/>
      <c r="G134" s="504">
        <v>0</v>
      </c>
      <c r="H134" s="504">
        <v>0</v>
      </c>
      <c r="I134" s="504">
        <v>3413000</v>
      </c>
      <c r="J134" s="504">
        <v>3413000</v>
      </c>
      <c r="K134" s="504">
        <v>3413000</v>
      </c>
      <c r="L134" s="504">
        <v>3413000</v>
      </c>
      <c r="M134" s="504">
        <v>3413000</v>
      </c>
      <c r="N134" s="504">
        <v>3427386.85</v>
      </c>
      <c r="O134" s="504">
        <v>3427386.85</v>
      </c>
      <c r="P134" s="504">
        <v>3427386.85</v>
      </c>
      <c r="Q134" s="504">
        <v>3427386.85</v>
      </c>
      <c r="R134" s="504">
        <v>3427386.84</v>
      </c>
      <c r="S134" s="550">
        <f t="shared" si="28"/>
        <v>34201934.24000001</v>
      </c>
      <c r="T134" s="531">
        <f t="shared" si="29"/>
        <v>0.43192440790553777</v>
      </c>
      <c r="U134" s="243"/>
    </row>
    <row r="135" spans="1:21" ht="13.5" thickBot="1">
      <c r="A135" s="106" t="s">
        <v>856</v>
      </c>
      <c r="B135" s="629" t="s">
        <v>113</v>
      </c>
      <c r="C135" s="630"/>
      <c r="D135" s="630"/>
      <c r="E135" s="630"/>
      <c r="F135" s="630"/>
      <c r="G135" s="500">
        <v>0</v>
      </c>
      <c r="H135" s="500">
        <v>1500000</v>
      </c>
      <c r="I135" s="500">
        <v>780000</v>
      </c>
      <c r="J135" s="500">
        <v>780000</v>
      </c>
      <c r="K135" s="500">
        <v>660000</v>
      </c>
      <c r="L135" s="500">
        <v>660000</v>
      </c>
      <c r="M135" s="500">
        <v>0</v>
      </c>
      <c r="N135" s="500">
        <v>192001.6</v>
      </c>
      <c r="O135" s="500">
        <v>1056001.5999999999</v>
      </c>
      <c r="P135" s="500">
        <v>624001.6</v>
      </c>
      <c r="Q135" s="500">
        <v>624001.6</v>
      </c>
      <c r="R135" s="500">
        <v>624001.6</v>
      </c>
      <c r="S135" s="550">
        <f t="shared" si="28"/>
        <v>7500007.9999999981</v>
      </c>
      <c r="T135" s="531">
        <f t="shared" si="29"/>
        <v>9.4715009155774424E-2</v>
      </c>
      <c r="U135" s="243"/>
    </row>
    <row r="136" spans="1:21" ht="13.5" thickBot="1">
      <c r="A136" s="106" t="str">
        <f>+CONCATENATE(A60,"p")</f>
        <v>1002p</v>
      </c>
      <c r="B136" s="655" t="str">
        <f>+VLOOKUP(LEFT($A136,LEN(A136)-1)*1,Master!$D$30:$G$226,4,FALSE)</f>
        <v>Nedostajuća sredstva</v>
      </c>
      <c r="C136" s="656"/>
      <c r="D136" s="656"/>
      <c r="E136" s="656"/>
      <c r="F136" s="656"/>
      <c r="G136" s="509">
        <f>+G129-G131-G134-G135</f>
        <v>-70308523.860000029</v>
      </c>
      <c r="H136" s="509">
        <f t="shared" ref="H136:R136" si="36">+H129-H131-H134-H135</f>
        <v>-31245098.877298485</v>
      </c>
      <c r="I136" s="509">
        <f t="shared" si="36"/>
        <v>-56921553.759224489</v>
      </c>
      <c r="J136" s="509">
        <f t="shared" si="36"/>
        <v>-475619004.2504102</v>
      </c>
      <c r="K136" s="509">
        <f t="shared" si="36"/>
        <v>-101264136.32863553</v>
      </c>
      <c r="L136" s="509">
        <f t="shared" si="36"/>
        <v>-41657689.62824256</v>
      </c>
      <c r="M136" s="509">
        <f t="shared" si="36"/>
        <v>-75351393.258551925</v>
      </c>
      <c r="N136" s="509">
        <f t="shared" si="36"/>
        <v>-84492039.946803808</v>
      </c>
      <c r="O136" s="509">
        <f t="shared" si="36"/>
        <v>-49323969.143335596</v>
      </c>
      <c r="P136" s="509">
        <f t="shared" si="36"/>
        <v>-42935778.693951547</v>
      </c>
      <c r="Q136" s="509">
        <f t="shared" si="36"/>
        <v>-58214257.729270034</v>
      </c>
      <c r="R136" s="509">
        <f t="shared" si="36"/>
        <v>-53428584.1242963</v>
      </c>
      <c r="S136" s="552">
        <f t="shared" si="28"/>
        <v>-1140762029.6000204</v>
      </c>
      <c r="T136" s="535">
        <f t="shared" si="29"/>
        <v>-14.406289443708031</v>
      </c>
      <c r="U136" s="243"/>
    </row>
    <row r="137" spans="1:21" ht="13.5" thickBot="1">
      <c r="A137" s="106" t="str">
        <f>+CONCATENATE(A61,"p")</f>
        <v>1003p</v>
      </c>
      <c r="B137" s="629" t="str">
        <f>+VLOOKUP(LEFT($A137,LEN(A137)-1)*1,Master!$D$30:$G$226,4,FALSE)</f>
        <v>Finansiranje</v>
      </c>
      <c r="C137" s="630"/>
      <c r="D137" s="630"/>
      <c r="E137" s="630"/>
      <c r="F137" s="630"/>
      <c r="G137" s="504">
        <f t="shared" ref="G137" si="37">+SUM(G138:G142)</f>
        <v>70308523.860000029</v>
      </c>
      <c r="H137" s="504">
        <f t="shared" ref="H137:R137" si="38">+SUM(H138:H142)</f>
        <v>31245098.877298485</v>
      </c>
      <c r="I137" s="504">
        <f t="shared" si="38"/>
        <v>56921553.759224534</v>
      </c>
      <c r="J137" s="504">
        <f t="shared" si="38"/>
        <v>475619004.2504102</v>
      </c>
      <c r="K137" s="504">
        <f t="shared" si="38"/>
        <v>101264136.32863553</v>
      </c>
      <c r="L137" s="504">
        <f t="shared" si="38"/>
        <v>41657689.62824256</v>
      </c>
      <c r="M137" s="504">
        <f t="shared" si="38"/>
        <v>75351393.258551925</v>
      </c>
      <c r="N137" s="504">
        <f t="shared" si="38"/>
        <v>84492039.946803808</v>
      </c>
      <c r="O137" s="504">
        <f t="shared" si="38"/>
        <v>49323969.143335596</v>
      </c>
      <c r="P137" s="504">
        <f t="shared" si="38"/>
        <v>42935778.693951547</v>
      </c>
      <c r="Q137" s="504">
        <f t="shared" si="38"/>
        <v>58214257.729270034</v>
      </c>
      <c r="R137" s="504">
        <f t="shared" si="38"/>
        <v>53428584.1242963</v>
      </c>
      <c r="S137" s="553">
        <f t="shared" si="28"/>
        <v>1140762029.6000204</v>
      </c>
      <c r="T137" s="537">
        <f t="shared" si="29"/>
        <v>14.406289443708031</v>
      </c>
      <c r="U137" s="243"/>
    </row>
    <row r="138" spans="1:21">
      <c r="A138" s="106" t="str">
        <f>+CONCATENATE(A62,"p")</f>
        <v>7511p</v>
      </c>
      <c r="B138" s="657" t="str">
        <f>+VLOOKUP(LEFT($A138,LEN(A138)-1)*1,Master!$D$30:$G$226,4,FALSE)</f>
        <v>Pozajmice i krediti od domaćih izvora</v>
      </c>
      <c r="C138" s="658"/>
      <c r="D138" s="658"/>
      <c r="E138" s="658"/>
      <c r="F138" s="658"/>
      <c r="G138" s="502">
        <v>0</v>
      </c>
      <c r="H138" s="502">
        <v>0</v>
      </c>
      <c r="I138" s="502">
        <v>0</v>
      </c>
      <c r="J138" s="502">
        <v>50000000</v>
      </c>
      <c r="K138" s="502">
        <v>0</v>
      </c>
      <c r="L138" s="502">
        <v>0</v>
      </c>
      <c r="M138" s="502">
        <v>0</v>
      </c>
      <c r="N138" s="502">
        <v>0</v>
      </c>
      <c r="O138" s="502">
        <v>65000000</v>
      </c>
      <c r="P138" s="502">
        <v>0</v>
      </c>
      <c r="Q138" s="502">
        <v>0</v>
      </c>
      <c r="R138" s="502">
        <v>0</v>
      </c>
      <c r="S138" s="92">
        <f t="shared" si="28"/>
        <v>115000000</v>
      </c>
      <c r="T138" s="444">
        <f t="shared" si="29"/>
        <v>1.4522952579402666</v>
      </c>
      <c r="U138" s="243"/>
    </row>
    <row r="139" spans="1:21">
      <c r="A139" s="106" t="str">
        <f>+CONCATENATE(A63,"p")</f>
        <v>7512p</v>
      </c>
      <c r="B139" s="651" t="str">
        <f>+VLOOKUP(LEFT($A139,LEN(A139)-1)*1,Master!$D$30:$G$226,4,FALSE)</f>
        <v>Pozajmice i krediti od inostranih izvora</v>
      </c>
      <c r="C139" s="652"/>
      <c r="D139" s="652"/>
      <c r="E139" s="652"/>
      <c r="F139" s="652"/>
      <c r="G139" s="502">
        <v>0</v>
      </c>
      <c r="H139" s="502">
        <v>0</v>
      </c>
      <c r="I139" s="502">
        <v>700000000</v>
      </c>
      <c r="J139" s="502">
        <v>0</v>
      </c>
      <c r="K139" s="502">
        <v>0</v>
      </c>
      <c r="L139" s="502">
        <v>0</v>
      </c>
      <c r="M139" s="502">
        <v>0</v>
      </c>
      <c r="N139" s="502">
        <v>0</v>
      </c>
      <c r="O139" s="502">
        <v>70014118.590000004</v>
      </c>
      <c r="P139" s="502">
        <v>0</v>
      </c>
      <c r="Q139" s="502">
        <v>0</v>
      </c>
      <c r="R139" s="502">
        <v>0</v>
      </c>
      <c r="S139" s="92">
        <f t="shared" si="28"/>
        <v>770014118.59000003</v>
      </c>
      <c r="T139" s="444">
        <f t="shared" si="29"/>
        <v>9.7242421997853121</v>
      </c>
      <c r="U139" s="243"/>
    </row>
    <row r="140" spans="1:21">
      <c r="A140" s="106" t="str">
        <f>+CONCATENATE(A64,"p")</f>
        <v>72p</v>
      </c>
      <c r="B140" s="651" t="str">
        <f>+VLOOKUP(LEFT($A140,LEN(A140)-1)*1,Master!$D$30:$G$226,4,FALSE)</f>
        <v>Primici od prodaje imovine</v>
      </c>
      <c r="C140" s="652"/>
      <c r="D140" s="652"/>
      <c r="E140" s="652"/>
      <c r="F140" s="652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7.5771926501231296E-2</v>
      </c>
      <c r="U140" s="243"/>
    </row>
    <row r="141" spans="1:21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0.12310291090484309</v>
      </c>
      <c r="U141" s="243"/>
    </row>
    <row r="142" spans="1:21" ht="13.5" thickBot="1">
      <c r="A142" s="106" t="str">
        <f t="shared" ref="A142" si="39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69727001.523485318</v>
      </c>
      <c r="H142" s="86">
        <f t="shared" ref="H142:R142" si="40">-H136-SUM(H138:H141)</f>
        <v>30299125.764182776</v>
      </c>
      <c r="I142" s="86">
        <f t="shared" si="40"/>
        <v>-643881593.75007653</v>
      </c>
      <c r="J142" s="86">
        <f t="shared" si="40"/>
        <v>424707332.95849049</v>
      </c>
      <c r="K142" s="86">
        <f t="shared" si="40"/>
        <v>99810917.518458486</v>
      </c>
      <c r="L142" s="86">
        <f t="shared" si="40"/>
        <v>39626759.035546698</v>
      </c>
      <c r="M142" s="86">
        <f t="shared" si="40"/>
        <v>74692673.3942945</v>
      </c>
      <c r="N142" s="86">
        <f>-N136-SUM(N138:N141)</f>
        <v>82464586.98167555</v>
      </c>
      <c r="O142" s="86">
        <f>-O136-SUM(O138:O141)</f>
        <v>-86406586.256374434</v>
      </c>
      <c r="P142" s="86">
        <f t="shared" si="40"/>
        <v>42172592.004191622</v>
      </c>
      <c r="Q142" s="86">
        <f t="shared" si="40"/>
        <v>56010665.2535538</v>
      </c>
      <c r="R142" s="86">
        <f t="shared" si="40"/>
        <v>50776532.582592227</v>
      </c>
      <c r="S142" s="94">
        <f>+SUM(G142:R142)</f>
        <v>240000007.01002049</v>
      </c>
      <c r="T142" s="448">
        <f t="shared" si="29"/>
        <v>3.0308771485763781</v>
      </c>
    </row>
    <row r="144" spans="1:21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beozXav09Cp/jzsokiDA3p2/SoU7FA6bpNVBXzE095jTD30pPUKwGDOkvqrvcO5AS7ZI93szf5h5+fzBNJSllQ==" saltValue="74ZRL5FkXMhqLliVNK5LOg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2023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6963615000</v>
      </c>
    </row>
    <row r="8" spans="1:24" ht="16.5" customHeight="1">
      <c r="A8" s="129"/>
      <c r="B8" s="568"/>
      <c r="C8" s="569"/>
      <c r="D8" s="569"/>
      <c r="E8" s="569"/>
      <c r="F8" s="57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4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4" t="str">
        <f>+VLOOKUP($A63,Master!$D$30:$G$226,4,FALSE)</f>
        <v>Pozajmice i krediti od inostranih izvora</v>
      </c>
      <c r="C63" s="565"/>
      <c r="D63" s="565"/>
      <c r="E63" s="565"/>
      <c r="F63" s="565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4" t="s">
        <v>101</v>
      </c>
      <c r="C65" s="565"/>
      <c r="D65" s="565"/>
      <c r="E65" s="565"/>
      <c r="F65" s="565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5" t="str">
        <f>+Master!G253</f>
        <v>Plan ostvarenja budžeta</v>
      </c>
      <c r="C83" s="636"/>
      <c r="D83" s="636"/>
      <c r="E83" s="636"/>
      <c r="F83" s="636"/>
      <c r="G83" s="620">
        <v>2023</v>
      </c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2"/>
      <c r="S83" s="96" t="str">
        <f>+S7</f>
        <v>BDP</v>
      </c>
      <c r="T83" s="97">
        <v>6624340418</v>
      </c>
    </row>
    <row r="84" spans="1:26" ht="15.75" customHeight="1">
      <c r="B84" s="637"/>
      <c r="C84" s="638"/>
      <c r="D84" s="638"/>
      <c r="E84" s="638"/>
      <c r="F84" s="639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20" t="str">
        <f>+Master!G247</f>
        <v>Jan - Dec</v>
      </c>
      <c r="T84" s="622">
        <f>+T8</f>
        <v>0</v>
      </c>
    </row>
    <row r="85" spans="1:26" ht="13.5" thickBot="1">
      <c r="B85" s="640"/>
      <c r="C85" s="641"/>
      <c r="D85" s="641"/>
      <c r="E85" s="641"/>
      <c r="F85" s="642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9" t="str">
        <f>+VLOOKUP(LEFT($A86,LEN(A86)-1)*1,Master!$D$30:$G$226,4,FALSE)</f>
        <v>Prihodi budžeta</v>
      </c>
      <c r="C86" s="630"/>
      <c r="D86" s="630"/>
      <c r="E86" s="630"/>
      <c r="F86" s="630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3" t="str">
        <f>+VLOOKUP(LEFT($A88,LEN(A88)-1)*1,Master!$D$30:$G$229,4,FALSE)</f>
        <v>Porez na dohodak fizičkih lica</v>
      </c>
      <c r="C88" s="634"/>
      <c r="D88" s="634"/>
      <c r="E88" s="634"/>
      <c r="F88" s="634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3" t="str">
        <f>+VLOOKUP(LEFT($A89,LEN(A89)-1)*1,Master!$D$30:$G$229,4,FALSE)</f>
        <v>Porez na dobit pravnih lica</v>
      </c>
      <c r="C89" s="634"/>
      <c r="D89" s="634"/>
      <c r="E89" s="634"/>
      <c r="F89" s="634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3" t="str">
        <f>+VLOOKUP(LEFT($A90,LEN(A90)-1)*1,Master!$D$30:$G$229,4,FALSE)</f>
        <v>Porez na promet nepokretnosti</v>
      </c>
      <c r="C90" s="634"/>
      <c r="D90" s="634"/>
      <c r="E90" s="634"/>
      <c r="F90" s="63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3" t="str">
        <f>+VLOOKUP(LEFT($A91,LEN(A91)-1)*1,Master!$D$30:$G$229,4,FALSE)</f>
        <v>Porez na dodatu vrijednost</v>
      </c>
      <c r="C91" s="634"/>
      <c r="D91" s="634"/>
      <c r="E91" s="634"/>
      <c r="F91" s="634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3" t="str">
        <f>+VLOOKUP(LEFT($A92,LEN(A92)-1)*1,Master!$D$30:$G$229,4,FALSE)</f>
        <v>Akcize</v>
      </c>
      <c r="C92" s="634"/>
      <c r="D92" s="634"/>
      <c r="E92" s="634"/>
      <c r="F92" s="634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3" t="str">
        <f>+VLOOKUP(LEFT($A93,LEN(A93)-1)*1,Master!$D$30:$G$229,4,FALSE)</f>
        <v>Porez na međunarodnu trgovinu i transakcije</v>
      </c>
      <c r="C93" s="634"/>
      <c r="D93" s="634"/>
      <c r="E93" s="634"/>
      <c r="F93" s="634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3" t="str">
        <f>+VLOOKUP(LEFT($A94,LEN(A94)-1)*1,Master!$D$30:$G$229,4,FALSE)</f>
        <v>Ostali državni porezi</v>
      </c>
      <c r="C94" s="634"/>
      <c r="D94" s="634"/>
      <c r="E94" s="634"/>
      <c r="F94" s="634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3" t="str">
        <f>+VLOOKUP(LEFT($A95,LEN(A95)-1)*1,Master!$D$30:$G$229,4,FALSE)</f>
        <v>Doprinosi</v>
      </c>
      <c r="C95" s="644"/>
      <c r="D95" s="644"/>
      <c r="E95" s="644"/>
      <c r="F95" s="644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3" t="str">
        <f>+VLOOKUP(LEFT($A96,LEN(A96)-1)*1,Master!$D$30:$G$229,4,FALSE)</f>
        <v>Doprinosi za penzijsko i invalidsko osiguranje</v>
      </c>
      <c r="C96" s="634"/>
      <c r="D96" s="634"/>
      <c r="E96" s="634"/>
      <c r="F96" s="634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3" t="str">
        <f>+VLOOKUP(LEFT($A97,LEN(A97)-1)*1,Master!$D$30:$G$229,4,FALSE)</f>
        <v>Doprinosi za zdravstveno osiguranje</v>
      </c>
      <c r="C97" s="634"/>
      <c r="D97" s="634"/>
      <c r="E97" s="634"/>
      <c r="F97" s="634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3" t="str">
        <f>+VLOOKUP(LEFT($A98,LEN(A98)-1)*1,Master!$D$30:$G$229,4,FALSE)</f>
        <v>Doprinosi za osiguranje od nezaposlenosti</v>
      </c>
      <c r="C98" s="634"/>
      <c r="D98" s="634"/>
      <c r="E98" s="634"/>
      <c r="F98" s="634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3" t="str">
        <f>+VLOOKUP(LEFT($A99,LEN(A99)-1)*1,Master!$D$30:$G$229,4,FALSE)</f>
        <v>Ostali doprinosi</v>
      </c>
      <c r="C99" s="634"/>
      <c r="D99" s="634"/>
      <c r="E99" s="634"/>
      <c r="F99" s="634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3" t="str">
        <f>+VLOOKUP(LEFT($A100,LEN(A100)-1)*1,Master!$D$30:$G$229,4,FALSE)</f>
        <v>Takse</v>
      </c>
      <c r="C100" s="644"/>
      <c r="D100" s="644"/>
      <c r="E100" s="644"/>
      <c r="F100" s="644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3" t="str">
        <f>+VLOOKUP(LEFT($A101,LEN(A101)-1)*1,Master!$D$30:$G$229,4,FALSE)</f>
        <v>Naknade</v>
      </c>
      <c r="C101" s="644"/>
      <c r="D101" s="644"/>
      <c r="E101" s="644"/>
      <c r="F101" s="644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3" t="str">
        <f>+VLOOKUP(LEFT($A102,LEN(A102)-1)*1,Master!$D$30:$G$229,4,FALSE)</f>
        <v>Ostali prihodi</v>
      </c>
      <c r="C102" s="644"/>
      <c r="D102" s="644"/>
      <c r="E102" s="644"/>
      <c r="F102" s="644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3" t="str">
        <f>+VLOOKUP(LEFT($A103,LEN(A103)-1)*1,Master!$D$30:$G$229,4,FALSE)</f>
        <v>Primici od otplate kredita i sredstva prenesena iz prethodne godine</v>
      </c>
      <c r="C103" s="644"/>
      <c r="D103" s="644"/>
      <c r="E103" s="644"/>
      <c r="F103" s="644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5" t="str">
        <f>+VLOOKUP(LEFT($A104,LEN(A104)-1)*1,Master!$D$30:$G$229,4,FALSE)</f>
        <v>Donacije i transferi</v>
      </c>
      <c r="C104" s="646"/>
      <c r="D104" s="646"/>
      <c r="E104" s="646"/>
      <c r="F104" s="646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9" t="str">
        <f>+VLOOKUP(LEFT($A105,LEN(A105)-1)*1,Master!$D$30:$G$229,4,FALSE)</f>
        <v>Izdaci budžeta</v>
      </c>
      <c r="C105" s="630"/>
      <c r="D105" s="630"/>
      <c r="E105" s="630"/>
      <c r="F105" s="630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7" t="str">
        <f>+VLOOKUP(LEFT($A106,LEN(A106)-1)*1,Master!$D$30:$G$229,4,FALSE)</f>
        <v>Tekući izdaci</v>
      </c>
      <c r="C106" s="648"/>
      <c r="D106" s="648"/>
      <c r="E106" s="648"/>
      <c r="F106" s="648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3" t="str">
        <f>+VLOOKUP(LEFT($A107,LEN(A107)-1)*1,Master!$D$30:$G$229,4,FALSE)</f>
        <v>Bruto zarade i doprinosi na teret poslodavca</v>
      </c>
      <c r="C107" s="634"/>
      <c r="D107" s="634"/>
      <c r="E107" s="634"/>
      <c r="F107" s="634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3" t="str">
        <f>+VLOOKUP(LEFT($A108,LEN(A108)-1)*1,Master!$D$30:$G$229,4,FALSE)</f>
        <v>Ostala lična primanja</v>
      </c>
      <c r="C108" s="634"/>
      <c r="D108" s="634"/>
      <c r="E108" s="634"/>
      <c r="F108" s="634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3" t="str">
        <f>+VLOOKUP(LEFT($A109,LEN(A109)-1)*1,Master!$D$30:$G$229,4,FALSE)</f>
        <v>Rashodi za materijal</v>
      </c>
      <c r="C109" s="634"/>
      <c r="D109" s="634"/>
      <c r="E109" s="634"/>
      <c r="F109" s="634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3" t="str">
        <f>+VLOOKUP(LEFT($A110,LEN(A110)-1)*1,Master!$D$30:$G$229,4,FALSE)</f>
        <v>Rashodi za usluge</v>
      </c>
      <c r="C110" s="634"/>
      <c r="D110" s="634"/>
      <c r="E110" s="634"/>
      <c r="F110" s="634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3" t="str">
        <f>+VLOOKUP(LEFT($A111,LEN(A111)-1)*1,Master!$D$30:$G$229,4,FALSE)</f>
        <v>Rashodi za tekuće održavanje</v>
      </c>
      <c r="C111" s="634"/>
      <c r="D111" s="634"/>
      <c r="E111" s="634"/>
      <c r="F111" s="634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3" t="str">
        <f>+VLOOKUP(LEFT($A112,LEN(A112)-1)*1,Master!$D$30:$G$229,4,FALSE)</f>
        <v>Kamate</v>
      </c>
      <c r="C112" s="634"/>
      <c r="D112" s="634"/>
      <c r="E112" s="634"/>
      <c r="F112" s="634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3" t="str">
        <f>+VLOOKUP(LEFT($A113,LEN(A113)-1)*1,Master!$D$30:$G$229,4,FALSE)</f>
        <v>Renta</v>
      </c>
      <c r="C113" s="634"/>
      <c r="D113" s="634"/>
      <c r="E113" s="634"/>
      <c r="F113" s="634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3" t="str">
        <f>+VLOOKUP(LEFT($A114,LEN(A114)-1)*1,Master!$D$30:$G$229,4,FALSE)</f>
        <v>Subvencije</v>
      </c>
      <c r="C114" s="634"/>
      <c r="D114" s="634"/>
      <c r="E114" s="634"/>
      <c r="F114" s="634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3" t="str">
        <f>+VLOOKUP(LEFT($A115,LEN(A115)-1)*1,Master!$D$30:$G$229,4,FALSE)</f>
        <v>Ostali izdaci</v>
      </c>
      <c r="C115" s="634"/>
      <c r="D115" s="634"/>
      <c r="E115" s="634"/>
      <c r="F115" s="634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3" t="str">
        <f>+VLOOKUP(LEFT($A116,LEN(A116)-1)*1,Master!$D$30:$G$229,4,FALSE)</f>
        <v>Transferi za socijalnu zaštitu</v>
      </c>
      <c r="C116" s="654"/>
      <c r="D116" s="654"/>
      <c r="E116" s="654"/>
      <c r="F116" s="654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3" t="str">
        <f>+VLOOKUP(LEFT($A117,LEN(A117)-1)*1,Master!$D$30:$G$229,4,FALSE)</f>
        <v>Prava iz oblasti socijalne zaštite</v>
      </c>
      <c r="C117" s="634"/>
      <c r="D117" s="634"/>
      <c r="E117" s="634"/>
      <c r="F117" s="634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3" t="str">
        <f>+VLOOKUP(LEFT($A118,LEN(A118)-1)*1,Master!$D$30:$G$229,4,FALSE)</f>
        <v>Sredstva za tehnološke viškove</v>
      </c>
      <c r="C118" s="634"/>
      <c r="D118" s="634"/>
      <c r="E118" s="634"/>
      <c r="F118" s="634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3" t="str">
        <f>+VLOOKUP(LEFT($A119,LEN(A119)-1)*1,Master!$D$30:$G$229,4,FALSE)</f>
        <v>Prava iz oblasti penzijskog i invalidskog osiguranja</v>
      </c>
      <c r="C119" s="634"/>
      <c r="D119" s="634"/>
      <c r="E119" s="634"/>
      <c r="F119" s="634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3" t="str">
        <f>+VLOOKUP(LEFT($A120,LEN(A120)-1)*1,Master!$D$30:$G$229,4,FALSE)</f>
        <v>Ostala prava iz oblasti zdravstvene zaštite</v>
      </c>
      <c r="C120" s="634"/>
      <c r="D120" s="634"/>
      <c r="E120" s="634"/>
      <c r="F120" s="634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3" t="str">
        <f>+VLOOKUP(LEFT($A121,LEN(A121)-1)*1,Master!$D$30:$G$229,4,FALSE)</f>
        <v>Ostala prava iz zdravstvenog osiguranja</v>
      </c>
      <c r="C121" s="634"/>
      <c r="D121" s="634"/>
      <c r="E121" s="634"/>
      <c r="F121" s="634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9" t="str">
        <f>+VLOOKUP(LEFT($A122,LEN(A122)-1)*1,Master!$D$30:$G$229,4,FALSE)</f>
        <v xml:space="preserve">Transferi institucijama, pojedincima, nevladinom i javnom sektoru </v>
      </c>
      <c r="C122" s="650"/>
      <c r="D122" s="650"/>
      <c r="E122" s="650"/>
      <c r="F122" s="650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9" t="str">
        <f>+VLOOKUP(LEFT($A123,LEN(A123)-1)*1,Master!$D$30:$G$229,4,FALSE)</f>
        <v>Kapitalni izdaci</v>
      </c>
      <c r="C123" s="650"/>
      <c r="D123" s="650"/>
      <c r="E123" s="650"/>
      <c r="F123" s="650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51" t="str">
        <f>+VLOOKUP(LEFT($A124,LEN(A124)-1)*1,Master!$D$30:$G$229,4,FALSE)</f>
        <v>Pozajmice i krediti</v>
      </c>
      <c r="C124" s="652"/>
      <c r="D124" s="652"/>
      <c r="E124" s="652"/>
      <c r="F124" s="652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51" t="str">
        <f>+VLOOKUP(LEFT($A125,LEN(A125)-1)*1,Master!$D$30:$G$229,4,FALSE)</f>
        <v>Rezerve</v>
      </c>
      <c r="C125" s="652"/>
      <c r="D125" s="652"/>
      <c r="E125" s="652"/>
      <c r="F125" s="652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51" t="str">
        <f>+VLOOKUP(LEFT($A126,LEN(A126)-1)*1,Master!$D$30:$G$229,4,FALSE)</f>
        <v>Otplata garancija</v>
      </c>
      <c r="C126" s="652"/>
      <c r="D126" s="652"/>
      <c r="E126" s="652"/>
      <c r="F126" s="652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51" t="str">
        <f>+VLOOKUP(LEFT($A127,LEN(A127)-1)*1,Master!$D$30:$G$229,4,FALSE)</f>
        <v>Otplata obaveza iz prethodnog perioda</v>
      </c>
      <c r="C127" s="652"/>
      <c r="D127" s="652"/>
      <c r="E127" s="652"/>
      <c r="F127" s="652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51" t="str">
        <f>+VLOOKUP(LEFT($A128,LEN(A128)-1)*1,Master!$D$30:$G$229,4,FALSE)</f>
        <v>Neto povećanje obaveza</v>
      </c>
      <c r="C128" s="652"/>
      <c r="D128" s="652"/>
      <c r="E128" s="652"/>
      <c r="F128" s="652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9" t="str">
        <f>+VLOOKUP(LEFT($A129,LEN(A129)-1)*1,Master!$D$30:$G$226,4,FALSE)</f>
        <v>Suficit / deficit</v>
      </c>
      <c r="C129" s="660"/>
      <c r="D129" s="660"/>
      <c r="E129" s="660"/>
      <c r="F129" s="660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61" t="str">
        <f>+VLOOKUP(LEFT($A130,LEN(A130)-1)*1,Master!$D$30:$G$226,4,FALSE)</f>
        <v>Primarni suficit/deficit</v>
      </c>
      <c r="C130" s="662"/>
      <c r="D130" s="662"/>
      <c r="E130" s="662"/>
      <c r="F130" s="662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3" t="str">
        <f>+VLOOKUP(LEFT($A131,LEN(A131)-1)*1,Master!$D$30:$G$226,4,FALSE)</f>
        <v>Otplata dugova</v>
      </c>
      <c r="C131" s="654"/>
      <c r="D131" s="654"/>
      <c r="E131" s="654"/>
      <c r="F131" s="654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7" t="str">
        <f>+VLOOKUP(LEFT($A132,LEN(A132)-1)*1,Master!$D$30:$G$226,4,FALSE)</f>
        <v>Otplata hartija od vrijednosti i kredita rezidentima</v>
      </c>
      <c r="C132" s="658"/>
      <c r="D132" s="658"/>
      <c r="E132" s="658"/>
      <c r="F132" s="658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51" t="str">
        <f>+VLOOKUP(LEFT($A133,LEN(A133)-1)*1,Master!$D$30:$G$226,4,FALSE)</f>
        <v>Otplata hartija od vrijednosti i kredita nerezidentima</v>
      </c>
      <c r="C133" s="652"/>
      <c r="D133" s="652"/>
      <c r="E133" s="652"/>
      <c r="F133" s="652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9" t="str">
        <f>+VLOOKUP(LEFT($A134,LEN(A134)-1)*1,Master!$D$30:$G$226,4,FALSE)</f>
        <v>Izdaci za kupovinu hartija od vrijednosti</v>
      </c>
      <c r="C134" s="630"/>
      <c r="D134" s="630"/>
      <c r="E134" s="630"/>
      <c r="F134" s="630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9" t="s">
        <v>113</v>
      </c>
      <c r="C135" s="630"/>
      <c r="D135" s="630"/>
      <c r="E135" s="630"/>
      <c r="F135" s="630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5" t="str">
        <f>+VLOOKUP(LEFT($A136,LEN(A136)-1)*1,Master!$D$30:$G$226,4,FALSE)</f>
        <v>Nedostajuća sredstva</v>
      </c>
      <c r="C136" s="656"/>
      <c r="D136" s="656"/>
      <c r="E136" s="656"/>
      <c r="F136" s="656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9" t="str">
        <f>+VLOOKUP(LEFT($A137,LEN(A137)-1)*1,Master!$D$30:$G$226,4,FALSE)</f>
        <v>Finansiranje</v>
      </c>
      <c r="C137" s="630"/>
      <c r="D137" s="630"/>
      <c r="E137" s="630"/>
      <c r="F137" s="630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7" t="str">
        <f>+VLOOKUP(LEFT($A138,LEN(A138)-1)*1,Master!$D$30:$G$226,4,FALSE)</f>
        <v>Pozajmice i krediti od domaćih izvora</v>
      </c>
      <c r="C138" s="658"/>
      <c r="D138" s="658"/>
      <c r="E138" s="658"/>
      <c r="F138" s="658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51" t="str">
        <f>+VLOOKUP(LEFT($A139,LEN(A139)-1)*1,Master!$D$30:$G$226,4,FALSE)</f>
        <v>Pozajmice i krediti od inostranih izvora</v>
      </c>
      <c r="C139" s="652"/>
      <c r="D139" s="652"/>
      <c r="E139" s="652"/>
      <c r="F139" s="652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51" t="str">
        <f>+VLOOKUP(LEFT($A140,LEN(A140)-1)*1,Master!$D$30:$G$226,4,FALSE)</f>
        <v>Primici od prodaje imovine</v>
      </c>
      <c r="C140" s="652"/>
      <c r="D140" s="652"/>
      <c r="E140" s="652"/>
      <c r="F140" s="652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2022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5796761000</v>
      </c>
    </row>
    <row r="8" spans="1:23" ht="16.5" customHeight="1">
      <c r="A8" s="129"/>
      <c r="B8" s="568"/>
      <c r="C8" s="569"/>
      <c r="D8" s="569"/>
      <c r="E8" s="569"/>
      <c r="F8" s="57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3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6" t="str">
        <f>+VLOOKUP($A10,Master!$D$30:$G$226,4,FALSE)</f>
        <v>Prihodi budžeta</v>
      </c>
      <c r="C10" s="587"/>
      <c r="D10" s="587"/>
      <c r="E10" s="587"/>
      <c r="F10" s="587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8" t="str">
        <f>+VLOOKUP($A19,Master!$D$30:$G$226,4,FALSE)</f>
        <v>Doprinosi</v>
      </c>
      <c r="C19" s="599"/>
      <c r="D19" s="599"/>
      <c r="E19" s="599"/>
      <c r="F19" s="599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6" t="str">
        <f>+VLOOKUP($A39,Master!$D$30:$G$226,4,FALSE)</f>
        <v>Ostali izdaci</v>
      </c>
      <c r="C39" s="597"/>
      <c r="D39" s="597"/>
      <c r="E39" s="597"/>
      <c r="F39" s="597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2" t="str">
        <f>+VLOOKUP($A59,Master!$D$30:$G$226,4,FALSE)</f>
        <v>Pozajmice i krediti</v>
      </c>
      <c r="C59" s="603"/>
      <c r="D59" s="603"/>
      <c r="E59" s="603"/>
      <c r="F59" s="603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4" t="str">
        <f>+VLOOKUP($A60,Master!$D$30:$G$226,4,FALSE)</f>
        <v>Nedostajuća sredstva</v>
      </c>
      <c r="C60" s="585"/>
      <c r="D60" s="585"/>
      <c r="E60" s="585"/>
      <c r="F60" s="585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6" t="str">
        <f>+VLOOKUP($A61,Master!$D$30:$G$226,4,FALSE)</f>
        <v>Finansiranje</v>
      </c>
      <c r="C61" s="587"/>
      <c r="D61" s="587"/>
      <c r="E61" s="587"/>
      <c r="F61" s="587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80" t="str">
        <f>+VLOOKUP($A62,Master!$D$30:$G$226,4,FALSE)</f>
        <v>Pozajmice i krediti od domaćih izvora</v>
      </c>
      <c r="C62" s="581"/>
      <c r="D62" s="581"/>
      <c r="E62" s="581"/>
      <c r="F62" s="581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80" t="str">
        <f>+VLOOKUP($A63,Master!$D$30:$G$226,4,FALSE)</f>
        <v>Pozajmice i krediti od inostranih izvora</v>
      </c>
      <c r="C63" s="581"/>
      <c r="D63" s="581"/>
      <c r="E63" s="581"/>
      <c r="F63" s="581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4" t="str">
        <f>+VLOOKUP($A64,Master!$D$30:$G$226,4,FALSE)</f>
        <v>Primici od prodaje imovine</v>
      </c>
      <c r="C64" s="565"/>
      <c r="D64" s="565"/>
      <c r="E64" s="565"/>
      <c r="F64" s="565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4" t="s">
        <v>101</v>
      </c>
      <c r="C65" s="565"/>
      <c r="D65" s="565"/>
      <c r="E65" s="565"/>
      <c r="F65" s="565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5" t="str">
        <f>+Master!G253</f>
        <v>Plan ostvarenja budžeta</v>
      </c>
      <c r="C83" s="636"/>
      <c r="D83" s="636"/>
      <c r="E83" s="636"/>
      <c r="F83" s="636"/>
      <c r="G83" s="620">
        <v>2022</v>
      </c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2"/>
      <c r="S83" s="96" t="str">
        <f>+S7</f>
        <v>BDP</v>
      </c>
      <c r="T83" s="97">
        <v>5700400000</v>
      </c>
    </row>
    <row r="84" spans="1:26" ht="15.75" customHeight="1">
      <c r="B84" s="637"/>
      <c r="C84" s="638"/>
      <c r="D84" s="638"/>
      <c r="E84" s="638"/>
      <c r="F84" s="639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20" t="str">
        <f>+Master!G247</f>
        <v>Jan - Dec</v>
      </c>
      <c r="T84" s="622">
        <f>+T8</f>
        <v>0</v>
      </c>
    </row>
    <row r="85" spans="1:26" ht="13.5" thickBot="1">
      <c r="B85" s="640"/>
      <c r="C85" s="641"/>
      <c r="D85" s="641"/>
      <c r="E85" s="641"/>
      <c r="F85" s="642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9" t="str">
        <f>+VLOOKUP(LEFT($A86,LEN(A86)-1)*1,Master!$D$30:$G$226,4,FALSE)</f>
        <v>Prihodi budžeta</v>
      </c>
      <c r="C86" s="630"/>
      <c r="D86" s="630"/>
      <c r="E86" s="630"/>
      <c r="F86" s="630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3" t="str">
        <f>+VLOOKUP(LEFT($A88,LEN(A88)-1)*1,Master!$D$30:$G$229,4,FALSE)</f>
        <v>Porez na dohodak fizičkih lica</v>
      </c>
      <c r="C88" s="634"/>
      <c r="D88" s="634"/>
      <c r="E88" s="634"/>
      <c r="F88" s="634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3" t="str">
        <f>+VLOOKUP(LEFT($A89,LEN(A89)-1)*1,Master!$D$30:$G$229,4,FALSE)</f>
        <v>Porez na dobit pravnih lica</v>
      </c>
      <c r="C89" s="634"/>
      <c r="D89" s="634"/>
      <c r="E89" s="634"/>
      <c r="F89" s="634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3" t="str">
        <f>+VLOOKUP(LEFT($A90,LEN(A90)-1)*1,Master!$D$30:$G$229,4,FALSE)</f>
        <v>Porez na promet nepokretnosti</v>
      </c>
      <c r="C90" s="634"/>
      <c r="D90" s="634"/>
      <c r="E90" s="634"/>
      <c r="F90" s="634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3" t="str">
        <f>+VLOOKUP(LEFT($A91,LEN(A91)-1)*1,Master!$D$30:$G$229,4,FALSE)</f>
        <v>Porez na dodatu vrijednost</v>
      </c>
      <c r="C91" s="634"/>
      <c r="D91" s="634"/>
      <c r="E91" s="634"/>
      <c r="F91" s="634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3" t="str">
        <f>+VLOOKUP(LEFT($A92,LEN(A92)-1)*1,Master!$D$30:$G$229,4,FALSE)</f>
        <v>Akcize</v>
      </c>
      <c r="C92" s="634"/>
      <c r="D92" s="634"/>
      <c r="E92" s="634"/>
      <c r="F92" s="634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3" t="str">
        <f>+VLOOKUP(LEFT($A93,LEN(A93)-1)*1,Master!$D$30:$G$229,4,FALSE)</f>
        <v>Porez na međunarodnu trgovinu i transakcije</v>
      </c>
      <c r="C93" s="634"/>
      <c r="D93" s="634"/>
      <c r="E93" s="634"/>
      <c r="F93" s="634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3" t="str">
        <f>+VLOOKUP(LEFT($A94,LEN(A94)-1)*1,Master!$D$30:$G$229,4,FALSE)</f>
        <v>Ostali državni porezi</v>
      </c>
      <c r="C94" s="634"/>
      <c r="D94" s="634"/>
      <c r="E94" s="634"/>
      <c r="F94" s="634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3" t="str">
        <f>+VLOOKUP(LEFT($A95,LEN(A95)-1)*1,Master!$D$30:$G$229,4,FALSE)</f>
        <v>Doprinosi</v>
      </c>
      <c r="C95" s="644"/>
      <c r="D95" s="644"/>
      <c r="E95" s="644"/>
      <c r="F95" s="644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3" t="str">
        <f>+VLOOKUP(LEFT($A96,LEN(A96)-1)*1,Master!$D$30:$G$229,4,FALSE)</f>
        <v>Doprinosi za penzijsko i invalidsko osiguranje</v>
      </c>
      <c r="C96" s="634"/>
      <c r="D96" s="634"/>
      <c r="E96" s="634"/>
      <c r="F96" s="634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3" t="str">
        <f>+VLOOKUP(LEFT($A97,LEN(A97)-1)*1,Master!$D$30:$G$229,4,FALSE)</f>
        <v>Doprinosi za zdravstveno osiguranje</v>
      </c>
      <c r="C97" s="634"/>
      <c r="D97" s="634"/>
      <c r="E97" s="634"/>
      <c r="F97" s="634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3" t="str">
        <f>+VLOOKUP(LEFT($A98,LEN(A98)-1)*1,Master!$D$30:$G$229,4,FALSE)</f>
        <v>Doprinosi za osiguranje od nezaposlenosti</v>
      </c>
      <c r="C98" s="634"/>
      <c r="D98" s="634"/>
      <c r="E98" s="634"/>
      <c r="F98" s="634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3" t="str">
        <f>+VLOOKUP(LEFT($A99,LEN(A99)-1)*1,Master!$D$30:$G$229,4,FALSE)</f>
        <v>Ostali doprinosi</v>
      </c>
      <c r="C99" s="634"/>
      <c r="D99" s="634"/>
      <c r="E99" s="634"/>
      <c r="F99" s="634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3" t="str">
        <f>+VLOOKUP(LEFT($A100,LEN(A100)-1)*1,Master!$D$30:$G$229,4,FALSE)</f>
        <v>Takse</v>
      </c>
      <c r="C100" s="644"/>
      <c r="D100" s="644"/>
      <c r="E100" s="644"/>
      <c r="F100" s="644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3" t="str">
        <f>+VLOOKUP(LEFT($A101,LEN(A101)-1)*1,Master!$D$30:$G$229,4,FALSE)</f>
        <v>Naknade</v>
      </c>
      <c r="C101" s="644"/>
      <c r="D101" s="644"/>
      <c r="E101" s="644"/>
      <c r="F101" s="644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3" t="str">
        <f>+VLOOKUP(LEFT($A102,LEN(A102)-1)*1,Master!$D$30:$G$229,4,FALSE)</f>
        <v>Ostali prihodi</v>
      </c>
      <c r="C102" s="644"/>
      <c r="D102" s="644"/>
      <c r="E102" s="644"/>
      <c r="F102" s="644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3" t="str">
        <f>+VLOOKUP(LEFT($A103,LEN(A103)-1)*1,Master!$D$30:$G$229,4,FALSE)</f>
        <v>Primici od otplate kredita i sredstva prenesena iz prethodne godine</v>
      </c>
      <c r="C103" s="644"/>
      <c r="D103" s="644"/>
      <c r="E103" s="644"/>
      <c r="F103" s="644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5" t="str">
        <f>+VLOOKUP(LEFT($A104,LEN(A104)-1)*1,Master!$D$30:$G$229,4,FALSE)</f>
        <v>Donacije i transferi</v>
      </c>
      <c r="C104" s="646"/>
      <c r="D104" s="646"/>
      <c r="E104" s="646"/>
      <c r="F104" s="646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9" t="str">
        <f>+VLOOKUP(LEFT($A105,LEN(A105)-1)*1,Master!$D$30:$G$229,4,FALSE)</f>
        <v>Izdaci budžeta</v>
      </c>
      <c r="C105" s="630"/>
      <c r="D105" s="630"/>
      <c r="E105" s="630"/>
      <c r="F105" s="630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7" t="str">
        <f>+VLOOKUP(LEFT($A106,LEN(A106)-1)*1,Master!$D$30:$G$229,4,FALSE)</f>
        <v>Tekući izdaci</v>
      </c>
      <c r="C106" s="648"/>
      <c r="D106" s="648"/>
      <c r="E106" s="648"/>
      <c r="F106" s="648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3" t="str">
        <f>+VLOOKUP(LEFT($A107,LEN(A107)-1)*1,Master!$D$30:$G$229,4,FALSE)</f>
        <v>Bruto zarade i doprinosi na teret poslodavca</v>
      </c>
      <c r="C107" s="634"/>
      <c r="D107" s="634"/>
      <c r="E107" s="634"/>
      <c r="F107" s="634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3" t="str">
        <f>+VLOOKUP(LEFT($A108,LEN(A108)-1)*1,Master!$D$30:$G$229,4,FALSE)</f>
        <v>Ostala lična primanja</v>
      </c>
      <c r="C108" s="634"/>
      <c r="D108" s="634"/>
      <c r="E108" s="634"/>
      <c r="F108" s="634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3" t="str">
        <f>+VLOOKUP(LEFT($A109,LEN(A109)-1)*1,Master!$D$30:$G$229,4,FALSE)</f>
        <v>Rashodi za materijal</v>
      </c>
      <c r="C109" s="634"/>
      <c r="D109" s="634"/>
      <c r="E109" s="634"/>
      <c r="F109" s="634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3" t="str">
        <f>+VLOOKUP(LEFT($A110,LEN(A110)-1)*1,Master!$D$30:$G$229,4,FALSE)</f>
        <v>Rashodi za usluge</v>
      </c>
      <c r="C110" s="634"/>
      <c r="D110" s="634"/>
      <c r="E110" s="634"/>
      <c r="F110" s="634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3" t="str">
        <f>+VLOOKUP(LEFT($A111,LEN(A111)-1)*1,Master!$D$30:$G$229,4,FALSE)</f>
        <v>Rashodi za tekuće održavanje</v>
      </c>
      <c r="C111" s="634"/>
      <c r="D111" s="634"/>
      <c r="E111" s="634"/>
      <c r="F111" s="634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3" t="str">
        <f>+VLOOKUP(LEFT($A112,LEN(A112)-1)*1,Master!$D$30:$G$229,4,FALSE)</f>
        <v>Kamate</v>
      </c>
      <c r="C112" s="634"/>
      <c r="D112" s="634"/>
      <c r="E112" s="634"/>
      <c r="F112" s="634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3" t="str">
        <f>+VLOOKUP(LEFT($A113,LEN(A113)-1)*1,Master!$D$30:$G$229,4,FALSE)</f>
        <v>Renta</v>
      </c>
      <c r="C113" s="634"/>
      <c r="D113" s="634"/>
      <c r="E113" s="634"/>
      <c r="F113" s="634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3" t="str">
        <f>+VLOOKUP(LEFT($A114,LEN(A114)-1)*1,Master!$D$30:$G$229,4,FALSE)</f>
        <v>Subvencije</v>
      </c>
      <c r="C114" s="634"/>
      <c r="D114" s="634"/>
      <c r="E114" s="634"/>
      <c r="F114" s="634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3" t="str">
        <f>+VLOOKUP(LEFT($A115,LEN(A115)-1)*1,Master!$D$30:$G$229,4,FALSE)</f>
        <v>Ostali izdaci</v>
      </c>
      <c r="C115" s="634"/>
      <c r="D115" s="634"/>
      <c r="E115" s="634"/>
      <c r="F115" s="634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3" t="str">
        <f>+VLOOKUP(LEFT($A116,LEN(A116)-1)*1,Master!$D$30:$G$229,4,FALSE)</f>
        <v>Transferi za socijalnu zaštitu</v>
      </c>
      <c r="C116" s="654"/>
      <c r="D116" s="654"/>
      <c r="E116" s="654"/>
      <c r="F116" s="654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3" t="str">
        <f>+VLOOKUP(LEFT($A117,LEN(A117)-1)*1,Master!$D$30:$G$229,4,FALSE)</f>
        <v>Prava iz oblasti socijalne zaštite</v>
      </c>
      <c r="C117" s="634"/>
      <c r="D117" s="634"/>
      <c r="E117" s="634"/>
      <c r="F117" s="634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3" t="str">
        <f>+VLOOKUP(LEFT($A118,LEN(A118)-1)*1,Master!$D$30:$G$229,4,FALSE)</f>
        <v>Sredstva za tehnološke viškove</v>
      </c>
      <c r="C118" s="634"/>
      <c r="D118" s="634"/>
      <c r="E118" s="634"/>
      <c r="F118" s="634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3" t="str">
        <f>+VLOOKUP(LEFT($A119,LEN(A119)-1)*1,Master!$D$30:$G$229,4,FALSE)</f>
        <v>Prava iz oblasti penzijskog i invalidskog osiguranja</v>
      </c>
      <c r="C119" s="634"/>
      <c r="D119" s="634"/>
      <c r="E119" s="634"/>
      <c r="F119" s="634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3" t="str">
        <f>+VLOOKUP(LEFT($A120,LEN(A120)-1)*1,Master!$D$30:$G$229,4,FALSE)</f>
        <v>Ostala prava iz oblasti zdravstvene zaštite</v>
      </c>
      <c r="C120" s="634"/>
      <c r="D120" s="634"/>
      <c r="E120" s="634"/>
      <c r="F120" s="634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3" t="str">
        <f>+VLOOKUP(LEFT($A121,LEN(A121)-1)*1,Master!$D$30:$G$229,4,FALSE)</f>
        <v>Ostala prava iz zdravstvenog osiguranja</v>
      </c>
      <c r="C121" s="634"/>
      <c r="D121" s="634"/>
      <c r="E121" s="634"/>
      <c r="F121" s="634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9" t="str">
        <f>+VLOOKUP(LEFT($A122,LEN(A122)-1)*1,Master!$D$30:$G$229,4,FALSE)</f>
        <v xml:space="preserve">Transferi institucijama, pojedincima, nevladinom i javnom sektoru </v>
      </c>
      <c r="C122" s="650"/>
      <c r="D122" s="650"/>
      <c r="E122" s="650"/>
      <c r="F122" s="650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9" t="str">
        <f>+VLOOKUP(LEFT($A123,LEN(A123)-1)*1,Master!$D$30:$G$229,4,FALSE)</f>
        <v>Kapitalni izdaci</v>
      </c>
      <c r="C123" s="650"/>
      <c r="D123" s="650"/>
      <c r="E123" s="650"/>
      <c r="F123" s="650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51" t="str">
        <f>+VLOOKUP(LEFT($A124,LEN(A124)-1)*1,Master!$D$30:$G$229,4,FALSE)</f>
        <v>Pozajmice i krediti</v>
      </c>
      <c r="C124" s="652"/>
      <c r="D124" s="652"/>
      <c r="E124" s="652"/>
      <c r="F124" s="652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51" t="str">
        <f>+VLOOKUP(LEFT($A125,LEN(A125)-1)*1,Master!$D$30:$G$229,4,FALSE)</f>
        <v>Rezerve</v>
      </c>
      <c r="C125" s="652"/>
      <c r="D125" s="652"/>
      <c r="E125" s="652"/>
      <c r="F125" s="652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51" t="str">
        <f>+VLOOKUP(LEFT($A126,LEN(A126)-1)*1,Master!$D$30:$G$229,4,FALSE)</f>
        <v>Otplata garancija</v>
      </c>
      <c r="C126" s="652"/>
      <c r="D126" s="652"/>
      <c r="E126" s="652"/>
      <c r="F126" s="652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51" t="str">
        <f>+VLOOKUP(LEFT($A127,LEN(A127)-1)*1,Master!$D$30:$G$229,4,FALSE)</f>
        <v>Otplata obaveza iz prethodnog perioda</v>
      </c>
      <c r="C127" s="652"/>
      <c r="D127" s="652"/>
      <c r="E127" s="652"/>
      <c r="F127" s="652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51" t="str">
        <f>+VLOOKUP(LEFT($A128,LEN(A128)-1)*1,Master!$D$30:$G$229,4,FALSE)</f>
        <v>Neto povećanje obaveza</v>
      </c>
      <c r="C128" s="652"/>
      <c r="D128" s="652"/>
      <c r="E128" s="652"/>
      <c r="F128" s="652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9" t="str">
        <f>+VLOOKUP(LEFT($A129,LEN(A129)-1)*1,Master!$D$30:$G$226,4,FALSE)</f>
        <v>Suficit / deficit</v>
      </c>
      <c r="C129" s="660"/>
      <c r="D129" s="660"/>
      <c r="E129" s="660"/>
      <c r="F129" s="660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61" t="str">
        <f>+VLOOKUP(LEFT($A130,LEN(A130)-1)*1,Master!$D$30:$G$226,4,FALSE)</f>
        <v>Primarni suficit/deficit</v>
      </c>
      <c r="C130" s="662"/>
      <c r="D130" s="662"/>
      <c r="E130" s="662"/>
      <c r="F130" s="662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3" t="str">
        <f>+VLOOKUP(LEFT($A131,LEN(A131)-1)*1,Master!$D$30:$G$226,4,FALSE)</f>
        <v>Otplata dugova</v>
      </c>
      <c r="C131" s="654"/>
      <c r="D131" s="654"/>
      <c r="E131" s="654"/>
      <c r="F131" s="654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7" t="str">
        <f>+VLOOKUP(LEFT($A132,LEN(A132)-1)*1,Master!$D$30:$G$226,4,FALSE)</f>
        <v>Otplata hartija od vrijednosti i kredita rezidentima</v>
      </c>
      <c r="C132" s="658"/>
      <c r="D132" s="658"/>
      <c r="E132" s="658"/>
      <c r="F132" s="658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51" t="str">
        <f>+VLOOKUP(LEFT($A133,LEN(A133)-1)*1,Master!$D$30:$G$226,4,FALSE)</f>
        <v>Otplata hartija od vrijednosti i kredita nerezidentima</v>
      </c>
      <c r="C133" s="652"/>
      <c r="D133" s="652"/>
      <c r="E133" s="652"/>
      <c r="F133" s="652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9" t="str">
        <f>+VLOOKUP(LEFT($A134,LEN(A134)-1)*1,Master!$D$30:$G$226,4,FALSE)</f>
        <v>Izdaci za kupovinu hartija od vrijednosti</v>
      </c>
      <c r="C134" s="630"/>
      <c r="D134" s="630"/>
      <c r="E134" s="630"/>
      <c r="F134" s="630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5" t="str">
        <f>+VLOOKUP(LEFT($A135,LEN(A135)-1)*1,Master!$D$30:$G$226,4,FALSE)</f>
        <v>Nedostajuća sredstva</v>
      </c>
      <c r="C135" s="656"/>
      <c r="D135" s="656"/>
      <c r="E135" s="656"/>
      <c r="F135" s="656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9" t="str">
        <f>+VLOOKUP(LEFT($A136,LEN(A136)-1)*1,Master!$D$30:$G$226,4,FALSE)</f>
        <v>Finansiranje</v>
      </c>
      <c r="C136" s="630"/>
      <c r="D136" s="630"/>
      <c r="E136" s="630"/>
      <c r="F136" s="630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7" t="str">
        <f>+VLOOKUP(LEFT($A137,LEN(A137)-1)*1,Master!$D$30:$G$226,4,FALSE)</f>
        <v>Pozajmice i krediti od domaćih izvora</v>
      </c>
      <c r="C137" s="658"/>
      <c r="D137" s="658"/>
      <c r="E137" s="658"/>
      <c r="F137" s="658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51" t="str">
        <f>+VLOOKUP(LEFT($A138,LEN(A138)-1)*1,Master!$D$30:$G$226,4,FALSE)</f>
        <v>Pozajmice i krediti od inostranih izvora</v>
      </c>
      <c r="C138" s="652"/>
      <c r="D138" s="652"/>
      <c r="E138" s="652"/>
      <c r="F138" s="652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51" t="str">
        <f>+VLOOKUP(LEFT($A139,LEN(A139)-1)*1,Master!$D$30:$G$226,4,FALSE)</f>
        <v>Primici od prodaje imovine</v>
      </c>
      <c r="C139" s="652"/>
      <c r="D139" s="652"/>
      <c r="E139" s="652"/>
      <c r="F139" s="652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2021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4955116000</v>
      </c>
    </row>
    <row r="8" spans="1:22" ht="16.5" customHeight="1">
      <c r="A8" s="129"/>
      <c r="B8" s="568"/>
      <c r="C8" s="569"/>
      <c r="D8" s="569"/>
      <c r="E8" s="569"/>
      <c r="F8" s="57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2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8" t="str">
        <f>+VLOOKUP($A10,Master!$D$30:$G$226,4,FALSE)</f>
        <v>Prihodi budžeta</v>
      </c>
      <c r="C10" s="609"/>
      <c r="D10" s="609"/>
      <c r="E10" s="609"/>
      <c r="F10" s="609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6" t="str">
        <f>+VLOOKUP($A19,Master!$D$30:$G$226,4,FALSE)</f>
        <v>Doprinosi</v>
      </c>
      <c r="C19" s="607"/>
      <c r="D19" s="607"/>
      <c r="E19" s="607"/>
      <c r="F19" s="607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4" t="str">
        <f>+VLOOKUP($A39,Master!$D$30:$G$226,4,FALSE)</f>
        <v>Ostali izdaci</v>
      </c>
      <c r="C39" s="615"/>
      <c r="D39" s="615"/>
      <c r="E39" s="615"/>
      <c r="F39" s="615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4" t="str">
        <f>+VLOOKUP($A59,Master!$D$30:$G$226,4,FALSE)</f>
        <v>Nedostajuća sredstva</v>
      </c>
      <c r="C59" s="585"/>
      <c r="D59" s="585"/>
      <c r="E59" s="585"/>
      <c r="F59" s="585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6" t="str">
        <f>+VLOOKUP($A60,Master!$D$30:$G$226,4,FALSE)</f>
        <v>Finansiranje</v>
      </c>
      <c r="C60" s="587"/>
      <c r="D60" s="587"/>
      <c r="E60" s="587"/>
      <c r="F60" s="587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80" t="str">
        <f>+VLOOKUP($A61,Master!$D$30:$G$226,4,FALSE)</f>
        <v>Pozajmice i krediti od domaćih izvora</v>
      </c>
      <c r="C61" s="581"/>
      <c r="D61" s="581"/>
      <c r="E61" s="581"/>
      <c r="F61" s="581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4" t="str">
        <f>+VLOOKUP($A62,Master!$D$30:$G$226,4,FALSE)</f>
        <v>Pozajmice i krediti od inostranih izvora</v>
      </c>
      <c r="C62" s="565"/>
      <c r="D62" s="565"/>
      <c r="E62" s="565"/>
      <c r="F62" s="565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4" t="str">
        <f>+VLOOKUP($A63,Master!$D$30:$G$226,4,FALSE)</f>
        <v>Primici od prodaje imovine</v>
      </c>
      <c r="C63" s="565"/>
      <c r="D63" s="565"/>
      <c r="E63" s="565"/>
      <c r="F63" s="565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5" t="str">
        <f>+Master!G253</f>
        <v>Plan ostvarenja budžeta</v>
      </c>
      <c r="C81" s="636"/>
      <c r="D81" s="636"/>
      <c r="E81" s="636"/>
      <c r="F81" s="636"/>
      <c r="G81" s="620">
        <v>2021</v>
      </c>
      <c r="H81" s="621"/>
      <c r="I81" s="621"/>
      <c r="J81" s="621"/>
      <c r="K81" s="621"/>
      <c r="L81" s="621"/>
      <c r="M81" s="621"/>
      <c r="N81" s="621"/>
      <c r="O81" s="621"/>
      <c r="P81" s="621"/>
      <c r="Q81" s="621"/>
      <c r="R81" s="622"/>
      <c r="S81" s="96" t="str">
        <f>+S7</f>
        <v>BDP</v>
      </c>
      <c r="T81" s="97">
        <v>4636600000</v>
      </c>
    </row>
    <row r="82" spans="1:21" ht="15.75" customHeight="1">
      <c r="B82" s="637"/>
      <c r="C82" s="638"/>
      <c r="D82" s="638"/>
      <c r="E82" s="638"/>
      <c r="F82" s="639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20" t="str">
        <f>+Master!G247</f>
        <v>Jan - Dec</v>
      </c>
      <c r="T82" s="622">
        <f>+T8</f>
        <v>0</v>
      </c>
    </row>
    <row r="83" spans="1:21" ht="13.5" thickBot="1">
      <c r="B83" s="640"/>
      <c r="C83" s="641"/>
      <c r="D83" s="641"/>
      <c r="E83" s="641"/>
      <c r="F83" s="642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5" t="str">
        <f>+VLOOKUP(LEFT($A84,LEN(A84)-1)*1,Master!$D$30:$G$226,4,FALSE)</f>
        <v>Prihodi budžeta</v>
      </c>
      <c r="C84" s="666"/>
      <c r="D84" s="666"/>
      <c r="E84" s="666"/>
      <c r="F84" s="666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1" t="str">
        <f>+VLOOKUP(LEFT($A85,LEN(A85)-1)*1,Master!$D$30:$G$226,4,FALSE)</f>
        <v>Porezi</v>
      </c>
      <c r="C85" s="632"/>
      <c r="D85" s="632"/>
      <c r="E85" s="632"/>
      <c r="F85" s="632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3" t="str">
        <f>+VLOOKUP(LEFT($A86,LEN(A86)-1)*1,Master!$D$30:$G$229,4,FALSE)</f>
        <v>Porez na dohodak fizičkih lica</v>
      </c>
      <c r="C86" s="634"/>
      <c r="D86" s="634"/>
      <c r="E86" s="634"/>
      <c r="F86" s="634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3" t="str">
        <f>+VLOOKUP(LEFT($A87,LEN(A87)-1)*1,Master!$D$30:$G$229,4,FALSE)</f>
        <v>Porez na dobit pravnih lica</v>
      </c>
      <c r="C87" s="634"/>
      <c r="D87" s="634"/>
      <c r="E87" s="634"/>
      <c r="F87" s="634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3" t="str">
        <f>+VLOOKUP(LEFT($A88,LEN(A88)-1)*1,Master!$D$30:$G$229,4,FALSE)</f>
        <v>Porez na promet nepokretnosti</v>
      </c>
      <c r="C88" s="634"/>
      <c r="D88" s="634"/>
      <c r="E88" s="634"/>
      <c r="F88" s="634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3" t="str">
        <f>+VLOOKUP(LEFT($A89,LEN(A89)-1)*1,Master!$D$30:$G$229,4,FALSE)</f>
        <v>Porez na dodatu vrijednost</v>
      </c>
      <c r="C89" s="634"/>
      <c r="D89" s="634"/>
      <c r="E89" s="634"/>
      <c r="F89" s="634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3" t="str">
        <f>+VLOOKUP(LEFT($A90,LEN(A90)-1)*1,Master!$D$30:$G$229,4,FALSE)</f>
        <v>Akcize</v>
      </c>
      <c r="C90" s="634"/>
      <c r="D90" s="634"/>
      <c r="E90" s="634"/>
      <c r="F90" s="634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3" t="str">
        <f>+VLOOKUP(LEFT($A91,LEN(A91)-1)*1,Master!$D$30:$G$229,4,FALSE)</f>
        <v>Porez na međunarodnu trgovinu i transakcije</v>
      </c>
      <c r="C91" s="634"/>
      <c r="D91" s="634"/>
      <c r="E91" s="634"/>
      <c r="F91" s="634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3" t="str">
        <f>+VLOOKUP(LEFT($A92,LEN(A92)-1)*1,Master!$D$30:$G$229,4,FALSE)</f>
        <v>Ostali državni porezi</v>
      </c>
      <c r="C92" s="634"/>
      <c r="D92" s="634"/>
      <c r="E92" s="634"/>
      <c r="F92" s="634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3" t="str">
        <f>+VLOOKUP(LEFT($A93,LEN(A93)-1)*1,Master!$D$30:$G$229,4,FALSE)</f>
        <v>Doprinosi</v>
      </c>
      <c r="C93" s="664"/>
      <c r="D93" s="664"/>
      <c r="E93" s="664"/>
      <c r="F93" s="664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3" t="str">
        <f>+VLOOKUP(LEFT($A94,LEN(A94)-1)*1,Master!$D$30:$G$229,4,FALSE)</f>
        <v>Doprinosi za penzijsko i invalidsko osiguranje</v>
      </c>
      <c r="C94" s="634"/>
      <c r="D94" s="634"/>
      <c r="E94" s="634"/>
      <c r="F94" s="634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3" t="str">
        <f>+VLOOKUP(LEFT($A95,LEN(A95)-1)*1,Master!$D$30:$G$229,4,FALSE)</f>
        <v>Doprinosi za zdravstveno osiguranje</v>
      </c>
      <c r="C95" s="634"/>
      <c r="D95" s="634"/>
      <c r="E95" s="634"/>
      <c r="F95" s="634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3" t="str">
        <f>+VLOOKUP(LEFT($A96,LEN(A96)-1)*1,Master!$D$30:$G$229,4,FALSE)</f>
        <v>Doprinosi za osiguranje od nezaposlenosti</v>
      </c>
      <c r="C96" s="634"/>
      <c r="D96" s="634"/>
      <c r="E96" s="634"/>
      <c r="F96" s="634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3" t="str">
        <f>+VLOOKUP(LEFT($A97,LEN(A97)-1)*1,Master!$D$30:$G$229,4,FALSE)</f>
        <v>Ostali doprinosi</v>
      </c>
      <c r="C97" s="634"/>
      <c r="D97" s="634"/>
      <c r="E97" s="634"/>
      <c r="F97" s="634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3" t="str">
        <f>+VLOOKUP(LEFT($A98,LEN(A98)-1)*1,Master!$D$30:$G$229,4,FALSE)</f>
        <v>Takse</v>
      </c>
      <c r="C98" s="644"/>
      <c r="D98" s="644"/>
      <c r="E98" s="644"/>
      <c r="F98" s="644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3" t="str">
        <f>+VLOOKUP(LEFT($A99,LEN(A99)-1)*1,Master!$D$30:$G$229,4,FALSE)</f>
        <v>Naknade</v>
      </c>
      <c r="C99" s="644"/>
      <c r="D99" s="644"/>
      <c r="E99" s="644"/>
      <c r="F99" s="644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3" t="str">
        <f>+VLOOKUP(LEFT($A100,LEN(A100)-1)*1,Master!$D$30:$G$229,4,FALSE)</f>
        <v>Ostali prihodi</v>
      </c>
      <c r="C100" s="644"/>
      <c r="D100" s="644"/>
      <c r="E100" s="644"/>
      <c r="F100" s="644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3" t="str">
        <f>+VLOOKUP(LEFT($A101,LEN(A101)-1)*1,Master!$D$30:$G$229,4,FALSE)</f>
        <v>Primici od otplate kredita i sredstva prenesena iz prethodne godine</v>
      </c>
      <c r="C101" s="644"/>
      <c r="D101" s="644"/>
      <c r="E101" s="644"/>
      <c r="F101" s="644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5" t="str">
        <f>+VLOOKUP(LEFT($A102,LEN(A102)-1)*1,Master!$D$30:$G$229,4,FALSE)</f>
        <v>Donacije i transferi</v>
      </c>
      <c r="C102" s="646"/>
      <c r="D102" s="646"/>
      <c r="E102" s="646"/>
      <c r="F102" s="646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9" t="str">
        <f>+VLOOKUP(LEFT($A103,LEN(A103)-1)*1,Master!$D$30:$G$229,4,FALSE)</f>
        <v>Izdaci budžeta</v>
      </c>
      <c r="C103" s="630"/>
      <c r="D103" s="630"/>
      <c r="E103" s="630"/>
      <c r="F103" s="630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7" t="str">
        <f>+VLOOKUP(LEFT($A104,LEN(A104)-1)*1,Master!$D$30:$G$229,4,FALSE)</f>
        <v>Tekući izdaci</v>
      </c>
      <c r="C104" s="648"/>
      <c r="D104" s="648"/>
      <c r="E104" s="648"/>
      <c r="F104" s="648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3" t="str">
        <f>+VLOOKUP(LEFT($A105,LEN(A105)-1)*1,Master!$D$30:$G$229,4,FALSE)</f>
        <v>Bruto zarade i doprinosi na teret poslodavca</v>
      </c>
      <c r="C105" s="634"/>
      <c r="D105" s="634"/>
      <c r="E105" s="634"/>
      <c r="F105" s="634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3" t="str">
        <f>+VLOOKUP(LEFT($A106,LEN(A106)-1)*1,Master!$D$30:$G$229,4,FALSE)</f>
        <v>Ostala lična primanja</v>
      </c>
      <c r="C106" s="634"/>
      <c r="D106" s="634"/>
      <c r="E106" s="634"/>
      <c r="F106" s="634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3" t="str">
        <f>+VLOOKUP(LEFT($A107,LEN(A107)-1)*1,Master!$D$30:$G$229,4,FALSE)</f>
        <v>Rashodi za materijal</v>
      </c>
      <c r="C107" s="634"/>
      <c r="D107" s="634"/>
      <c r="E107" s="634"/>
      <c r="F107" s="634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3" t="str">
        <f>+VLOOKUP(LEFT($A108,LEN(A108)-1)*1,Master!$D$30:$G$229,4,FALSE)</f>
        <v>Rashodi za usluge</v>
      </c>
      <c r="C108" s="634"/>
      <c r="D108" s="634"/>
      <c r="E108" s="634"/>
      <c r="F108" s="634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3" t="str">
        <f>+VLOOKUP(LEFT($A109,LEN(A109)-1)*1,Master!$D$30:$G$229,4,FALSE)</f>
        <v>Rashodi za tekuće održavanje</v>
      </c>
      <c r="C109" s="634"/>
      <c r="D109" s="634"/>
      <c r="E109" s="634"/>
      <c r="F109" s="634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3" t="str">
        <f>+VLOOKUP(LEFT($A110,LEN(A110)-1)*1,Master!$D$30:$G$229,4,FALSE)</f>
        <v>Kamate</v>
      </c>
      <c r="C110" s="634"/>
      <c r="D110" s="634"/>
      <c r="E110" s="634"/>
      <c r="F110" s="634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3" t="str">
        <f>+VLOOKUP(LEFT($A111,LEN(A111)-1)*1,Master!$D$30:$G$229,4,FALSE)</f>
        <v>Renta</v>
      </c>
      <c r="C111" s="634"/>
      <c r="D111" s="634"/>
      <c r="E111" s="634"/>
      <c r="F111" s="634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3" t="str">
        <f>+VLOOKUP(LEFT($A112,LEN(A112)-1)*1,Master!$D$30:$G$229,4,FALSE)</f>
        <v>Subvencije</v>
      </c>
      <c r="C112" s="634"/>
      <c r="D112" s="634"/>
      <c r="E112" s="634"/>
      <c r="F112" s="634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3" t="str">
        <f>+VLOOKUP(LEFT($A113,LEN(A113)-1)*1,Master!$D$30:$G$229,4,FALSE)</f>
        <v>Ostali izdaci</v>
      </c>
      <c r="C113" s="634"/>
      <c r="D113" s="634"/>
      <c r="E113" s="634"/>
      <c r="F113" s="634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3" t="str">
        <f>+VLOOKUP(LEFT($A114,LEN(A114)-1)*1,Master!$D$30:$G$229,4,FALSE)</f>
        <v>Transferi za socijalnu zaštitu</v>
      </c>
      <c r="C114" s="654"/>
      <c r="D114" s="654"/>
      <c r="E114" s="654"/>
      <c r="F114" s="654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3" t="str">
        <f>+VLOOKUP(LEFT($A115,LEN(A115)-1)*1,Master!$D$30:$G$229,4,FALSE)</f>
        <v>Prava iz oblasti socijalne zaštite</v>
      </c>
      <c r="C115" s="634"/>
      <c r="D115" s="634"/>
      <c r="E115" s="634"/>
      <c r="F115" s="634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3" t="str">
        <f>+VLOOKUP(LEFT($A116,LEN(A116)-1)*1,Master!$D$30:$G$229,4,FALSE)</f>
        <v>Sredstva za tehnološke viškove</v>
      </c>
      <c r="C116" s="634"/>
      <c r="D116" s="634"/>
      <c r="E116" s="634"/>
      <c r="F116" s="634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3" t="str">
        <f>+VLOOKUP(LEFT($A117,LEN(A117)-1)*1,Master!$D$30:$G$229,4,FALSE)</f>
        <v>Prava iz oblasti penzijskog i invalidskog osiguranja</v>
      </c>
      <c r="C117" s="634"/>
      <c r="D117" s="634"/>
      <c r="E117" s="634"/>
      <c r="F117" s="634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3" t="str">
        <f>+VLOOKUP(LEFT($A118,LEN(A118)-1)*1,Master!$D$30:$G$229,4,FALSE)</f>
        <v>Ostala prava iz oblasti zdravstvene zaštite</v>
      </c>
      <c r="C118" s="634"/>
      <c r="D118" s="634"/>
      <c r="E118" s="634"/>
      <c r="F118" s="634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3" t="str">
        <f>+VLOOKUP(LEFT($A119,LEN(A119)-1)*1,Master!$D$30:$G$229,4,FALSE)</f>
        <v>Ostala prava iz zdravstvenog osiguranja</v>
      </c>
      <c r="C119" s="634"/>
      <c r="D119" s="634"/>
      <c r="E119" s="634"/>
      <c r="F119" s="634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9" t="str">
        <f>+VLOOKUP(LEFT($A120,LEN(A120)-1)*1,Master!$D$30:$G$229,4,FALSE)</f>
        <v xml:space="preserve">Transferi institucijama, pojedincima, nevladinom i javnom sektoru </v>
      </c>
      <c r="C120" s="650"/>
      <c r="D120" s="650"/>
      <c r="E120" s="650"/>
      <c r="F120" s="650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9" t="str">
        <f>+VLOOKUP(LEFT($A121,LEN(A121)-1)*1,Master!$D$30:$G$229,4,FALSE)</f>
        <v>Kapitalni izdaci</v>
      </c>
      <c r="C121" s="650"/>
      <c r="D121" s="650"/>
      <c r="E121" s="650"/>
      <c r="F121" s="650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51" t="str">
        <f>+VLOOKUP(LEFT($A122,LEN(A122)-1)*1,Master!$D$30:$G$229,4,FALSE)</f>
        <v>Pozajmice i krediti</v>
      </c>
      <c r="C122" s="652"/>
      <c r="D122" s="652"/>
      <c r="E122" s="652"/>
      <c r="F122" s="652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51" t="str">
        <f>+VLOOKUP(LEFT($A123,LEN(A123)-1)*1,Master!$D$30:$G$229,4,FALSE)</f>
        <v>Rezerve</v>
      </c>
      <c r="C123" s="652"/>
      <c r="D123" s="652"/>
      <c r="E123" s="652"/>
      <c r="F123" s="652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51" t="str">
        <f>+VLOOKUP(LEFT($A124,LEN(A124)-1)*1,Master!$D$30:$G$229,4,FALSE)</f>
        <v>Otplata garancija</v>
      </c>
      <c r="C124" s="652"/>
      <c r="D124" s="652"/>
      <c r="E124" s="652"/>
      <c r="F124" s="652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51" t="str">
        <f>+VLOOKUP(LEFT($A125,LEN(A125)-1)*1,Master!$D$30:$G$229,4,FALSE)</f>
        <v>Otplata obaveza iz prethodnog perioda</v>
      </c>
      <c r="C125" s="652"/>
      <c r="D125" s="652"/>
      <c r="E125" s="652"/>
      <c r="F125" s="652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51" t="str">
        <f>+VLOOKUP(LEFT($A126,LEN(A126)-1)*1,Master!$D$30:$G$229,4,FALSE)</f>
        <v>Neto povećanje obaveza</v>
      </c>
      <c r="C126" s="652"/>
      <c r="D126" s="652"/>
      <c r="E126" s="652"/>
      <c r="F126" s="652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9" t="str">
        <f>+VLOOKUP(LEFT($A127,LEN(A127)-1)*1,Master!$D$30:$G$226,4,FALSE)</f>
        <v>Suficit / deficit</v>
      </c>
      <c r="C127" s="660"/>
      <c r="D127" s="660"/>
      <c r="E127" s="660"/>
      <c r="F127" s="660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61" t="str">
        <f>+VLOOKUP(LEFT($A128,LEN(A128)-1)*1,Master!$D$30:$G$226,4,FALSE)</f>
        <v>Primarni suficit/deficit</v>
      </c>
      <c r="C128" s="662"/>
      <c r="D128" s="662"/>
      <c r="E128" s="662"/>
      <c r="F128" s="662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3" t="str">
        <f>+VLOOKUP(LEFT($A129,LEN(A129)-1)*1,Master!$D$30:$G$226,4,FALSE)</f>
        <v>Otplata dugova</v>
      </c>
      <c r="C129" s="654"/>
      <c r="D129" s="654"/>
      <c r="E129" s="654"/>
      <c r="F129" s="654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7" t="str">
        <f>+VLOOKUP(LEFT($A130,LEN(A130)-1)*1,Master!$D$30:$G$226,4,FALSE)</f>
        <v>Otplata hartija od vrijednosti i kredita rezidentima</v>
      </c>
      <c r="C130" s="658"/>
      <c r="D130" s="658"/>
      <c r="E130" s="658"/>
      <c r="F130" s="658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51" t="str">
        <f>+VLOOKUP(LEFT($A131,LEN(A131)-1)*1,Master!$D$30:$G$226,4,FALSE)</f>
        <v>Otplata hartija od vrijednosti i kredita nerezidentima</v>
      </c>
      <c r="C131" s="652"/>
      <c r="D131" s="652"/>
      <c r="E131" s="652"/>
      <c r="F131" s="652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9" t="str">
        <f>+VLOOKUP(LEFT($A132,LEN(A132)-1)*1,Master!$D$30:$G$226,4,FALSE)</f>
        <v>Izdaci za kupovinu hartija od vrijednosti</v>
      </c>
      <c r="C132" s="630"/>
      <c r="D132" s="630"/>
      <c r="E132" s="630"/>
      <c r="F132" s="630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5" t="str">
        <f>+VLOOKUP(LEFT($A133,LEN(A133)-1)*1,Master!$D$30:$G$226,4,FALSE)</f>
        <v>Nedostajuća sredstva</v>
      </c>
      <c r="C133" s="656"/>
      <c r="D133" s="656"/>
      <c r="E133" s="656"/>
      <c r="F133" s="656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9" t="str">
        <f>+VLOOKUP(LEFT($A134,LEN(A134)-1)*1,Master!$D$30:$G$226,4,FALSE)</f>
        <v>Finansiranje</v>
      </c>
      <c r="C134" s="630"/>
      <c r="D134" s="630"/>
      <c r="E134" s="630"/>
      <c r="F134" s="630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7" t="str">
        <f>+VLOOKUP(LEFT($A135,LEN(A135)-1)*1,Master!$D$30:$G$226,4,FALSE)</f>
        <v>Pozajmice i krediti od domaćih izvora</v>
      </c>
      <c r="C135" s="658"/>
      <c r="D135" s="658"/>
      <c r="E135" s="658"/>
      <c r="F135" s="658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51" t="str">
        <f>+VLOOKUP(LEFT($A136,LEN(A136)-1)*1,Master!$D$30:$G$226,4,FALSE)</f>
        <v>Pozajmice i krediti od inostranih izvora</v>
      </c>
      <c r="C136" s="652"/>
      <c r="D136" s="652"/>
      <c r="E136" s="652"/>
      <c r="F136" s="652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51" t="str">
        <f>+VLOOKUP(LEFT($A137,LEN(A137)-1)*1,Master!$D$30:$G$226,4,FALSE)</f>
        <v>Primici od prodaje imovine</v>
      </c>
      <c r="C137" s="652"/>
      <c r="D137" s="652"/>
      <c r="E137" s="652"/>
      <c r="F137" s="652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6" t="str">
        <f>+Master!G252</f>
        <v>Ostvarenje budžeta</v>
      </c>
      <c r="C7" s="567"/>
      <c r="D7" s="567"/>
      <c r="E7" s="567"/>
      <c r="F7" s="567"/>
      <c r="G7" s="575">
        <v>2020</v>
      </c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9"/>
      <c r="S7" s="220" t="str">
        <f>+Master!G249</f>
        <v>BDP</v>
      </c>
      <c r="T7" s="221">
        <v>4185600000</v>
      </c>
    </row>
    <row r="8" spans="1:20" ht="16.5" customHeight="1">
      <c r="A8" s="129"/>
      <c r="B8" s="568"/>
      <c r="C8" s="569"/>
      <c r="D8" s="569"/>
      <c r="E8" s="569"/>
      <c r="F8" s="57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5" t="str">
        <f>+Master!G247</f>
        <v>Jan - Dec</v>
      </c>
      <c r="T8" s="579"/>
    </row>
    <row r="9" spans="1:20" ht="13.5" thickBot="1">
      <c r="A9" s="129"/>
      <c r="B9" s="571"/>
      <c r="C9" s="572"/>
      <c r="D9" s="572"/>
      <c r="E9" s="572"/>
      <c r="F9" s="57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8" t="str">
        <f>+VLOOKUP($A10,Master!$D$30:$G$226,4,FALSE)</f>
        <v>Prihodi budžeta</v>
      </c>
      <c r="C10" s="609"/>
      <c r="D10" s="609"/>
      <c r="E10" s="609"/>
      <c r="F10" s="609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10" t="str">
        <f>+VLOOKUP($A11,Master!$D$30:$G$226,4,FALSE)</f>
        <v>Porezi</v>
      </c>
      <c r="C11" s="611"/>
      <c r="D11" s="611"/>
      <c r="E11" s="611"/>
      <c r="F11" s="611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6" t="str">
        <f>+VLOOKUP($A12,Master!$D$30:$G$226,4,FALSE)</f>
        <v>Porez na dohodak fizičkih lica</v>
      </c>
      <c r="C12" s="597"/>
      <c r="D12" s="597"/>
      <c r="E12" s="597"/>
      <c r="F12" s="597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6" t="str">
        <f>+VLOOKUP($A13,Master!$D$30:$G$226,4,FALSE)</f>
        <v>Porez na dobit pravnih lica</v>
      </c>
      <c r="C13" s="597"/>
      <c r="D13" s="597"/>
      <c r="E13" s="597"/>
      <c r="F13" s="597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6" t="str">
        <f>+VLOOKUP($A14,Master!$D$30:$G$226,4,FALSE)</f>
        <v>Porez na promet nepokretnosti</v>
      </c>
      <c r="C14" s="597"/>
      <c r="D14" s="597"/>
      <c r="E14" s="597"/>
      <c r="F14" s="597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6" t="str">
        <f>+VLOOKUP($A15,Master!$D$30:$G$226,4,FALSE)</f>
        <v>Porez na dodatu vrijednost</v>
      </c>
      <c r="C15" s="597"/>
      <c r="D15" s="597"/>
      <c r="E15" s="597"/>
      <c r="F15" s="597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6" t="str">
        <f>+VLOOKUP($A16,Master!$D$30:$G$226,4,FALSE)</f>
        <v>Akcize</v>
      </c>
      <c r="C16" s="597"/>
      <c r="D16" s="597"/>
      <c r="E16" s="597"/>
      <c r="F16" s="597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6" t="str">
        <f>+VLOOKUP($A17,Master!$D$30:$G$226,4,FALSE)</f>
        <v>Porez na međunarodnu trgovinu i transakcije</v>
      </c>
      <c r="C17" s="597"/>
      <c r="D17" s="597"/>
      <c r="E17" s="597"/>
      <c r="F17" s="597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6" t="str">
        <f>+VLOOKUP($A18,Master!$D$30:$G$226,4,FALSE)</f>
        <v>Ostali državni porezi</v>
      </c>
      <c r="C18" s="597"/>
      <c r="D18" s="597"/>
      <c r="E18" s="597"/>
      <c r="F18" s="597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6" t="str">
        <f>+VLOOKUP($A19,Master!$D$30:$G$226,4,FALSE)</f>
        <v>Doprinosi</v>
      </c>
      <c r="C19" s="607"/>
      <c r="D19" s="607"/>
      <c r="E19" s="607"/>
      <c r="F19" s="607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6" t="str">
        <f>+VLOOKUP($A20,Master!$D$30:$G$226,4,FALSE)</f>
        <v>Doprinosi za penzijsko i invalidsko osiguranje</v>
      </c>
      <c r="C20" s="597"/>
      <c r="D20" s="597"/>
      <c r="E20" s="597"/>
      <c r="F20" s="597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6" t="str">
        <f>+VLOOKUP($A21,Master!$D$30:$G$226,4,FALSE)</f>
        <v>Doprinosi za zdravstveno osiguranje</v>
      </c>
      <c r="C21" s="597"/>
      <c r="D21" s="597"/>
      <c r="E21" s="597"/>
      <c r="F21" s="597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6" t="str">
        <f>+VLOOKUP($A22,Master!$D$30:$G$226,4,FALSE)</f>
        <v>Doprinosi za osiguranje od nezaposlenosti</v>
      </c>
      <c r="C22" s="597"/>
      <c r="D22" s="597"/>
      <c r="E22" s="597"/>
      <c r="F22" s="597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6" t="str">
        <f>+VLOOKUP($A23,Master!$D$30:$G$226,4,FALSE)</f>
        <v>Ostali doprinosi</v>
      </c>
      <c r="C23" s="597"/>
      <c r="D23" s="597"/>
      <c r="E23" s="597"/>
      <c r="F23" s="597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8" t="str">
        <f>+VLOOKUP($A24,Master!$D$30:$G$226,4,FALSE)</f>
        <v>Takse</v>
      </c>
      <c r="C24" s="599"/>
      <c r="D24" s="599"/>
      <c r="E24" s="599"/>
      <c r="F24" s="599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8" t="str">
        <f>+VLOOKUP($A25,Master!$D$30:$G$226,4,FALSE)</f>
        <v>Naknade</v>
      </c>
      <c r="C25" s="599"/>
      <c r="D25" s="599"/>
      <c r="E25" s="599"/>
      <c r="F25" s="599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8" t="str">
        <f>+VLOOKUP($A26,Master!$D$30:$G$226,4,FALSE)</f>
        <v>Ostali prihodi</v>
      </c>
      <c r="C26" s="599"/>
      <c r="D26" s="599"/>
      <c r="E26" s="599"/>
      <c r="F26" s="599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8" t="str">
        <f>+VLOOKUP($A27,Master!$D$30:$G$226,4,FALSE)</f>
        <v>Primici od otplate kredita i sredstva prenesena iz prethodne godine</v>
      </c>
      <c r="C27" s="599"/>
      <c r="D27" s="599"/>
      <c r="E27" s="599"/>
      <c r="F27" s="599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600" t="str">
        <f>+VLOOKUP($A28,Master!$D$30:$G$226,4,FALSE)</f>
        <v>Donacije i transferi</v>
      </c>
      <c r="C28" s="601"/>
      <c r="D28" s="601"/>
      <c r="E28" s="601"/>
      <c r="F28" s="601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6" t="str">
        <f>+VLOOKUP($A29,Master!$D$30:$G$226,4,FALSE)</f>
        <v>Izdaci budžeta</v>
      </c>
      <c r="C29" s="587"/>
      <c r="D29" s="587"/>
      <c r="E29" s="587"/>
      <c r="F29" s="587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4" t="str">
        <f>+VLOOKUP($A30,Master!$D$30:$G$226,4,FALSE)</f>
        <v>Tekući izdaci</v>
      </c>
      <c r="C30" s="605"/>
      <c r="D30" s="605"/>
      <c r="E30" s="605"/>
      <c r="F30" s="605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6" t="str">
        <f>+VLOOKUP($A31,Master!$D$30:$G$226,4,FALSE)</f>
        <v>Bruto zarade i doprinosi na teret poslodavca</v>
      </c>
      <c r="C31" s="597"/>
      <c r="D31" s="597"/>
      <c r="E31" s="597"/>
      <c r="F31" s="597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6" t="str">
        <f>+VLOOKUP($A32,Master!$D$30:$G$226,4,FALSE)</f>
        <v>Ostala lična primanja</v>
      </c>
      <c r="C32" s="597"/>
      <c r="D32" s="597"/>
      <c r="E32" s="597"/>
      <c r="F32" s="597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6" t="str">
        <f>+VLOOKUP($A33,Master!$D$30:$G$226,4,FALSE)</f>
        <v>Rashodi za materijal</v>
      </c>
      <c r="C33" s="597"/>
      <c r="D33" s="597"/>
      <c r="E33" s="597"/>
      <c r="F33" s="597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4" t="str">
        <f>+VLOOKUP($A34,Master!$D$30:$G$226,4,FALSE)</f>
        <v>Rashodi za usluge</v>
      </c>
      <c r="C34" s="615"/>
      <c r="D34" s="615"/>
      <c r="E34" s="615"/>
      <c r="F34" s="615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6" t="str">
        <f>+VLOOKUP($A35,Master!$D$30:$G$226,4,FALSE)</f>
        <v>Rashodi za tekuće održavanje</v>
      </c>
      <c r="C35" s="597"/>
      <c r="D35" s="597"/>
      <c r="E35" s="597"/>
      <c r="F35" s="597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6" t="str">
        <f>+VLOOKUP($A36,Master!$D$30:$G$226,4,FALSE)</f>
        <v>Kamate</v>
      </c>
      <c r="C36" s="597"/>
      <c r="D36" s="597"/>
      <c r="E36" s="597"/>
      <c r="F36" s="597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6" t="str">
        <f>+VLOOKUP($A37,Master!$D$30:$G$226,4,FALSE)</f>
        <v>Renta</v>
      </c>
      <c r="C37" s="597"/>
      <c r="D37" s="597"/>
      <c r="E37" s="597"/>
      <c r="F37" s="597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6" t="str">
        <f>+VLOOKUP($A38,Master!$D$30:$G$226,4,FALSE)</f>
        <v>Subvencije</v>
      </c>
      <c r="C38" s="597"/>
      <c r="D38" s="597"/>
      <c r="E38" s="597"/>
      <c r="F38" s="597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4" t="str">
        <f>+VLOOKUP($A39,Master!$D$30:$G$226,4,FALSE)</f>
        <v>Ostali izdaci</v>
      </c>
      <c r="C39" s="615"/>
      <c r="D39" s="615"/>
      <c r="E39" s="615"/>
      <c r="F39" s="615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2" t="str">
        <f>+VLOOKUP($A40,Master!$D$30:$G$226,4,FALSE)</f>
        <v>Transferi za socijalnu zaštitu</v>
      </c>
      <c r="C40" s="593"/>
      <c r="D40" s="593"/>
      <c r="E40" s="593"/>
      <c r="F40" s="593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6" t="str">
        <f>+VLOOKUP($A41,Master!$D$30:$G$226,4,FALSE)</f>
        <v>Prava iz oblasti socijalne zaštite</v>
      </c>
      <c r="C41" s="597"/>
      <c r="D41" s="597"/>
      <c r="E41" s="597"/>
      <c r="F41" s="597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6" t="str">
        <f>+VLOOKUP($A42,Master!$D$30:$G$226,4,FALSE)</f>
        <v>Sredstva za tehnološke viškove</v>
      </c>
      <c r="C42" s="597"/>
      <c r="D42" s="597"/>
      <c r="E42" s="597"/>
      <c r="F42" s="597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6" t="str">
        <f>+VLOOKUP($A43,Master!$D$30:$G$226,4,FALSE)</f>
        <v>Prava iz oblasti penzijskog i invalidskog osiguranja</v>
      </c>
      <c r="C43" s="597"/>
      <c r="D43" s="597"/>
      <c r="E43" s="597"/>
      <c r="F43" s="597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6" t="str">
        <f>+VLOOKUP($A44,Master!$D$30:$G$226,4,FALSE)</f>
        <v>Ostala prava iz oblasti zdravstvene zaštite</v>
      </c>
      <c r="C44" s="597"/>
      <c r="D44" s="597"/>
      <c r="E44" s="597"/>
      <c r="F44" s="597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6" t="str">
        <f>+VLOOKUP($A45,Master!$D$30:$G$226,4,FALSE)</f>
        <v>Ostala prava iz zdravstvenog osiguranja</v>
      </c>
      <c r="C45" s="617"/>
      <c r="D45" s="617"/>
      <c r="E45" s="617"/>
      <c r="F45" s="617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4" t="str">
        <f>+VLOOKUP($A46,Master!$D$30:$G$226,4,FALSE)</f>
        <v xml:space="preserve">Transferi institucijama, pojedincima, nevladinom i javnom sektoru </v>
      </c>
      <c r="C46" s="595"/>
      <c r="D46" s="595"/>
      <c r="E46" s="595"/>
      <c r="F46" s="595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4" t="str">
        <f>+VLOOKUP($A47,Master!$D$30:$G$226,4,FALSE)</f>
        <v>Kapitalni izdaci</v>
      </c>
      <c r="C47" s="595"/>
      <c r="D47" s="595"/>
      <c r="E47" s="595"/>
      <c r="F47" s="595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8" t="str">
        <f>+VLOOKUP($A48,Master!$D$30:$G$226,4,FALSE)</f>
        <v>Pozajmice i krediti</v>
      </c>
      <c r="C48" s="619"/>
      <c r="D48" s="619"/>
      <c r="E48" s="619"/>
      <c r="F48" s="619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3" t="str">
        <f>+VLOOKUP($A49,Master!$D$30:$G$226,4,FALSE)</f>
        <v>Rezerve</v>
      </c>
      <c r="C49" s="624"/>
      <c r="D49" s="624"/>
      <c r="E49" s="624"/>
      <c r="F49" s="624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2" t="str">
        <f>+VLOOKUP($A50,Master!$D$30:$G$226,4,FALSE)</f>
        <v>Otplata garancija</v>
      </c>
      <c r="C50" s="583"/>
      <c r="D50" s="583"/>
      <c r="E50" s="583"/>
      <c r="F50" s="583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5" t="str">
        <f>+VLOOKUP($A51,Master!$D$30:$G$226,4,TRUE)</f>
        <v>Otplata obaveza iz prethodnog perioda</v>
      </c>
      <c r="C51" s="626"/>
      <c r="D51" s="626"/>
      <c r="E51" s="626"/>
      <c r="F51" s="626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7" t="str">
        <f>+VLOOKUP($A52,Master!$D$30:$G$228,4,FALSE)</f>
        <v>Neto povećanje obaveza</v>
      </c>
      <c r="C52" s="628"/>
      <c r="D52" s="628"/>
      <c r="E52" s="628"/>
      <c r="F52" s="628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8" t="str">
        <f>+VLOOKUP($A53,Master!$D$30:$G$226,4,FALSE)</f>
        <v>Suficit / deficit</v>
      </c>
      <c r="C53" s="589"/>
      <c r="D53" s="589"/>
      <c r="E53" s="589"/>
      <c r="F53" s="589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90" t="str">
        <f>+VLOOKUP($A54,Master!$D$30:$G$226,4,FALSE)</f>
        <v>Primarni suficit/deficit</v>
      </c>
      <c r="C54" s="591"/>
      <c r="D54" s="591"/>
      <c r="E54" s="591"/>
      <c r="F54" s="591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2" t="str">
        <f>+VLOOKUP($A55,Master!$D$30:$G$226,4,FALSE)</f>
        <v>Otplata dugova</v>
      </c>
      <c r="C55" s="613"/>
      <c r="D55" s="613"/>
      <c r="E55" s="613"/>
      <c r="F55" s="613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80" t="str">
        <f>+VLOOKUP($A56,Master!$D$30:$G$226,4,FALSE)</f>
        <v>Otplata hartija od vrijednosti i kredita rezidentima</v>
      </c>
      <c r="C56" s="581"/>
      <c r="D56" s="581"/>
      <c r="E56" s="581"/>
      <c r="F56" s="581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4" t="str">
        <f>+VLOOKUP($A57,Master!$D$30:$G$226,4,FALSE)</f>
        <v>Otplata hartija od vrijednosti i kredita nerezidentima</v>
      </c>
      <c r="C57" s="565"/>
      <c r="D57" s="565"/>
      <c r="E57" s="565"/>
      <c r="F57" s="565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2" t="str">
        <f>+VLOOKUP($A58,Master!$D$30:$G$226,4,FALSE)</f>
        <v>Izdaci za kupovinu hartija od vrijednosti</v>
      </c>
      <c r="C58" s="603"/>
      <c r="D58" s="603"/>
      <c r="E58" s="603"/>
      <c r="F58" s="603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4" t="str">
        <f>+VLOOKUP($A59,Master!$D$30:$G$226,4,FALSE)</f>
        <v>Nedostajuća sredstva</v>
      </c>
      <c r="C59" s="585"/>
      <c r="D59" s="585"/>
      <c r="E59" s="585"/>
      <c r="F59" s="585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6" t="str">
        <f>+VLOOKUP($A60,Master!$D$30:$G$226,4,FALSE)</f>
        <v>Finansiranje</v>
      </c>
      <c r="C60" s="587"/>
      <c r="D60" s="587"/>
      <c r="E60" s="587"/>
      <c r="F60" s="587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80" t="str">
        <f>+VLOOKUP($A61,Master!$D$30:$G$226,4,FALSE)</f>
        <v>Pozajmice i krediti od domaćih izvora</v>
      </c>
      <c r="C61" s="581"/>
      <c r="D61" s="581"/>
      <c r="E61" s="581"/>
      <c r="F61" s="581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4" t="str">
        <f>+VLOOKUP($A62,Master!$D$30:$G$226,4,FALSE)</f>
        <v>Pozajmice i krediti od inostranih izvora</v>
      </c>
      <c r="C62" s="565"/>
      <c r="D62" s="565"/>
      <c r="E62" s="565"/>
      <c r="F62" s="565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4" t="str">
        <f>+VLOOKUP($A63,Master!$D$30:$G$226,4,FALSE)</f>
        <v>Primici od prodaje imovine</v>
      </c>
      <c r="C63" s="565"/>
      <c r="D63" s="565"/>
      <c r="E63" s="565"/>
      <c r="F63" s="565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5" t="str">
        <f>+Master!G253</f>
        <v>Plan ostvarenja budžeta</v>
      </c>
      <c r="C100" s="636"/>
      <c r="D100" s="636"/>
      <c r="E100" s="636"/>
      <c r="F100" s="636"/>
      <c r="G100" s="620">
        <v>2020</v>
      </c>
      <c r="H100" s="621"/>
      <c r="I100" s="621"/>
      <c r="J100" s="621"/>
      <c r="K100" s="621"/>
      <c r="L100" s="621"/>
      <c r="M100" s="621"/>
      <c r="N100" s="621"/>
      <c r="O100" s="621"/>
      <c r="P100" s="621"/>
      <c r="Q100" s="621"/>
      <c r="R100" s="622"/>
      <c r="S100" s="96" t="str">
        <f>+S7</f>
        <v>BDP</v>
      </c>
      <c r="T100" s="97">
        <v>4607300000</v>
      </c>
    </row>
    <row r="101" spans="1:21" ht="15.75" customHeight="1">
      <c r="B101" s="637"/>
      <c r="C101" s="638"/>
      <c r="D101" s="638"/>
      <c r="E101" s="638"/>
      <c r="F101" s="639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20" t="str">
        <f>+Master!G247</f>
        <v>Jan - Dec</v>
      </c>
      <c r="T101" s="622">
        <f>+T8</f>
        <v>0</v>
      </c>
    </row>
    <row r="102" spans="1:21" ht="13.5" thickBot="1">
      <c r="B102" s="640"/>
      <c r="C102" s="641"/>
      <c r="D102" s="641"/>
      <c r="E102" s="641"/>
      <c r="F102" s="642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5" t="str">
        <f>+VLOOKUP(LEFT($A103,LEN(A103)-1)*1,Master!$D$30:$G$226,4,FALSE)</f>
        <v>Prihodi budžeta</v>
      </c>
      <c r="C103" s="666"/>
      <c r="D103" s="666"/>
      <c r="E103" s="666"/>
      <c r="F103" s="666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1" t="str">
        <f>+VLOOKUP(LEFT($A104,LEN(A104)-1)*1,Master!$D$30:$G$226,4,FALSE)</f>
        <v>Porezi</v>
      </c>
      <c r="C104" s="632"/>
      <c r="D104" s="632"/>
      <c r="E104" s="632"/>
      <c r="F104" s="632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3" t="str">
        <f>+VLOOKUP(LEFT($A105,LEN(A105)-1)*1,Master!$D$30:$G$229,4,FALSE)</f>
        <v>Porez na dohodak fizičkih lica</v>
      </c>
      <c r="C105" s="634"/>
      <c r="D105" s="634"/>
      <c r="E105" s="634"/>
      <c r="F105" s="634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3" t="str">
        <f>+VLOOKUP(LEFT($A106,LEN(A106)-1)*1,Master!$D$30:$G$229,4,FALSE)</f>
        <v>Porez na dobit pravnih lica</v>
      </c>
      <c r="C106" s="634"/>
      <c r="D106" s="634"/>
      <c r="E106" s="634"/>
      <c r="F106" s="634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3" t="str">
        <f>+VLOOKUP(LEFT($A107,LEN(A107)-1)*1,Master!$D$30:$G$229,4,FALSE)</f>
        <v>Porez na promet nepokretnosti</v>
      </c>
      <c r="C107" s="634"/>
      <c r="D107" s="634"/>
      <c r="E107" s="634"/>
      <c r="F107" s="634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3" t="str">
        <f>+VLOOKUP(LEFT($A108,LEN(A108)-1)*1,Master!$D$30:$G$229,4,FALSE)</f>
        <v>Porez na dodatu vrijednost</v>
      </c>
      <c r="C108" s="634"/>
      <c r="D108" s="634"/>
      <c r="E108" s="634"/>
      <c r="F108" s="634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3" t="str">
        <f>+VLOOKUP(LEFT($A109,LEN(A109)-1)*1,Master!$D$30:$G$229,4,FALSE)</f>
        <v>Akcize</v>
      </c>
      <c r="C109" s="634"/>
      <c r="D109" s="634"/>
      <c r="E109" s="634"/>
      <c r="F109" s="634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3" t="str">
        <f>+VLOOKUP(LEFT($A110,LEN(A110)-1)*1,Master!$D$30:$G$229,4,FALSE)</f>
        <v>Porez na međunarodnu trgovinu i transakcije</v>
      </c>
      <c r="C110" s="634"/>
      <c r="D110" s="634"/>
      <c r="E110" s="634"/>
      <c r="F110" s="634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3" t="str">
        <f>+VLOOKUP(LEFT($A111,LEN(A111)-1)*1,Master!$D$30:$G$229,4,FALSE)</f>
        <v>Ostali državni porezi</v>
      </c>
      <c r="C111" s="634"/>
      <c r="D111" s="634"/>
      <c r="E111" s="634"/>
      <c r="F111" s="634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3" t="str">
        <f>+VLOOKUP(LEFT($A112,LEN(A112)-1)*1,Master!$D$30:$G$229,4,FALSE)</f>
        <v>Doprinosi</v>
      </c>
      <c r="C112" s="664"/>
      <c r="D112" s="664"/>
      <c r="E112" s="664"/>
      <c r="F112" s="664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3" t="str">
        <f>+VLOOKUP(LEFT($A113,LEN(A113)-1)*1,Master!$D$30:$G$229,4,FALSE)</f>
        <v>Doprinosi za penzijsko i invalidsko osiguranje</v>
      </c>
      <c r="C113" s="634"/>
      <c r="D113" s="634"/>
      <c r="E113" s="634"/>
      <c r="F113" s="634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3" t="str">
        <f>+VLOOKUP(LEFT($A114,LEN(A114)-1)*1,Master!$D$30:$G$229,4,FALSE)</f>
        <v>Doprinosi za zdravstveno osiguranje</v>
      </c>
      <c r="C114" s="634"/>
      <c r="D114" s="634"/>
      <c r="E114" s="634"/>
      <c r="F114" s="634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3" t="str">
        <f>+VLOOKUP(LEFT($A115,LEN(A115)-1)*1,Master!$D$30:$G$229,4,FALSE)</f>
        <v>Doprinosi za osiguranje od nezaposlenosti</v>
      </c>
      <c r="C115" s="634"/>
      <c r="D115" s="634"/>
      <c r="E115" s="634"/>
      <c r="F115" s="634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3" t="str">
        <f>+VLOOKUP(LEFT($A116,LEN(A116)-1)*1,Master!$D$30:$G$229,4,FALSE)</f>
        <v>Ostali doprinosi</v>
      </c>
      <c r="C116" s="634"/>
      <c r="D116" s="634"/>
      <c r="E116" s="634"/>
      <c r="F116" s="634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3" t="str">
        <f>+VLOOKUP(LEFT($A117,LEN(A117)-1)*1,Master!$D$30:$G$229,4,FALSE)</f>
        <v>Takse</v>
      </c>
      <c r="C117" s="644"/>
      <c r="D117" s="644"/>
      <c r="E117" s="644"/>
      <c r="F117" s="644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3" t="str">
        <f>+VLOOKUP(LEFT($A118,LEN(A118)-1)*1,Master!$D$30:$G$229,4,FALSE)</f>
        <v>Naknade</v>
      </c>
      <c r="C118" s="644"/>
      <c r="D118" s="644"/>
      <c r="E118" s="644"/>
      <c r="F118" s="644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3" t="str">
        <f>+VLOOKUP(LEFT($A119,LEN(A119)-1)*1,Master!$D$30:$G$229,4,FALSE)</f>
        <v>Ostali prihodi</v>
      </c>
      <c r="C119" s="644"/>
      <c r="D119" s="644"/>
      <c r="E119" s="644"/>
      <c r="F119" s="644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3" t="str">
        <f>+VLOOKUP(LEFT($A120,LEN(A120)-1)*1,Master!$D$30:$G$229,4,FALSE)</f>
        <v>Primici od otplate kredita i sredstva prenesena iz prethodne godine</v>
      </c>
      <c r="C120" s="644"/>
      <c r="D120" s="644"/>
      <c r="E120" s="644"/>
      <c r="F120" s="644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5" t="str">
        <f>+VLOOKUP(LEFT($A121,LEN(A121)-1)*1,Master!$D$30:$G$229,4,FALSE)</f>
        <v>Donacije i transferi</v>
      </c>
      <c r="C121" s="646"/>
      <c r="D121" s="646"/>
      <c r="E121" s="646"/>
      <c r="F121" s="646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9" t="str">
        <f>+VLOOKUP(LEFT($A122,LEN(A122)-1)*1,Master!$D$30:$G$229,4,FALSE)</f>
        <v>Izdaci budžeta</v>
      </c>
      <c r="C122" s="630"/>
      <c r="D122" s="630"/>
      <c r="E122" s="630"/>
      <c r="F122" s="630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7" t="str">
        <f>+VLOOKUP(LEFT($A123,LEN(A123)-1)*1,Master!$D$30:$G$229,4,FALSE)</f>
        <v>Tekući izdaci</v>
      </c>
      <c r="C123" s="648"/>
      <c r="D123" s="648"/>
      <c r="E123" s="648"/>
      <c r="F123" s="648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3" t="str">
        <f>+VLOOKUP(LEFT($A124,LEN(A124)-1)*1,Master!$D$30:$G$229,4,FALSE)</f>
        <v>Bruto zarade i doprinosi na teret poslodavca</v>
      </c>
      <c r="C124" s="634"/>
      <c r="D124" s="634"/>
      <c r="E124" s="634"/>
      <c r="F124" s="634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3" t="str">
        <f>+VLOOKUP(LEFT($A125,LEN(A125)-1)*1,Master!$D$30:$G$229,4,FALSE)</f>
        <v>Ostala lična primanja</v>
      </c>
      <c r="C125" s="634"/>
      <c r="D125" s="634"/>
      <c r="E125" s="634"/>
      <c r="F125" s="634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3" t="str">
        <f>+VLOOKUP(LEFT($A126,LEN(A126)-1)*1,Master!$D$30:$G$229,4,FALSE)</f>
        <v>Rashodi za materijal</v>
      </c>
      <c r="C126" s="634"/>
      <c r="D126" s="634"/>
      <c r="E126" s="634"/>
      <c r="F126" s="634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3" t="str">
        <f>+VLOOKUP(LEFT($A127,LEN(A127)-1)*1,Master!$D$30:$G$229,4,FALSE)</f>
        <v>Rashodi za usluge</v>
      </c>
      <c r="C127" s="634"/>
      <c r="D127" s="634"/>
      <c r="E127" s="634"/>
      <c r="F127" s="634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3" t="str">
        <f>+VLOOKUP(LEFT($A128,LEN(A128)-1)*1,Master!$D$30:$G$229,4,FALSE)</f>
        <v>Rashodi za tekuće održavanje</v>
      </c>
      <c r="C128" s="634"/>
      <c r="D128" s="634"/>
      <c r="E128" s="634"/>
      <c r="F128" s="634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3" t="str">
        <f>+VLOOKUP(LEFT($A129,LEN(A129)-1)*1,Master!$D$30:$G$229,4,FALSE)</f>
        <v>Kamate</v>
      </c>
      <c r="C129" s="634"/>
      <c r="D129" s="634"/>
      <c r="E129" s="634"/>
      <c r="F129" s="634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3" t="str">
        <f>+VLOOKUP(LEFT($A130,LEN(A130)-1)*1,Master!$D$30:$G$229,4,FALSE)</f>
        <v>Renta</v>
      </c>
      <c r="C130" s="634"/>
      <c r="D130" s="634"/>
      <c r="E130" s="634"/>
      <c r="F130" s="634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3" t="str">
        <f>+VLOOKUP(LEFT($A131,LEN(A131)-1)*1,Master!$D$30:$G$229,4,FALSE)</f>
        <v>Subvencije</v>
      </c>
      <c r="C131" s="634"/>
      <c r="D131" s="634"/>
      <c r="E131" s="634"/>
      <c r="F131" s="634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3" t="str">
        <f>+VLOOKUP(LEFT($A132,LEN(A132)-1)*1,Master!$D$30:$G$229,4,FALSE)</f>
        <v>Ostali izdaci</v>
      </c>
      <c r="C132" s="634"/>
      <c r="D132" s="634"/>
      <c r="E132" s="634"/>
      <c r="F132" s="634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3" t="str">
        <f>+VLOOKUP(LEFT($A133,LEN(A133)-1)*1,Master!$D$30:$G$229,4,FALSE)</f>
        <v>Transferi za socijalnu zaštitu</v>
      </c>
      <c r="C133" s="654"/>
      <c r="D133" s="654"/>
      <c r="E133" s="654"/>
      <c r="F133" s="654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3" t="str">
        <f>+VLOOKUP(LEFT($A134,LEN(A134)-1)*1,Master!$D$30:$G$229,4,FALSE)</f>
        <v>Prava iz oblasti socijalne zaštite</v>
      </c>
      <c r="C134" s="634"/>
      <c r="D134" s="634"/>
      <c r="E134" s="634"/>
      <c r="F134" s="634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3" t="str">
        <f>+VLOOKUP(LEFT($A135,LEN(A135)-1)*1,Master!$D$30:$G$229,4,FALSE)</f>
        <v>Sredstva za tehnološke viškove</v>
      </c>
      <c r="C135" s="634"/>
      <c r="D135" s="634"/>
      <c r="E135" s="634"/>
      <c r="F135" s="634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3" t="str">
        <f>+VLOOKUP(LEFT($A136,LEN(A136)-1)*1,Master!$D$30:$G$229,4,FALSE)</f>
        <v>Prava iz oblasti penzijskog i invalidskog osiguranja</v>
      </c>
      <c r="C136" s="634"/>
      <c r="D136" s="634"/>
      <c r="E136" s="634"/>
      <c r="F136" s="634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3" t="str">
        <f>+VLOOKUP(LEFT($A137,LEN(A137)-1)*1,Master!$D$30:$G$229,4,FALSE)</f>
        <v>Ostala prava iz oblasti zdravstvene zaštite</v>
      </c>
      <c r="C137" s="634"/>
      <c r="D137" s="634"/>
      <c r="E137" s="634"/>
      <c r="F137" s="634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3" t="str">
        <f>+VLOOKUP(LEFT($A138,LEN(A138)-1)*1,Master!$D$30:$G$229,4,FALSE)</f>
        <v>Ostala prava iz zdravstvenog osiguranja</v>
      </c>
      <c r="C138" s="634"/>
      <c r="D138" s="634"/>
      <c r="E138" s="634"/>
      <c r="F138" s="634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9" t="str">
        <f>+VLOOKUP(LEFT($A139,LEN(A139)-1)*1,Master!$D$30:$G$229,4,FALSE)</f>
        <v xml:space="preserve">Transferi institucijama, pojedincima, nevladinom i javnom sektoru </v>
      </c>
      <c r="C139" s="650"/>
      <c r="D139" s="650"/>
      <c r="E139" s="650"/>
      <c r="F139" s="650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9" t="str">
        <f>+VLOOKUP(LEFT($A140,LEN(A140)-1)*1,Master!$D$30:$G$229,4,FALSE)</f>
        <v>Kapitalni izdaci</v>
      </c>
      <c r="C140" s="650"/>
      <c r="D140" s="650"/>
      <c r="E140" s="650"/>
      <c r="F140" s="650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51" t="str">
        <f>+VLOOKUP(LEFT($A141,LEN(A141)-1)*1,Master!$D$30:$G$229,4,FALSE)</f>
        <v>Pozajmice i krediti</v>
      </c>
      <c r="C141" s="652"/>
      <c r="D141" s="652"/>
      <c r="E141" s="652"/>
      <c r="F141" s="652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51" t="str">
        <f>+VLOOKUP(LEFT($A142,LEN(A142)-1)*1,Master!$D$30:$G$229,4,FALSE)</f>
        <v>Rezerve</v>
      </c>
      <c r="C142" s="652"/>
      <c r="D142" s="652"/>
      <c r="E142" s="652"/>
      <c r="F142" s="652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51" t="str">
        <f>+VLOOKUP(LEFT($A143,LEN(A143)-1)*1,Master!$D$30:$G$229,4,FALSE)</f>
        <v>Otplata garancija</v>
      </c>
      <c r="C143" s="652"/>
      <c r="D143" s="652"/>
      <c r="E143" s="652"/>
      <c r="F143" s="652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51" t="str">
        <f>+VLOOKUP(LEFT($A144,LEN(A144)-1)*1,Master!$D$30:$G$229,4,FALSE)</f>
        <v>Otplata obaveza iz prethodnog perioda</v>
      </c>
      <c r="C144" s="652"/>
      <c r="D144" s="652"/>
      <c r="E144" s="652"/>
      <c r="F144" s="652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51" t="str">
        <f>+VLOOKUP(LEFT($A145,LEN(A145)-1)*1,Master!$D$30:$G$229,4,FALSE)</f>
        <v>Neto povećanje obaveza</v>
      </c>
      <c r="C145" s="652"/>
      <c r="D145" s="652"/>
      <c r="E145" s="652"/>
      <c r="F145" s="652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9" t="str">
        <f>+VLOOKUP(LEFT($A146,LEN(A146)-1)*1,Master!$D$30:$G$226,4,FALSE)</f>
        <v>Suficit / deficit</v>
      </c>
      <c r="C146" s="660"/>
      <c r="D146" s="660"/>
      <c r="E146" s="660"/>
      <c r="F146" s="660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61" t="str">
        <f>+VLOOKUP(LEFT($A147,LEN(A147)-1)*1,Master!$D$30:$G$226,4,FALSE)</f>
        <v>Primarni suficit/deficit</v>
      </c>
      <c r="C147" s="662"/>
      <c r="D147" s="662"/>
      <c r="E147" s="662"/>
      <c r="F147" s="662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3" t="str">
        <f>+VLOOKUP(LEFT($A148,LEN(A148)-1)*1,Master!$D$30:$G$226,4,FALSE)</f>
        <v>Otplata dugova</v>
      </c>
      <c r="C148" s="654"/>
      <c r="D148" s="654"/>
      <c r="E148" s="654"/>
      <c r="F148" s="654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7" t="str">
        <f>+VLOOKUP(LEFT($A149,LEN(A149)-1)*1,Master!$D$30:$G$226,4,FALSE)</f>
        <v>Otplata hartija od vrijednosti i kredita rezidentima</v>
      </c>
      <c r="C149" s="658"/>
      <c r="D149" s="658"/>
      <c r="E149" s="658"/>
      <c r="F149" s="658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51" t="str">
        <f>+VLOOKUP(LEFT($A150,LEN(A150)-1)*1,Master!$D$30:$G$226,4,FALSE)</f>
        <v>Otplata hartija od vrijednosti i kredita nerezidentima</v>
      </c>
      <c r="C150" s="652"/>
      <c r="D150" s="652"/>
      <c r="E150" s="652"/>
      <c r="F150" s="652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9" t="str">
        <f>+VLOOKUP(LEFT($A151,LEN(A151)-1)*1,Master!$D$30:$G$226,4,FALSE)</f>
        <v>Izdaci za kupovinu hartija od vrijednosti</v>
      </c>
      <c r="C151" s="630"/>
      <c r="D151" s="630"/>
      <c r="E151" s="630"/>
      <c r="F151" s="630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5" t="str">
        <f>+VLOOKUP(LEFT($A152,LEN(A152)-1)*1,Master!$D$30:$G$226,4,FALSE)</f>
        <v>Nedostajuća sredstva</v>
      </c>
      <c r="C152" s="656"/>
      <c r="D152" s="656"/>
      <c r="E152" s="656"/>
      <c r="F152" s="656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9" t="str">
        <f>+VLOOKUP(LEFT($A153,LEN(A153)-1)*1,Master!$D$30:$G$226,4,FALSE)</f>
        <v>Finansiranje</v>
      </c>
      <c r="C153" s="630"/>
      <c r="D153" s="630"/>
      <c r="E153" s="630"/>
      <c r="F153" s="630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7" t="str">
        <f>+VLOOKUP(LEFT($A154,LEN(A154)-1)*1,Master!$D$30:$G$226,4,FALSE)</f>
        <v>Pozajmice i krediti od domaćih izvora</v>
      </c>
      <c r="C154" s="658"/>
      <c r="D154" s="658"/>
      <c r="E154" s="658"/>
      <c r="F154" s="658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51" t="str">
        <f>+VLOOKUP(LEFT($A155,LEN(A155)-1)*1,Master!$D$30:$G$226,4,FALSE)</f>
        <v>Pozajmice i krediti od inostranih izvora</v>
      </c>
      <c r="C155" s="652"/>
      <c r="D155" s="652"/>
      <c r="E155" s="652"/>
      <c r="F155" s="652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51" t="str">
        <f>+VLOOKUP(LEFT($A156,LEN(A156)-1)*1,Master!$D$30:$G$226,4,FALSE)</f>
        <v>Primici od prodaje imovine</v>
      </c>
      <c r="C156" s="652"/>
      <c r="D156" s="652"/>
      <c r="E156" s="652"/>
      <c r="F156" s="652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Dragana Nedic</cp:lastModifiedBy>
  <cp:lastPrinted>2025-09-30T07:06:18Z</cp:lastPrinted>
  <dcterms:created xsi:type="dcterms:W3CDTF">2014-09-15T13:41:17Z</dcterms:created>
  <dcterms:modified xsi:type="dcterms:W3CDTF">2025-09-30T09:58:00Z</dcterms:modified>
</cp:coreProperties>
</file>