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770" windowHeight="11370" tabRatio="587" firstSheet="1" activeTab="1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'2018'!$A$103:$A$162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L125" i="17" s="1"/>
  <c r="K126" i="17"/>
  <c r="K124" i="17" s="1"/>
  <c r="H126" i="17"/>
  <c r="G126" i="17"/>
  <c r="G124" i="17" s="1"/>
  <c r="A126" i="17"/>
  <c r="A125" i="17"/>
  <c r="O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I31" i="17" s="1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I5" i="17"/>
  <c r="H5" i="17"/>
  <c r="G5" i="17"/>
  <c r="G11" i="2"/>
  <c r="H31" i="17" l="1"/>
  <c r="L42" i="17"/>
  <c r="O57" i="17"/>
  <c r="H51" i="11"/>
  <c r="S20" i="17"/>
  <c r="T20" i="17" s="1"/>
  <c r="Q42" i="17"/>
  <c r="J11" i="17"/>
  <c r="J10" i="17" s="1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L11" i="17"/>
  <c r="L10" i="17" s="1"/>
  <c r="I29" i="17"/>
  <c r="I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150" i="17" l="1"/>
  <c r="H151" i="17" s="1"/>
  <c r="Q29" i="17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G29" i="17"/>
  <c r="G30" i="17" s="1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Q55" i="17" l="1"/>
  <c r="Q56" i="17" s="1"/>
  <c r="S124" i="17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G30" i="11" s="1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I61" i="17"/>
  <c r="I66" i="17" s="1"/>
  <c r="I62" i="17" s="1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M56" i="17" l="1"/>
  <c r="Q61" i="17"/>
  <c r="Q66" i="17" s="1"/>
  <c r="Q62" i="17" s="1"/>
  <c r="H12" i="1"/>
  <c r="I12" i="1" s="1"/>
  <c r="J56" i="17"/>
  <c r="N56" i="17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S151" i="17"/>
  <c r="T151" i="17" s="1"/>
  <c r="G56" i="17"/>
  <c r="G61" i="17"/>
  <c r="G61" i="11" s="1"/>
  <c r="J161" i="17"/>
  <c r="H66" i="11" s="1"/>
  <c r="S156" i="17"/>
  <c r="T156" i="17" s="1"/>
  <c r="I61" i="11" l="1"/>
  <c r="J61" i="11"/>
  <c r="S56" i="17"/>
  <c r="T56" i="17" s="1"/>
  <c r="G56" i="11"/>
  <c r="S61" i="17"/>
  <c r="T61" i="17" s="1"/>
  <c r="G66" i="17"/>
  <c r="J157" i="17"/>
  <c r="S161" i="17"/>
  <c r="T161" i="17" s="1"/>
  <c r="G62" i="17" l="1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6" i="13" l="1"/>
  <c r="I156" i="13"/>
  <c r="J156" i="13"/>
  <c r="K156" i="13"/>
  <c r="L156" i="13"/>
  <c r="M156" i="13"/>
  <c r="N156" i="13"/>
  <c r="O156" i="13"/>
  <c r="P156" i="13"/>
  <c r="Q156" i="13"/>
  <c r="R156" i="13"/>
  <c r="G156" i="13"/>
  <c r="S156" i="13" l="1"/>
  <c r="T156" i="13" s="1"/>
  <c r="H61" i="13"/>
  <c r="I61" i="13"/>
  <c r="J61" i="13"/>
  <c r="K61" i="13"/>
  <c r="L61" i="13"/>
  <c r="M61" i="13"/>
  <c r="N61" i="13"/>
  <c r="O61" i="13"/>
  <c r="P61" i="13"/>
  <c r="Q61" i="13"/>
  <c r="R61" i="13"/>
  <c r="G61" i="13"/>
  <c r="S61" i="13" l="1"/>
  <c r="T61" i="13" s="1"/>
  <c r="G65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2" i="16" l="1"/>
  <c r="I153" i="16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O29" i="16" l="1"/>
  <c r="O30" i="16" s="1"/>
  <c r="N10" i="16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K155" i="16" l="1"/>
  <c r="K160" i="16" s="1"/>
  <c r="K156" i="16" s="1"/>
  <c r="Q155" i="16"/>
  <c r="Q160" i="16" s="1"/>
  <c r="Q156" i="16" s="1"/>
  <c r="L150" i="16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4" i="13"/>
  <c r="I154" i="13"/>
  <c r="J154" i="13"/>
  <c r="K154" i="13"/>
  <c r="L154" i="13"/>
  <c r="M154" i="13"/>
  <c r="N154" i="13"/>
  <c r="O154" i="13"/>
  <c r="P154" i="13"/>
  <c r="Q154" i="13"/>
  <c r="R154" i="13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H134" i="13" l="1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35" i="13"/>
  <c r="G134" i="13"/>
  <c r="H146" i="13" l="1"/>
  <c r="I146" i="13"/>
  <c r="J146" i="13"/>
  <c r="K146" i="13"/>
  <c r="L146" i="13"/>
  <c r="M146" i="13"/>
  <c r="N146" i="13"/>
  <c r="O146" i="13"/>
  <c r="P146" i="13"/>
  <c r="Q146" i="13"/>
  <c r="R146" i="13"/>
  <c r="H148" i="13"/>
  <c r="I148" i="13"/>
  <c r="J148" i="13"/>
  <c r="K148" i="13"/>
  <c r="L148" i="13"/>
  <c r="M148" i="13"/>
  <c r="N148" i="13"/>
  <c r="O148" i="13"/>
  <c r="P148" i="13"/>
  <c r="Q148" i="13"/>
  <c r="R148" i="13"/>
  <c r="H149" i="13"/>
  <c r="I149" i="13"/>
  <c r="J149" i="13"/>
  <c r="K149" i="13"/>
  <c r="L149" i="13"/>
  <c r="M149" i="13"/>
  <c r="N149" i="13"/>
  <c r="O149" i="13"/>
  <c r="P149" i="13"/>
  <c r="Q149" i="13"/>
  <c r="R149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0" i="13"/>
  <c r="G141" i="13"/>
  <c r="G142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7" i="13"/>
  <c r="I137" i="13"/>
  <c r="J137" i="13"/>
  <c r="K137" i="13"/>
  <c r="L137" i="13"/>
  <c r="M137" i="13"/>
  <c r="N137" i="13"/>
  <c r="O137" i="13"/>
  <c r="P137" i="13"/>
  <c r="Q137" i="13"/>
  <c r="R137" i="13"/>
  <c r="G137" i="13"/>
  <c r="G143" i="13"/>
  <c r="G133" i="13"/>
  <c r="G132" i="13"/>
  <c r="G131" i="13"/>
  <c r="G130" i="13"/>
  <c r="G129" i="13"/>
  <c r="H114" i="13"/>
  <c r="I114" i="13"/>
  <c r="J114" i="13"/>
  <c r="K114" i="13"/>
  <c r="L114" i="13"/>
  <c r="M114" i="13"/>
  <c r="N114" i="13"/>
  <c r="O114" i="13"/>
  <c r="P114" i="13"/>
  <c r="Q114" i="13"/>
  <c r="R114" i="13"/>
  <c r="G114" i="13"/>
  <c r="O138" i="13" l="1"/>
  <c r="K138" i="13"/>
  <c r="P138" i="13"/>
  <c r="H138" i="13"/>
  <c r="R138" i="13"/>
  <c r="N138" i="13"/>
  <c r="J138" i="13"/>
  <c r="Q138" i="13"/>
  <c r="M138" i="13"/>
  <c r="I138" i="13"/>
  <c r="L138" i="13"/>
  <c r="H147" i="13" l="1"/>
  <c r="I147" i="13"/>
  <c r="J147" i="13"/>
  <c r="K147" i="13"/>
  <c r="L147" i="13"/>
  <c r="M147" i="13"/>
  <c r="N147" i="13"/>
  <c r="O147" i="13"/>
  <c r="P147" i="13"/>
  <c r="Q147" i="13"/>
  <c r="R147" i="13"/>
  <c r="G147" i="13" l="1"/>
  <c r="H153" i="13" l="1"/>
  <c r="I153" i="13"/>
  <c r="J153" i="13"/>
  <c r="K153" i="13"/>
  <c r="L153" i="13"/>
  <c r="M153" i="13"/>
  <c r="N153" i="13"/>
  <c r="O153" i="13"/>
  <c r="P153" i="13"/>
  <c r="Q153" i="13"/>
  <c r="R153" i="13"/>
  <c r="G154" i="13"/>
  <c r="G153" i="13"/>
  <c r="G148" i="13"/>
  <c r="G149" i="13"/>
  <c r="G14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G145" i="13"/>
  <c r="G144" i="13"/>
  <c r="G139" i="13"/>
  <c r="G128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H124" i="13"/>
  <c r="I124" i="13"/>
  <c r="J124" i="13"/>
  <c r="K124" i="13"/>
  <c r="L124" i="13"/>
  <c r="M124" i="13"/>
  <c r="N124" i="13"/>
  <c r="O124" i="13"/>
  <c r="P124" i="13"/>
  <c r="Q124" i="13"/>
  <c r="R124" i="13"/>
  <c r="G124" i="13"/>
  <c r="G123" i="13"/>
  <c r="G122" i="13"/>
  <c r="G121" i="13"/>
  <c r="G120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G117" i="13"/>
  <c r="G118" i="13"/>
  <c r="G119" i="13"/>
  <c r="G116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H113" i="13"/>
  <c r="I113" i="13"/>
  <c r="J113" i="13"/>
  <c r="K113" i="13"/>
  <c r="L113" i="13"/>
  <c r="M113" i="13"/>
  <c r="N113" i="13"/>
  <c r="O113" i="13"/>
  <c r="P113" i="13"/>
  <c r="Q113" i="13"/>
  <c r="R113" i="13"/>
  <c r="G109" i="13"/>
  <c r="G110" i="13"/>
  <c r="G111" i="13"/>
  <c r="G112" i="13"/>
  <c r="G113" i="13"/>
  <c r="G108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2" i="13"/>
  <c r="A161" i="13"/>
  <c r="A160" i="13"/>
  <c r="A159" i="13"/>
  <c r="A158" i="13"/>
  <c r="A157" i="13"/>
  <c r="A155" i="13"/>
  <c r="A154" i="13"/>
  <c r="A153" i="13"/>
  <c r="A152" i="13"/>
  <c r="A151" i="13"/>
  <c r="A150" i="13"/>
  <c r="S149" i="13"/>
  <c r="T149" i="13" s="1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I115" i="13"/>
  <c r="A116" i="13"/>
  <c r="A115" i="13"/>
  <c r="A114" i="13"/>
  <c r="A113" i="13"/>
  <c r="A112" i="13"/>
  <c r="A111" i="13"/>
  <c r="A110" i="13"/>
  <c r="A109" i="13"/>
  <c r="A108" i="13"/>
  <c r="A107" i="13"/>
  <c r="A106" i="13"/>
  <c r="T104" i="13"/>
  <c r="T103" i="13"/>
  <c r="R102" i="13"/>
  <c r="Q102" i="13"/>
  <c r="P102" i="13"/>
  <c r="O102" i="13"/>
  <c r="N102" i="13"/>
  <c r="M102" i="13"/>
  <c r="L102" i="13"/>
  <c r="K102" i="13"/>
  <c r="J102" i="13"/>
  <c r="I102" i="13"/>
  <c r="H102" i="13"/>
  <c r="G10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R65" i="13"/>
  <c r="Q65" i="13"/>
  <c r="P65" i="13"/>
  <c r="O65" i="13"/>
  <c r="N65" i="13"/>
  <c r="M65" i="13"/>
  <c r="L65" i="13"/>
  <c r="K65" i="13"/>
  <c r="J65" i="13"/>
  <c r="I65" i="13"/>
  <c r="H65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l="1"/>
  <c r="L60" i="11" s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8" i="13"/>
  <c r="O58" i="13"/>
  <c r="H58" i="13"/>
  <c r="L58" i="13"/>
  <c r="P58" i="13"/>
  <c r="S59" i="13"/>
  <c r="T59" i="13" s="1"/>
  <c r="J58" i="13"/>
  <c r="N58" i="13"/>
  <c r="R58" i="13"/>
  <c r="S64" i="13"/>
  <c r="T64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8" i="13"/>
  <c r="S60" i="13"/>
  <c r="T60" i="13" s="1"/>
  <c r="S65" i="13"/>
  <c r="T65" i="13" s="1"/>
  <c r="O115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8" i="13"/>
  <c r="M58" i="13"/>
  <c r="Q58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5" i="13"/>
  <c r="S32" i="13"/>
  <c r="T32" i="13" s="1"/>
  <c r="S44" i="13"/>
  <c r="T44" i="13" s="1"/>
  <c r="S66" i="13"/>
  <c r="T66" i="13" s="1"/>
  <c r="G11" i="13"/>
  <c r="Q107" i="13"/>
  <c r="S137" i="13"/>
  <c r="T137" i="13" s="1"/>
  <c r="S139" i="13"/>
  <c r="T139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8" i="13"/>
  <c r="T148" i="13" s="1"/>
  <c r="S142" i="13"/>
  <c r="T142" i="13" s="1"/>
  <c r="S131" i="13"/>
  <c r="T131" i="13" s="1"/>
  <c r="J29" i="13"/>
  <c r="I29" i="13"/>
  <c r="S146" i="13"/>
  <c r="T146" i="13" s="1"/>
  <c r="S31" i="13"/>
  <c r="T31" i="13" s="1"/>
  <c r="S42" i="13"/>
  <c r="T42" i="13" s="1"/>
  <c r="R29" i="13"/>
  <c r="H29" i="13"/>
  <c r="H30" i="13" s="1"/>
  <c r="Q29" i="13"/>
  <c r="K29" i="13"/>
  <c r="M29" i="13"/>
  <c r="S58" i="13"/>
  <c r="T58" i="13" s="1"/>
  <c r="S141" i="13"/>
  <c r="T141" i="13" s="1"/>
  <c r="M115" i="13"/>
  <c r="S133" i="13"/>
  <c r="T133" i="13" s="1"/>
  <c r="S122" i="13"/>
  <c r="T122" i="13" s="1"/>
  <c r="S118" i="13"/>
  <c r="T118" i="13" s="1"/>
  <c r="Q115" i="13"/>
  <c r="Q106" i="13" s="1"/>
  <c r="S113" i="13"/>
  <c r="T113" i="13" s="1"/>
  <c r="P107" i="13"/>
  <c r="S110" i="13"/>
  <c r="T110" i="13" s="1"/>
  <c r="O107" i="13"/>
  <c r="O106" i="13" s="1"/>
  <c r="O127" i="13"/>
  <c r="N107" i="13"/>
  <c r="S147" i="13"/>
  <c r="T147" i="13" s="1"/>
  <c r="S143" i="13"/>
  <c r="T143" i="13" s="1"/>
  <c r="M127" i="13"/>
  <c r="G152" i="13"/>
  <c r="M107" i="13"/>
  <c r="S135" i="13"/>
  <c r="T135" i="13" s="1"/>
  <c r="S123" i="13"/>
  <c r="T123" i="13" s="1"/>
  <c r="S119" i="13"/>
  <c r="T119" i="13" s="1"/>
  <c r="L115" i="13"/>
  <c r="S114" i="13"/>
  <c r="T114" i="13" s="1"/>
  <c r="L107" i="13"/>
  <c r="I127" i="13"/>
  <c r="J115" i="13"/>
  <c r="S111" i="13"/>
  <c r="T111" i="13" s="1"/>
  <c r="K107" i="13"/>
  <c r="S134" i="13"/>
  <c r="T134" i="13" s="1"/>
  <c r="S130" i="13"/>
  <c r="T130" i="13" s="1"/>
  <c r="H127" i="13"/>
  <c r="J127" i="13"/>
  <c r="J107" i="13"/>
  <c r="I107" i="13"/>
  <c r="I106" i="13" s="1"/>
  <c r="S129" i="13"/>
  <c r="T129" i="13" s="1"/>
  <c r="S124" i="13"/>
  <c r="T124" i="13" s="1"/>
  <c r="S120" i="13"/>
  <c r="T120" i="13" s="1"/>
  <c r="S116" i="13"/>
  <c r="T116" i="13" s="1"/>
  <c r="G115" i="13"/>
  <c r="H107" i="13"/>
  <c r="H106" i="13" s="1"/>
  <c r="P115" i="13"/>
  <c r="N115" i="13"/>
  <c r="S112" i="13"/>
  <c r="T112" i="13" s="1"/>
  <c r="S108" i="13"/>
  <c r="T108" i="13" s="1"/>
  <c r="G107" i="13"/>
  <c r="Q127" i="13"/>
  <c r="L127" i="13"/>
  <c r="N127" i="13"/>
  <c r="S140" i="13"/>
  <c r="T140" i="13" s="1"/>
  <c r="G138" i="13"/>
  <c r="K127" i="13"/>
  <c r="S121" i="13"/>
  <c r="T121" i="13" s="1"/>
  <c r="S117" i="13"/>
  <c r="T117" i="13" s="1"/>
  <c r="K115" i="13"/>
  <c r="R115" i="13"/>
  <c r="S109" i="13"/>
  <c r="T109" i="13" s="1"/>
  <c r="G10" i="13"/>
  <c r="S11" i="13"/>
  <c r="T11" i="13" s="1"/>
  <c r="S136" i="13"/>
  <c r="T136" i="13" s="1"/>
  <c r="S132" i="13"/>
  <c r="T132" i="13" s="1"/>
  <c r="G127" i="13"/>
  <c r="S128" i="13"/>
  <c r="T128" i="13" s="1"/>
  <c r="P127" i="13"/>
  <c r="R127" i="13"/>
  <c r="R107" i="13"/>
  <c r="Q35" i="12"/>
  <c r="K29" i="11" l="1"/>
  <c r="K10" i="11"/>
  <c r="R30" i="13"/>
  <c r="P30" i="13"/>
  <c r="O30" i="13"/>
  <c r="N55" i="13"/>
  <c r="N56" i="13" s="1"/>
  <c r="L30" i="13"/>
  <c r="J30" i="13"/>
  <c r="I30" i="13"/>
  <c r="G30" i="13"/>
  <c r="G125" i="13"/>
  <c r="P55" i="13"/>
  <c r="P56" i="13" s="1"/>
  <c r="N30" i="13"/>
  <c r="L55" i="13"/>
  <c r="L56" i="13" s="1"/>
  <c r="O55" i="13"/>
  <c r="O56" i="13" s="1"/>
  <c r="J55" i="13"/>
  <c r="J56" i="13" s="1"/>
  <c r="I55" i="13"/>
  <c r="I56" i="13" s="1"/>
  <c r="S138" i="13"/>
  <c r="T138" i="13" s="1"/>
  <c r="R55" i="13"/>
  <c r="R56" i="13" s="1"/>
  <c r="H55" i="13"/>
  <c r="H56" i="13" s="1"/>
  <c r="S29" i="13"/>
  <c r="T29" i="13" s="1"/>
  <c r="K30" i="13"/>
  <c r="K55" i="13"/>
  <c r="K56" i="13" s="1"/>
  <c r="Q30" i="13"/>
  <c r="Q55" i="13"/>
  <c r="Q56" i="13" s="1"/>
  <c r="M106" i="13"/>
  <c r="M30" i="13"/>
  <c r="M55" i="13"/>
  <c r="M56" i="13" s="1"/>
  <c r="L106" i="13"/>
  <c r="R106" i="13"/>
  <c r="J106" i="13"/>
  <c r="S127" i="13"/>
  <c r="T127" i="13" s="1"/>
  <c r="K106" i="13"/>
  <c r="S107" i="13"/>
  <c r="T107" i="13" s="1"/>
  <c r="G106" i="13"/>
  <c r="N106" i="13"/>
  <c r="P106" i="13"/>
  <c r="S10" i="13"/>
  <c r="T10" i="13" s="1"/>
  <c r="G55" i="13"/>
  <c r="G56" i="13" s="1"/>
  <c r="S115" i="13"/>
  <c r="T115" i="13" s="1"/>
  <c r="Q19" i="12"/>
  <c r="M62" i="13" l="1"/>
  <c r="M57" i="13"/>
  <c r="H62" i="13"/>
  <c r="H67" i="13" s="1"/>
  <c r="H63" i="13" s="1"/>
  <c r="H57" i="13"/>
  <c r="J62" i="13"/>
  <c r="J57" i="13"/>
  <c r="P62" i="13"/>
  <c r="P57" i="13"/>
  <c r="S56" i="13"/>
  <c r="T56" i="13" s="1"/>
  <c r="G62" i="13"/>
  <c r="G57" i="13"/>
  <c r="K62" i="13"/>
  <c r="K57" i="13"/>
  <c r="R62" i="13"/>
  <c r="R57" i="13"/>
  <c r="O62" i="13"/>
  <c r="O67" i="13" s="1"/>
  <c r="O57" i="13"/>
  <c r="L62" i="13"/>
  <c r="L57" i="13"/>
  <c r="N62" i="13"/>
  <c r="N57" i="13"/>
  <c r="Q62" i="13"/>
  <c r="Q67" i="13" s="1"/>
  <c r="Q57" i="13"/>
  <c r="I62" i="13"/>
  <c r="I57" i="13"/>
  <c r="K55" i="11"/>
  <c r="K30" i="11"/>
  <c r="S30" i="13"/>
  <c r="T30" i="13" s="1"/>
  <c r="G126" i="13"/>
  <c r="G150" i="13"/>
  <c r="G157" i="13" s="1"/>
  <c r="S106" i="13"/>
  <c r="T106" i="13" s="1"/>
  <c r="S55" i="13"/>
  <c r="T55" i="13" s="1"/>
  <c r="P64" i="12"/>
  <c r="P19" i="12"/>
  <c r="P35" i="12"/>
  <c r="K61" i="11" l="1"/>
  <c r="M60" i="11" s="1"/>
  <c r="K56" i="11"/>
  <c r="R67" i="13"/>
  <c r="Q63" i="13"/>
  <c r="P67" i="13"/>
  <c r="O63" i="13"/>
  <c r="N67" i="13"/>
  <c r="M67" i="13"/>
  <c r="M63" i="13" s="1"/>
  <c r="L67" i="13"/>
  <c r="K67" i="13"/>
  <c r="J67" i="13"/>
  <c r="I67" i="13"/>
  <c r="S57" i="13"/>
  <c r="T57" i="13" s="1"/>
  <c r="G151" i="13"/>
  <c r="G67" i="13"/>
  <c r="S62" i="13"/>
  <c r="T62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1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G33" i="2"/>
  <c r="G32" i="2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H120" i="4" s="1"/>
  <c r="A121" i="4"/>
  <c r="A122" i="4"/>
  <c r="A123" i="4"/>
  <c r="A127" i="4"/>
  <c r="R100" i="4"/>
  <c r="A128" i="4"/>
  <c r="A129" i="4"/>
  <c r="H100" i="4"/>
  <c r="H118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T34" i="4" s="1"/>
  <c r="S50" i="4"/>
  <c r="T50" i="4" s="1"/>
  <c r="S41" i="4"/>
  <c r="T41" i="4" s="1"/>
  <c r="S37" i="4"/>
  <c r="S33" i="4"/>
  <c r="T33" i="4" s="1"/>
  <c r="S53" i="4"/>
  <c r="T53" i="4"/>
  <c r="S49" i="4"/>
  <c r="T49" i="4" s="1"/>
  <c r="S51" i="4"/>
  <c r="T51" i="4" s="1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 s="1"/>
  <c r="S27" i="4"/>
  <c r="T27" i="4" s="1"/>
  <c r="S26" i="4"/>
  <c r="T26" i="4" s="1"/>
  <c r="S25" i="4"/>
  <c r="T25" i="4" s="1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20" i="4"/>
  <c r="T37" i="4"/>
  <c r="T17" i="4"/>
  <c r="T2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Q159" i="8"/>
  <c r="B113" i="8"/>
  <c r="R116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L130" i="10" l="1"/>
  <c r="B111" i="8"/>
  <c r="B115" i="10"/>
  <c r="B154" i="9"/>
  <c r="O117" i="10"/>
  <c r="B108" i="9"/>
  <c r="B113" i="4"/>
  <c r="B22" i="10"/>
  <c r="B22" i="11"/>
  <c r="B125" i="12"/>
  <c r="B132" i="4"/>
  <c r="H109" i="4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B60" i="1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4" i="13" s="1"/>
  <c r="J8" i="17"/>
  <c r="J103" i="17" s="1"/>
  <c r="N8" i="13"/>
  <c r="N104" i="13" s="1"/>
  <c r="N8" i="17"/>
  <c r="N103" i="17" s="1"/>
  <c r="R8" i="13"/>
  <c r="R104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4" i="13" s="1"/>
  <c r="G8" i="17"/>
  <c r="G103" i="17" s="1"/>
  <c r="K8" i="13"/>
  <c r="K104" i="13" s="1"/>
  <c r="K8" i="17"/>
  <c r="K103" i="17" s="1"/>
  <c r="O8" i="13"/>
  <c r="O104" i="13" s="1"/>
  <c r="O8" i="17"/>
  <c r="O103" i="17" s="1"/>
  <c r="S7" i="13"/>
  <c r="S103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4" i="13" s="1"/>
  <c r="H8" i="17"/>
  <c r="H103" i="17" s="1"/>
  <c r="L8" i="13"/>
  <c r="L104" i="13" s="1"/>
  <c r="L8" i="17"/>
  <c r="L103" i="17" s="1"/>
  <c r="P8" i="13"/>
  <c r="P104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4" i="13" s="1"/>
  <c r="I8" i="17"/>
  <c r="I103" i="17" s="1"/>
  <c r="M8" i="13"/>
  <c r="M104" i="13" s="1"/>
  <c r="M8" i="17"/>
  <c r="M103" i="17" s="1"/>
  <c r="Q8" i="13"/>
  <c r="Q104" i="13" s="1"/>
  <c r="Q8" i="17"/>
  <c r="Q103" i="17" s="1"/>
  <c r="B103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3" i="13"/>
  <c r="P63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3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3" i="13"/>
  <c r="K63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3" i="13"/>
  <c r="I63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9" i="13"/>
  <c r="R159" i="13"/>
  <c r="M159" i="13"/>
  <c r="H160" i="13"/>
  <c r="R160" i="13"/>
  <c r="M160" i="13"/>
  <c r="H161" i="13"/>
  <c r="R161" i="13"/>
  <c r="M161" i="13"/>
  <c r="O159" i="13"/>
  <c r="I159" i="13"/>
  <c r="O160" i="13"/>
  <c r="I160" i="13"/>
  <c r="N161" i="13"/>
  <c r="P159" i="13"/>
  <c r="J159" i="13"/>
  <c r="P160" i="13"/>
  <c r="P161" i="13"/>
  <c r="N159" i="13"/>
  <c r="N160" i="13"/>
  <c r="O161" i="13"/>
  <c r="I161" i="13"/>
  <c r="J160" i="13"/>
  <c r="J161" i="13"/>
  <c r="I125" i="13"/>
  <c r="K159" i="13"/>
  <c r="K160" i="13"/>
  <c r="K161" i="13"/>
  <c r="Q125" i="13"/>
  <c r="L159" i="13"/>
  <c r="G159" i="13"/>
  <c r="Q159" i="13"/>
  <c r="L160" i="13"/>
  <c r="G160" i="13"/>
  <c r="Q160" i="13"/>
  <c r="L161" i="13"/>
  <c r="G161" i="13"/>
  <c r="Q161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9" i="13"/>
  <c r="B36" i="13"/>
  <c r="B132" i="13"/>
  <c r="B43" i="13"/>
  <c r="B139" i="13"/>
  <c r="B45" i="13"/>
  <c r="B141" i="13"/>
  <c r="B47" i="13"/>
  <c r="B143" i="13"/>
  <c r="B49" i="13"/>
  <c r="B145" i="13"/>
  <c r="B55" i="13"/>
  <c r="B150" i="13"/>
  <c r="G8" i="12"/>
  <c r="G103" i="12" s="1"/>
  <c r="O8" i="12"/>
  <c r="O103" i="12" s="1"/>
  <c r="B7" i="12"/>
  <c r="B107" i="13"/>
  <c r="B11" i="13"/>
  <c r="B109" i="13"/>
  <c r="B13" i="13"/>
  <c r="B111" i="13"/>
  <c r="B15" i="13"/>
  <c r="B17" i="13"/>
  <c r="B113" i="13"/>
  <c r="B19" i="13"/>
  <c r="B115" i="13"/>
  <c r="B117" i="13"/>
  <c r="B23" i="13"/>
  <c r="B119" i="13"/>
  <c r="B66" i="13"/>
  <c r="B161" i="13"/>
  <c r="B27" i="13"/>
  <c r="B123" i="13"/>
  <c r="B28" i="13"/>
  <c r="B124" i="13"/>
  <c r="B65" i="13"/>
  <c r="B160" i="13"/>
  <c r="B31" i="13"/>
  <c r="B127" i="13"/>
  <c r="B32" i="13"/>
  <c r="B128" i="13"/>
  <c r="B34" i="13"/>
  <c r="B130" i="13"/>
  <c r="B35" i="13"/>
  <c r="B131" i="13"/>
  <c r="B37" i="13"/>
  <c r="B133" i="13"/>
  <c r="B38" i="13"/>
  <c r="B134" i="13"/>
  <c r="B44" i="13"/>
  <c r="B140" i="13"/>
  <c r="B46" i="13"/>
  <c r="B142" i="13"/>
  <c r="B48" i="13"/>
  <c r="B144" i="13"/>
  <c r="B59" i="13"/>
  <c r="B153" i="13"/>
  <c r="B52" i="13"/>
  <c r="B148" i="13"/>
  <c r="B53" i="13"/>
  <c r="B155" i="13"/>
  <c r="B62" i="13"/>
  <c r="B157" i="13"/>
  <c r="I8" i="12"/>
  <c r="I103" i="12" s="1"/>
  <c r="L8" i="12"/>
  <c r="L103" i="12" s="1"/>
  <c r="N8" i="12"/>
  <c r="N103" i="12" s="1"/>
  <c r="Q8" i="12"/>
  <c r="Q103" i="12" s="1"/>
  <c r="B10" i="13"/>
  <c r="B106" i="13"/>
  <c r="B26" i="13"/>
  <c r="B122" i="13"/>
  <c r="B39" i="13"/>
  <c r="B135" i="13"/>
  <c r="B42" i="13"/>
  <c r="B138" i="13"/>
  <c r="B41" i="13"/>
  <c r="B137" i="13"/>
  <c r="B58" i="13"/>
  <c r="B152" i="13"/>
  <c r="B57" i="13"/>
  <c r="B151" i="13"/>
  <c r="B67" i="13"/>
  <c r="B162" i="13"/>
  <c r="K8" i="12"/>
  <c r="K103" i="12" s="1"/>
  <c r="S7" i="12"/>
  <c r="S102" i="12" s="1"/>
  <c r="B102" i="12"/>
  <c r="B12" i="13"/>
  <c r="B108" i="13"/>
  <c r="B14" i="13"/>
  <c r="B110" i="13"/>
  <c r="B16" i="13"/>
  <c r="B112" i="13"/>
  <c r="B18" i="13"/>
  <c r="B114" i="13"/>
  <c r="B20" i="13"/>
  <c r="B116" i="13"/>
  <c r="B22" i="13"/>
  <c r="B118" i="13"/>
  <c r="B24" i="13"/>
  <c r="B120" i="13"/>
  <c r="B25" i="13"/>
  <c r="B121" i="13"/>
  <c r="B64" i="13"/>
  <c r="B159" i="13"/>
  <c r="B29" i="13"/>
  <c r="B125" i="13"/>
  <c r="B30" i="13"/>
  <c r="B126" i="13"/>
  <c r="B40" i="13"/>
  <c r="B136" i="13"/>
  <c r="B50" i="13"/>
  <c r="B146" i="13"/>
  <c r="B60" i="13"/>
  <c r="B154" i="13"/>
  <c r="B51" i="13"/>
  <c r="B147" i="13"/>
  <c r="B63" i="13"/>
  <c r="B158" i="13"/>
  <c r="G273" i="2"/>
  <c r="H11" i="1" s="1"/>
  <c r="S67" i="13"/>
  <c r="T67" i="13" s="1"/>
  <c r="G63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5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4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5" i="13"/>
  <c r="R126" i="4"/>
  <c r="S10" i="4"/>
  <c r="T10" i="4" s="1"/>
  <c r="R152" i="13"/>
  <c r="K125" i="13"/>
  <c r="K150" i="13" s="1"/>
  <c r="G162" i="13"/>
  <c r="M152" i="13"/>
  <c r="L152" i="13"/>
  <c r="R125" i="13"/>
  <c r="R126" i="13" s="1"/>
  <c r="M125" i="13"/>
  <c r="M150" i="13" s="1"/>
  <c r="S161" i="13"/>
  <c r="T161" i="13" s="1"/>
  <c r="I126" i="13"/>
  <c r="I150" i="13"/>
  <c r="Q152" i="13"/>
  <c r="P125" i="13"/>
  <c r="S155" i="13"/>
  <c r="T155" i="13" s="1"/>
  <c r="O152" i="13"/>
  <c r="S144" i="13"/>
  <c r="T144" i="13" s="1"/>
  <c r="J48" i="11"/>
  <c r="I152" i="13"/>
  <c r="S159" i="13"/>
  <c r="T159" i="13" s="1"/>
  <c r="L125" i="13"/>
  <c r="P152" i="13"/>
  <c r="N152" i="13"/>
  <c r="Q126" i="13"/>
  <c r="Q150" i="13"/>
  <c r="K152" i="13"/>
  <c r="I49" i="11"/>
  <c r="S145" i="13"/>
  <c r="T145" i="13" s="1"/>
  <c r="O125" i="13"/>
  <c r="S153" i="13"/>
  <c r="T153" i="13" s="1"/>
  <c r="H152" i="13"/>
  <c r="S160" i="13"/>
  <c r="T160" i="13" s="1"/>
  <c r="J152" i="13"/>
  <c r="S154" i="13"/>
  <c r="T154" i="13" s="1"/>
  <c r="J125" i="13"/>
  <c r="N125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3" i="13"/>
  <c r="T63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Q15" i="11" l="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7" i="13"/>
  <c r="I124" i="9"/>
  <c r="I125" i="9" s="1"/>
  <c r="Q124" i="10"/>
  <c r="Q125" i="10" s="1"/>
  <c r="I124" i="10"/>
  <c r="I125" i="10" s="1"/>
  <c r="Q157" i="13"/>
  <c r="O125" i="8"/>
  <c r="O126" i="8" s="1"/>
  <c r="Q124" i="12"/>
  <c r="Q125" i="12" s="1"/>
  <c r="Q105" i="12"/>
  <c r="G105" i="10"/>
  <c r="L124" i="10"/>
  <c r="L125" i="10" s="1"/>
  <c r="I104" i="4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7" i="13"/>
  <c r="I162" i="13" s="1"/>
  <c r="I158" i="13" s="1"/>
  <c r="K157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6" i="13"/>
  <c r="M126" i="13"/>
  <c r="J49" i="11"/>
  <c r="G158" i="13"/>
  <c r="R150" i="13"/>
  <c r="I48" i="11"/>
  <c r="M151" i="13"/>
  <c r="M162" i="13"/>
  <c r="M158" i="13" s="1"/>
  <c r="J59" i="11"/>
  <c r="J58" i="11"/>
  <c r="I58" i="11"/>
  <c r="O126" i="13"/>
  <c r="O150" i="13"/>
  <c r="O157" i="13" s="1"/>
  <c r="Q162" i="13"/>
  <c r="Q158" i="13" s="1"/>
  <c r="Q151" i="13"/>
  <c r="J126" i="13"/>
  <c r="J150" i="13"/>
  <c r="J157" i="13" s="1"/>
  <c r="I151" i="13"/>
  <c r="S152" i="13"/>
  <c r="T152" i="13" s="1"/>
  <c r="L126" i="13"/>
  <c r="L150" i="13"/>
  <c r="L157" i="13" s="1"/>
  <c r="P126" i="13"/>
  <c r="P150" i="13"/>
  <c r="P157" i="13" s="1"/>
  <c r="H126" i="13"/>
  <c r="H150" i="13"/>
  <c r="H157" i="13" s="1"/>
  <c r="S125" i="13"/>
  <c r="T125" i="13" s="1"/>
  <c r="N126" i="13"/>
  <c r="N150" i="13"/>
  <c r="N157" i="13" s="1"/>
  <c r="K151" i="13"/>
  <c r="K162" i="13"/>
  <c r="K158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I148" i="4" l="1"/>
  <c r="M148" i="10"/>
  <c r="M154" i="10" s="1"/>
  <c r="M159" i="10" s="1"/>
  <c r="M155" i="10" s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7" i="13"/>
  <c r="R162" i="13" s="1"/>
  <c r="R158" i="13" s="1"/>
  <c r="P30" i="11"/>
  <c r="S57" i="8"/>
  <c r="S31" i="9"/>
  <c r="T31" i="9" s="1"/>
  <c r="CU193" i="6"/>
  <c r="I57" i="11"/>
  <c r="Q57" i="11"/>
  <c r="R151" i="13"/>
  <c r="N61" i="12"/>
  <c r="N66" i="12" s="1"/>
  <c r="N62" i="12" s="1"/>
  <c r="N66" i="10"/>
  <c r="N62" i="10" s="1"/>
  <c r="N162" i="13"/>
  <c r="N158" i="13" s="1"/>
  <c r="N151" i="13"/>
  <c r="H151" i="13"/>
  <c r="S150" i="13"/>
  <c r="T150" i="13" s="1"/>
  <c r="L162" i="13"/>
  <c r="L158" i="13" s="1"/>
  <c r="L151" i="13"/>
  <c r="J151" i="13"/>
  <c r="J162" i="13"/>
  <c r="J158" i="13" s="1"/>
  <c r="O162" i="13"/>
  <c r="O158" i="13" s="1"/>
  <c r="O151" i="13"/>
  <c r="S126" i="13"/>
  <c r="T126" i="13" s="1"/>
  <c r="P162" i="13"/>
  <c r="P158" i="13" s="1"/>
  <c r="P151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M149" i="10" l="1"/>
  <c r="G155" i="12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1" i="13"/>
  <c r="T151" i="13" s="1"/>
  <c r="H162" i="13"/>
  <c r="S157" i="13"/>
  <c r="T157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J55" i="11"/>
  <c r="H158" i="13"/>
  <c r="S162" i="13"/>
  <c r="T162" i="13" s="1"/>
  <c r="G61" i="9"/>
  <c r="S61" i="9" s="1"/>
  <c r="T61" i="9" s="1"/>
  <c r="S65" i="9"/>
  <c r="T65" i="9" s="1"/>
  <c r="M61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S159" i="4" l="1"/>
  <c r="T159" i="4" s="1"/>
  <c r="T66" i="12"/>
  <c r="S62" i="12"/>
  <c r="T62" i="12" s="1"/>
  <c r="G156" i="8"/>
  <c r="W156" i="8" s="1"/>
  <c r="X156" i="8" s="1"/>
  <c r="Q62" i="11"/>
  <c r="P62" i="11"/>
  <c r="S158" i="13"/>
  <c r="T158" i="13" s="1"/>
  <c r="M62" i="11"/>
  <c r="G62" i="8"/>
  <c r="W62" i="8" s="1"/>
  <c r="X62" i="8" s="1"/>
  <c r="W66" i="8"/>
  <c r="X66" i="8" s="1"/>
  <c r="S156" i="12"/>
  <c r="T156" i="12" s="1"/>
  <c r="L62" i="11" l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<sst xmlns="http://schemas.openxmlformats.org/spreadsheetml/2006/main" count="1659" uniqueCount="799">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</sst>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8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4" fillId="2" borderId="0" xfId="0" applyNumberFormat="1" applyFont="1" applyFill="1" applyBorder="1" applyAlignment="1" applyProtection="1">
      <alignment horizontal="center" vertical="center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6" fillId="3" borderId="5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3630784"/>
        <c:axId val="-1573479696"/>
      </c:lineChart>
      <c:catAx>
        <c:axId val="-1723630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573479696"/>
        <c:crosses val="autoZero"/>
        <c:auto val="1"/>
        <c:lblAlgn val="ctr"/>
        <c:lblOffset val="100"/>
        <c:tickLblSkip val="3"/>
        <c:noMultiLvlLbl val="0"/>
      </c:catAx>
      <c:valAx>
        <c:axId val="-1573479696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72363078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3484048"/>
        <c:axId val="-1573476976"/>
      </c:lineChart>
      <c:catAx>
        <c:axId val="-157348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573476976"/>
        <c:crosses val="autoZero"/>
        <c:auto val="1"/>
        <c:lblAlgn val="ctr"/>
        <c:lblOffset val="100"/>
        <c:tickLblSkip val="3"/>
        <c:noMultiLvlLbl val="0"/>
      </c:catAx>
      <c:valAx>
        <c:axId val="-157347697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57348404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januar-oktobar 2019. godine iznosili su 1.494,7 mil.€ ili 31,0% BDP-a i veći su za 2,8 mil.€ ili 0,8% u odnosu na plan. U odnosu na isti period prethodne godine prihodi su veći za 76,0 mil.€ ili 5,4%.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januar-oktobar 2019. godine iznosili su 1.530,1 mil.€ ili 31,9% BDP-a i viši su za 58,4 mil. € ili 4,0% u odnosu na isti period prethodne godine. U odnosu na plan izdaci su manji za 148,1 mil.€ ili 8,8%. U periodu januar-oktobar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35,4 mil.€ ili 0,7%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9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438150</xdr:colOff>
      <xdr:row>2</xdr:row>
      <xdr:rowOff>9524</xdr:rowOff>
    </xdr:from>
    <xdr:to>
      <xdr:col>13</xdr:col>
      <xdr:colOff>228600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514350</xdr:colOff>
      <xdr:row>0</xdr:row>
      <xdr:rowOff>104775</xdr:rowOff>
    </xdr:from>
    <xdr:to>
      <xdr:col>15</xdr:col>
      <xdr:colOff>722006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514350</xdr:colOff>
      <xdr:row>2</xdr:row>
      <xdr:rowOff>9525</xdr:rowOff>
    </xdr:from>
    <xdr:to>
      <xdr:col>15</xdr:col>
      <xdr:colOff>722006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533400</xdr:colOff>
      <xdr:row>3</xdr:row>
      <xdr:rowOff>133350</xdr:rowOff>
    </xdr:from>
    <xdr:to>
      <xdr:col>15</xdr:col>
      <xdr:colOff>741056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2019-10</v>
      </c>
      <c r="O6" s="168" t="str">
        <f>+CONCATENATE(N6,"p")</f>
        <v>2019-10p</v>
      </c>
      <c r="P6" s="152"/>
      <c r="Q6" s="152"/>
      <c r="R6" s="168" t="str">
        <f>+IF(Master!B3-10&gt;=0,CONCATENATE(Master!B4-1,"-",Master!B3),CONCATENATE(Master!B4-1,"-0",Master!B3))</f>
        <v>2018-10</v>
      </c>
      <c r="S6" s="152"/>
      <c r="T6" s="152"/>
    </row>
    <row r="7" spans="1:20">
      <c r="A7" s="169"/>
      <c r="B7" s="498" t="s">
        <v>702</v>
      </c>
      <c r="C7" s="499"/>
      <c r="D7" s="499"/>
      <c r="E7" s="499"/>
      <c r="F7" s="499"/>
      <c r="G7" s="507" t="s">
        <v>700</v>
      </c>
      <c r="H7" s="508"/>
      <c r="I7" s="508"/>
      <c r="J7" s="508"/>
      <c r="K7" s="508"/>
      <c r="L7" s="508"/>
      <c r="M7" s="509"/>
      <c r="N7" s="510" t="str">
        <f>+Master!G242</f>
        <v>Decembar</v>
      </c>
      <c r="O7" s="508"/>
      <c r="P7" s="508"/>
      <c r="Q7" s="508"/>
      <c r="R7" s="508"/>
      <c r="S7" s="508"/>
      <c r="T7" s="511"/>
    </row>
    <row r="8" spans="1:20">
      <c r="A8" s="169"/>
      <c r="B8" s="500"/>
      <c r="C8" s="501"/>
      <c r="D8" s="501"/>
      <c r="E8" s="501"/>
      <c r="F8" s="502"/>
      <c r="G8" s="170" t="str">
        <f>+Master!G23</f>
        <v>Ostvarenje</v>
      </c>
      <c r="H8" s="170" t="str">
        <f>+Master!G22</f>
        <v>Plan</v>
      </c>
      <c r="I8" s="496" t="str">
        <f>+Master!G260</f>
        <v>Odstupanje</v>
      </c>
      <c r="J8" s="496"/>
      <c r="K8" s="170" t="str">
        <f>+CONCATENATE(Master!G245," ",Master!B4-1)</f>
        <v>Jan - Okt 2018</v>
      </c>
      <c r="L8" s="496" t="str">
        <f>+I8</f>
        <v>Odstupanje</v>
      </c>
      <c r="M8" s="506"/>
      <c r="N8" s="171" t="str">
        <f>+G8</f>
        <v>Ostvarenje</v>
      </c>
      <c r="O8" s="170" t="str">
        <f>+H8</f>
        <v>Plan</v>
      </c>
      <c r="P8" s="496" t="str">
        <f>+I8</f>
        <v>Odstupanje</v>
      </c>
      <c r="Q8" s="496"/>
      <c r="R8" s="170" t="str">
        <f>+CONCATENATE(Master!G244," ",Master!B4-1)</f>
        <v>Oktobar 2018</v>
      </c>
      <c r="S8" s="496" t="str">
        <f>+P8</f>
        <v>Odstupanje</v>
      </c>
      <c r="T8" s="497"/>
    </row>
    <row r="9" spans="1:20" ht="15.7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70" t="e">
        <f>+VLOOKUP($A18,Master!$D$27:$G$225,4,FALSE)</f>
        <v>#N/A</v>
      </c>
      <c r="C18" s="471"/>
      <c r="D18" s="471"/>
      <c r="E18" s="471"/>
      <c r="F18" s="471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70" t="str">
        <f>+VLOOKUP($A19,Master!$D$27:$G$225,4,FALSE)</f>
        <v>Ostali državni porezi</v>
      </c>
      <c r="C19" s="471"/>
      <c r="D19" s="471"/>
      <c r="E19" s="471"/>
      <c r="F19" s="471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74" t="str">
        <f>+VLOOKUP($A20,Master!$D$27:$G$225,4,FALSE)</f>
        <v>Doprinosi</v>
      </c>
      <c r="C20" s="475"/>
      <c r="D20" s="475"/>
      <c r="E20" s="475"/>
      <c r="F20" s="475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70" t="str">
        <f>+VLOOKUP($A21,Master!$D$27:$G$225,4,FALSE)</f>
        <v>Doprinosi za penzijsko i invalidsko osiguranje</v>
      </c>
      <c r="C21" s="471"/>
      <c r="D21" s="471"/>
      <c r="E21" s="471"/>
      <c r="F21" s="471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70" t="str">
        <f>+VLOOKUP($A22,Master!$D$27:$G$225,4,FALSE)</f>
        <v>Doprinosi za zdravstveno osiguranje</v>
      </c>
      <c r="C22" s="471"/>
      <c r="D22" s="471"/>
      <c r="E22" s="471"/>
      <c r="F22" s="471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70" t="str">
        <f>+VLOOKUP($A23,Master!$D$27:$G$225,4,FALSE)</f>
        <v>Doprinosi za osiguranje od nezaposlenosti</v>
      </c>
      <c r="C23" s="471"/>
      <c r="D23" s="471"/>
      <c r="E23" s="471"/>
      <c r="F23" s="471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70" t="str">
        <f>+VLOOKUP($A24,Master!$D$27:$G$225,4,FALSE)</f>
        <v>Ostali doprinosi</v>
      </c>
      <c r="C24" s="471"/>
      <c r="D24" s="471"/>
      <c r="E24" s="471"/>
      <c r="F24" s="471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72" t="str">
        <f>+VLOOKUP($A25,Master!$D$27:$G$225,4,FALSE)</f>
        <v>Takse</v>
      </c>
      <c r="C25" s="473"/>
      <c r="D25" s="473"/>
      <c r="E25" s="473"/>
      <c r="F25" s="473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72" t="str">
        <f>+VLOOKUP($A26,Master!$D$27:$G$225,4,FALSE)</f>
        <v>Naknade</v>
      </c>
      <c r="C26" s="473"/>
      <c r="D26" s="473"/>
      <c r="E26" s="473"/>
      <c r="F26" s="473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72" t="str">
        <f>+VLOOKUP($A27,Master!$D$27:$G$225,4,FALSE)</f>
        <v>Ostali prihodi</v>
      </c>
      <c r="C27" s="473"/>
      <c r="D27" s="473"/>
      <c r="E27" s="473"/>
      <c r="F27" s="473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72" t="str">
        <f>+VLOOKUP($A28,Master!$D$27:$G$225,4,FALSE)</f>
        <v>Primici od otplate kredita i sredstva prenesena iz prethodne godine</v>
      </c>
      <c r="C28" s="473"/>
      <c r="D28" s="473"/>
      <c r="E28" s="473"/>
      <c r="F28" s="473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76" t="str">
        <f>+VLOOKUP($A29,Master!$D$27:$G$225,4,FALSE)</f>
        <v>Donacije i transferi</v>
      </c>
      <c r="C29" s="477"/>
      <c r="D29" s="477"/>
      <c r="E29" s="477"/>
      <c r="F29" s="47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8" t="str">
        <f>+VLOOKUP($A30,Master!$D$27:$G$225,4,FALSE)</f>
        <v>Budžetski izdaci</v>
      </c>
      <c r="C30" s="479"/>
      <c r="D30" s="479"/>
      <c r="E30" s="479"/>
      <c r="F30" s="479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0" t="str">
        <f>+VLOOKUP($A31,Master!$D$27:$G$225,4,FALSE)</f>
        <v>Tekući izdaci</v>
      </c>
      <c r="C31" s="481"/>
      <c r="D31" s="481"/>
      <c r="E31" s="481"/>
      <c r="F31" s="481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82" t="str">
        <f>+VLOOKUP($A32,Master!$D$27:$G$225,4,FALSE)</f>
        <v>Tekuća budžetska potrošnja</v>
      </c>
      <c r="C32" s="483"/>
      <c r="D32" s="483"/>
      <c r="E32" s="483"/>
      <c r="F32" s="483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70" t="str">
        <f>+VLOOKUP($A33,Master!$D$27:$G$225,4,FALSE)</f>
        <v>Bruto zarade i doprinosi na teret poslodavca</v>
      </c>
      <c r="C33" s="471"/>
      <c r="D33" s="471"/>
      <c r="E33" s="471"/>
      <c r="F33" s="471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70" t="str">
        <f>+VLOOKUP($A34,Master!$D$27:$G$225,4,FALSE)</f>
        <v>Ostala lična primanja</v>
      </c>
      <c r="C34" s="471"/>
      <c r="D34" s="471"/>
      <c r="E34" s="471"/>
      <c r="F34" s="471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70" t="str">
        <f>+VLOOKUP($A35,Master!$D$27:$G$225,4,FALSE)</f>
        <v>Rashodi za materijal</v>
      </c>
      <c r="C35" s="471"/>
      <c r="D35" s="471"/>
      <c r="E35" s="471"/>
      <c r="F35" s="471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70" t="str">
        <f>+VLOOKUP($A36,Master!$D$27:$G$225,4,FALSE)</f>
        <v>Rashodi za usluge</v>
      </c>
      <c r="C36" s="471"/>
      <c r="D36" s="471"/>
      <c r="E36" s="471"/>
      <c r="F36" s="471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70" t="str">
        <f>+VLOOKUP($A37,Master!$D$27:$G$225,4,FALSE)</f>
        <v>Rashodi za tekuće održavanje</v>
      </c>
      <c r="C37" s="471"/>
      <c r="D37" s="471"/>
      <c r="E37" s="471"/>
      <c r="F37" s="471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70" t="str">
        <f>+VLOOKUP($A38,Master!$D$27:$G$225,4,FALSE)</f>
        <v>Kamate</v>
      </c>
      <c r="C38" s="471"/>
      <c r="D38" s="471"/>
      <c r="E38" s="471"/>
      <c r="F38" s="471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70" t="str">
        <f>+VLOOKUP($A39,Master!$D$27:$G$225,4,FALSE)</f>
        <v>Renta</v>
      </c>
      <c r="C39" s="471"/>
      <c r="D39" s="471"/>
      <c r="E39" s="471"/>
      <c r="F39" s="471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70" t="str">
        <f>+VLOOKUP($A40,Master!$D$27:$G$225,4,FALSE)</f>
        <v>Subvencije</v>
      </c>
      <c r="C40" s="471"/>
      <c r="D40" s="471"/>
      <c r="E40" s="471"/>
      <c r="F40" s="471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70" t="str">
        <f>+VLOOKUP($A41,Master!$D$27:$G$225,4,FALSE)</f>
        <v>Ostali izdaci</v>
      </c>
      <c r="C41" s="471"/>
      <c r="D41" s="471"/>
      <c r="E41" s="471"/>
      <c r="F41" s="471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70" t="str">
        <f>+VLOOKUP($A42,Master!$D$27:$G$225,4,FALSE)</f>
        <v>Kapitalni izdaci u tekućem budžetu</v>
      </c>
      <c r="C42" s="471"/>
      <c r="D42" s="471"/>
      <c r="E42" s="471"/>
      <c r="F42" s="471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6" t="str">
        <f>+VLOOKUP($A43,Master!$D$27:$G$225,4,FALSE)</f>
        <v>Transferi za socijalnu zaštitu</v>
      </c>
      <c r="C43" s="487"/>
      <c r="D43" s="487"/>
      <c r="E43" s="487"/>
      <c r="F43" s="487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70" t="str">
        <f>+VLOOKUP($A44,Master!$D$27:$G$225,4,FALSE)</f>
        <v>Prava iz oblasti socijalne zaštite</v>
      </c>
      <c r="C44" s="471"/>
      <c r="D44" s="471"/>
      <c r="E44" s="471"/>
      <c r="F44" s="471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70" t="str">
        <f>+VLOOKUP($A45,Master!$D$27:$G$225,4,FALSE)</f>
        <v>Sredstva za tehnološke viškove</v>
      </c>
      <c r="C45" s="471"/>
      <c r="D45" s="471"/>
      <c r="E45" s="471"/>
      <c r="F45" s="471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70" t="str">
        <f>+VLOOKUP($A46,Master!$D$27:$G$225,4,FALSE)</f>
        <v>Prava iz oblasti penzijskog i invalidskog osiguranja</v>
      </c>
      <c r="C46" s="471"/>
      <c r="D46" s="471"/>
      <c r="E46" s="471"/>
      <c r="F46" s="471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70" t="str">
        <f>+VLOOKUP($A47,Master!$D$27:$G$225,4,FALSE)</f>
        <v>Ostala prava iz oblasti zdravstvene zaštite</v>
      </c>
      <c r="C47" s="471"/>
      <c r="D47" s="471"/>
      <c r="E47" s="471"/>
      <c r="F47" s="471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70" t="str">
        <f>+VLOOKUP($A48,Master!$D$27:$G$225,4,FALSE)</f>
        <v>Ostala prava iz zdravstvenog osiguranja</v>
      </c>
      <c r="C48" s="471"/>
      <c r="D48" s="471"/>
      <c r="E48" s="471"/>
      <c r="F48" s="471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4" t="str">
        <f>+VLOOKUP($A49,Master!$D$27:$G$225,4,FALSE)</f>
        <v xml:space="preserve">Transferi institucijama, pojedincima, nevladinom i javnom sektoru </v>
      </c>
      <c r="C49" s="485"/>
      <c r="D49" s="485"/>
      <c r="E49" s="485"/>
      <c r="F49" s="485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4" t="str">
        <f>+VLOOKUP($A50,Master!$D$27:$G$225,4,FALSE)</f>
        <v>Kapitalni budžet</v>
      </c>
      <c r="C50" s="485"/>
      <c r="D50" s="485"/>
      <c r="E50" s="485"/>
      <c r="F50" s="485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88" t="str">
        <f>+VLOOKUP($A51,Master!$D$27:$G$225,4,FALSE)</f>
        <v>Pozajmice i krediti</v>
      </c>
      <c r="C51" s="489"/>
      <c r="D51" s="489"/>
      <c r="E51" s="489"/>
      <c r="F51" s="489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88" t="str">
        <f>+VLOOKUP($A52,Master!$D$27:$G$225,4,FALSE)</f>
        <v>Rezerve</v>
      </c>
      <c r="C52" s="489"/>
      <c r="D52" s="489"/>
      <c r="E52" s="489"/>
      <c r="F52" s="489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90" t="str">
        <f>+VLOOKUP($A53,Master!$D$27:$G$225,4,FALSE)</f>
        <v>Otplata garancija</v>
      </c>
      <c r="C53" s="491"/>
      <c r="D53" s="491"/>
      <c r="E53" s="491"/>
      <c r="F53" s="491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90" t="str">
        <f>+VLOOKUP($A54,Master!$D$27:$G$225,4,FALSE)</f>
        <v>Otplata obaveza iz prethodnih godina</v>
      </c>
      <c r="C54" s="491"/>
      <c r="D54" s="491"/>
      <c r="E54" s="491"/>
      <c r="F54" s="491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90" t="str">
        <f>+VLOOKUP($A55,Master!$D$27:$G$227,4,FALSE)</f>
        <v>Neto povećanje obaveza</v>
      </c>
      <c r="C55" s="491"/>
      <c r="D55" s="491"/>
      <c r="E55" s="491"/>
      <c r="F55" s="491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92" t="str">
        <f>+VLOOKUP($A56,Master!$D$27:$G$225,4,FALSE)</f>
        <v>Suficit / deficit</v>
      </c>
      <c r="C56" s="493"/>
      <c r="D56" s="493"/>
      <c r="E56" s="493"/>
      <c r="F56" s="493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6" t="str">
        <f>+VLOOKUP($A58,Master!$D$27:$G$225,4,FALSE)</f>
        <v>Otplata dugova</v>
      </c>
      <c r="C58" s="487"/>
      <c r="D58" s="487"/>
      <c r="E58" s="487"/>
      <c r="F58" s="487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512" t="str">
        <f>+VLOOKUP($A59,Master!$D$27:$G$225,4,FALSE)</f>
        <v>Otplata hartija od vrijednosti i kredita rezidentima</v>
      </c>
      <c r="C59" s="513"/>
      <c r="D59" s="513"/>
      <c r="E59" s="513"/>
      <c r="F59" s="513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88" t="str">
        <f>+VLOOKUP($A60,Master!$D$27:$G$225,4,FALSE)</f>
        <v>Otplata hartija od vrijednosti i kredita nerezidentima</v>
      </c>
      <c r="C60" s="489"/>
      <c r="D60" s="489"/>
      <c r="E60" s="489"/>
      <c r="F60" s="489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514" t="str">
        <f>+VLOOKUP($A62,Master!$D$27:$G$225,4,FALSE)</f>
        <v>Nedostajuća sredstva</v>
      </c>
      <c r="C62" s="515"/>
      <c r="D62" s="515"/>
      <c r="E62" s="515"/>
      <c r="F62" s="515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8" t="str">
        <f>+VLOOKUP($A63,Master!$D$27:$G$225,4,FALSE)</f>
        <v>Finansiranje</v>
      </c>
      <c r="C63" s="479"/>
      <c r="D63" s="479"/>
      <c r="E63" s="479"/>
      <c r="F63" s="479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512" t="str">
        <f>+VLOOKUP($A64,Master!$D$27:$G$225,4,FALSE)</f>
        <v>Pozajmice i krediti od domaćih izvora</v>
      </c>
      <c r="C64" s="513"/>
      <c r="D64" s="513"/>
      <c r="E64" s="513"/>
      <c r="F64" s="513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88" t="str">
        <f>+VLOOKUP($A65,Master!$D$27:$G$225,4,FALSE)</f>
        <v>Pozajmice i krediti od inostranih izvora</v>
      </c>
      <c r="C65" s="489"/>
      <c r="D65" s="489"/>
      <c r="E65" s="489"/>
      <c r="F65" s="489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88" t="str">
        <f>+VLOOKUP($A66,Master!$D$27:$G$225,4,FALSE)</f>
        <v>Primici od prodaje imovine</v>
      </c>
      <c r="C66" s="489"/>
      <c r="D66" s="489"/>
      <c r="E66" s="489"/>
      <c r="F66" s="489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18" t="str">
        <f>+Master!G251</f>
        <v>Ostvarenje budžeta</v>
      </c>
      <c r="C7" s="499"/>
      <c r="D7" s="499"/>
      <c r="E7" s="499"/>
      <c r="F7" s="499"/>
      <c r="G7" s="507">
        <v>2014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+Master!G248</f>
        <v>BDP</v>
      </c>
      <c r="T7" s="261">
        <v>3457880000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">
        <v>700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0" t="str">
        <f>+VLOOKUP($A30,Master!$D$27:$G$225,4,FALSE)</f>
        <v>Tekući izdaci</v>
      </c>
      <c r="C30" s="481"/>
      <c r="D30" s="481"/>
      <c r="E30" s="481"/>
      <c r="F30" s="481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82" t="str">
        <f>+VLOOKUP($A31,Master!$D$27:$G$225,4,FALSE)</f>
        <v>Tekuća budžetska potrošnja</v>
      </c>
      <c r="C31" s="483"/>
      <c r="D31" s="483"/>
      <c r="E31" s="483"/>
      <c r="F31" s="483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70" t="str">
        <f>+VLOOKUP($A35,Master!$D$27:$G$225,4,FALSE)</f>
        <v>Rashodi za usluge</v>
      </c>
      <c r="C35" s="471"/>
      <c r="D35" s="471"/>
      <c r="E35" s="471"/>
      <c r="F35" s="471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70" t="str">
        <f>+VLOOKUP($A40,Master!$D$27:$G$225,4,FALSE)</f>
        <v>Ostali izdaci</v>
      </c>
      <c r="C40" s="471"/>
      <c r="D40" s="471"/>
      <c r="E40" s="471"/>
      <c r="F40" s="471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70" t="str">
        <f>+VLOOKUP($A47,Master!$D$27:$G$225,4,FALSE)</f>
        <v>Ostala prava iz zdravstvenog osiguranja</v>
      </c>
      <c r="C47" s="471"/>
      <c r="D47" s="471"/>
      <c r="E47" s="471"/>
      <c r="F47" s="471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88" t="str">
        <f>+VLOOKUP($A50,Master!$D$27:$G$225,4,FALSE)</f>
        <v>Pozajmice i krediti</v>
      </c>
      <c r="C50" s="489"/>
      <c r="D50" s="489"/>
      <c r="E50" s="489"/>
      <c r="F50" s="489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88" t="str">
        <f>+VLOOKUP($A51,Master!$D$27:$G$225,4,FALSE)</f>
        <v>Rezerve</v>
      </c>
      <c r="C51" s="489"/>
      <c r="D51" s="489"/>
      <c r="E51" s="489"/>
      <c r="F51" s="489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90" t="str">
        <f>+VLOOKUP($A53,Master!$D$27:$G$225,4,TRUE)</f>
        <v>Otplata obaveza iz prethodnih godina</v>
      </c>
      <c r="C53" s="491"/>
      <c r="D53" s="491"/>
      <c r="E53" s="491"/>
      <c r="F53" s="491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76" t="str">
        <f>+VLOOKUP($A54,Master!$D$27:$G$227,4,FALSE)</f>
        <v>Neto povećanje obaveza</v>
      </c>
      <c r="C54" s="577"/>
      <c r="D54" s="577"/>
      <c r="E54" s="577"/>
      <c r="F54" s="577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80" t="str">
        <f>+VLOOKUP($A55,Master!$D$27:$G$225,4,FALSE)</f>
        <v>Suficit / deficit</v>
      </c>
      <c r="C55" s="581"/>
      <c r="D55" s="581"/>
      <c r="E55" s="581"/>
      <c r="F55" s="581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6" t="str">
        <f>+VLOOKUP($A57,Master!$D$27:$G$225,4,FALSE)</f>
        <v>Otplata dugova</v>
      </c>
      <c r="C57" s="487"/>
      <c r="D57" s="487"/>
      <c r="E57" s="487"/>
      <c r="F57" s="487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512" t="str">
        <f>+VLOOKUP($A58,Master!$D$27:$G$225,4,FALSE)</f>
        <v>Otplata hartija od vrijednosti i kredita rezidentima</v>
      </c>
      <c r="C58" s="513"/>
      <c r="D58" s="513"/>
      <c r="E58" s="513"/>
      <c r="F58" s="513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88" t="str">
        <f>+VLOOKUP($A59,Master!$D$27:$G$225,4,FALSE)</f>
        <v>Otplata hartija od vrijednosti i kredita nerezidentima</v>
      </c>
      <c r="C59" s="489"/>
      <c r="D59" s="489"/>
      <c r="E59" s="489"/>
      <c r="F59" s="489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514" t="str">
        <f>+VLOOKUP($A60,Master!$D$27:$G$225,4,FALSE)</f>
        <v>Nedostajuća sredstva</v>
      </c>
      <c r="C60" s="515"/>
      <c r="D60" s="515"/>
      <c r="E60" s="515"/>
      <c r="F60" s="515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8" t="str">
        <f>+VLOOKUP($A61,Master!$D$27:$G$225,4,FALSE)</f>
        <v>Finansiranje</v>
      </c>
      <c r="C61" s="479"/>
      <c r="D61" s="479"/>
      <c r="E61" s="479"/>
      <c r="F61" s="479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512" t="str">
        <f>+VLOOKUP($A62,Master!$D$27:$G$225,4,FALSE)</f>
        <v>Pozajmice i krediti od domaćih izvora</v>
      </c>
      <c r="C62" s="513"/>
      <c r="D62" s="513"/>
      <c r="E62" s="513"/>
      <c r="F62" s="513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88" t="str">
        <f>+VLOOKUP($A63,Master!$D$27:$G$225,4,FALSE)</f>
        <v>Pozajmice i krediti od inostranih izvora</v>
      </c>
      <c r="C63" s="489"/>
      <c r="D63" s="489"/>
      <c r="E63" s="489"/>
      <c r="F63" s="489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88" t="str">
        <f>+VLOOKUP($A64,Master!$D$27:$G$225,4,FALSE)</f>
        <v>Primici od prodaje imovine</v>
      </c>
      <c r="C64" s="489"/>
      <c r="D64" s="489"/>
      <c r="E64" s="489"/>
      <c r="F64" s="489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42" t="str">
        <f>+Master!G252</f>
        <v>Plan ostvarenja budžeta</v>
      </c>
      <c r="C101" s="543"/>
      <c r="D101" s="543"/>
      <c r="E101" s="543"/>
      <c r="F101" s="543"/>
      <c r="G101" s="533">
        <v>2014</v>
      </c>
      <c r="H101" s="534"/>
      <c r="I101" s="534"/>
      <c r="J101" s="534"/>
      <c r="K101" s="534"/>
      <c r="L101" s="534"/>
      <c r="M101" s="534"/>
      <c r="N101" s="534"/>
      <c r="O101" s="534"/>
      <c r="P101" s="534"/>
      <c r="Q101" s="534"/>
      <c r="R101" s="535"/>
      <c r="S101" s="115" t="str">
        <f>+S7</f>
        <v>BDP</v>
      </c>
      <c r="T101" s="116">
        <v>3393200615</v>
      </c>
    </row>
    <row r="102" spans="1:21" ht="15.75" customHeight="1">
      <c r="B102" s="544"/>
      <c r="C102" s="545"/>
      <c r="D102" s="545"/>
      <c r="E102" s="545"/>
      <c r="F102" s="54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33" t="str">
        <f>+Master!G246</f>
        <v>Jan - Dec</v>
      </c>
      <c r="T102" s="535">
        <f>+T8</f>
        <v>0</v>
      </c>
    </row>
    <row r="103" spans="1:21" ht="13.5" thickBot="1">
      <c r="B103" s="547"/>
      <c r="C103" s="548"/>
      <c r="D103" s="548"/>
      <c r="E103" s="548"/>
      <c r="F103" s="549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6" t="str">
        <f>+VLOOKUP(LEFT($A104,LEN(A104)-1)*1,Master!$D$27:$G$225,4,FALSE)</f>
        <v>Prihodi budžeta</v>
      </c>
      <c r="C104" s="537"/>
      <c r="D104" s="537"/>
      <c r="E104" s="537"/>
      <c r="F104" s="537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8" t="str">
        <f>+VLOOKUP(LEFT($A105,LEN(A105)-1)*1,Master!$D$27:$G$225,4,FALSE)</f>
        <v>Porezi</v>
      </c>
      <c r="C105" s="539"/>
      <c r="D105" s="539"/>
      <c r="E105" s="539"/>
      <c r="F105" s="539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40" t="str">
        <f>+VLOOKUP(LEFT($A106,LEN(A106)-1)*1,Master!$D$27:$G$225,4,FALSE)</f>
        <v>Porez na dohodak fizičkih lica</v>
      </c>
      <c r="C106" s="541"/>
      <c r="D106" s="541"/>
      <c r="E106" s="541"/>
      <c r="F106" s="541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40" t="str">
        <f>+VLOOKUP(LEFT($A107,LEN(A107)-1)*1,Master!$D$27:$G$225,4,FALSE)</f>
        <v>Porez na dobit pravnih lica</v>
      </c>
      <c r="C107" s="541"/>
      <c r="D107" s="541"/>
      <c r="E107" s="541"/>
      <c r="F107" s="541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40" t="str">
        <f>+VLOOKUP(LEFT($A108,LEN(A108)-1)*1,Master!$D$27:$G$225,4,FALSE)</f>
        <v>Porez na promet nepokretnosti</v>
      </c>
      <c r="C108" s="541"/>
      <c r="D108" s="541"/>
      <c r="E108" s="541"/>
      <c r="F108" s="541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40" t="str">
        <f>+VLOOKUP(LEFT($A109,LEN(A109)-1)*1,Master!$D$27:$G$225,4,FALSE)</f>
        <v>Porez na dodatu vrijednost</v>
      </c>
      <c r="C109" s="541"/>
      <c r="D109" s="541"/>
      <c r="E109" s="541"/>
      <c r="F109" s="541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40" t="str">
        <f>+VLOOKUP(LEFT($A110,LEN(A110)-1)*1,Master!$D$27:$G$225,4,FALSE)</f>
        <v>Akcize</v>
      </c>
      <c r="C110" s="541"/>
      <c r="D110" s="541"/>
      <c r="E110" s="541"/>
      <c r="F110" s="541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40" t="str">
        <f>+VLOOKUP(LEFT($A111,LEN(A111)-1)*1,Master!$D$27:$G$225,4,FALSE)</f>
        <v>Porez na međunarodnu trgovinu i transakcije</v>
      </c>
      <c r="C111" s="541"/>
      <c r="D111" s="541"/>
      <c r="E111" s="541"/>
      <c r="F111" s="541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40" t="e">
        <f>+VLOOKUP(LEFT($A112,LEN(A112)-1)*1,Master!$D$27:$G$225,4,FALSE)</f>
        <v>#REF!</v>
      </c>
      <c r="C112" s="541"/>
      <c r="D112" s="541"/>
      <c r="E112" s="541"/>
      <c r="F112" s="541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40" t="str">
        <f>+VLOOKUP(LEFT($A113,LEN(A113)-1)*1,Master!$D$27:$G$225,4,FALSE)</f>
        <v>Ostali državni porezi</v>
      </c>
      <c r="C113" s="541"/>
      <c r="D113" s="541"/>
      <c r="E113" s="541"/>
      <c r="F113" s="541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52" t="str">
        <f>+VLOOKUP(LEFT($A114,LEN(A114)-1)*1,Master!$D$27:$G$225,4,FALSE)</f>
        <v>Doprinosi</v>
      </c>
      <c r="C114" s="553"/>
      <c r="D114" s="553"/>
      <c r="E114" s="553"/>
      <c r="F114" s="553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40" t="str">
        <f>+VLOOKUP(LEFT($A115,LEN(A115)-1)*1,Master!$D$27:$G$225,4,FALSE)</f>
        <v>Doprinosi za penzijsko i invalidsko osiguranje</v>
      </c>
      <c r="C115" s="541"/>
      <c r="D115" s="541"/>
      <c r="E115" s="541"/>
      <c r="F115" s="541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40" t="str">
        <f>+VLOOKUP(LEFT($A116,LEN(A116)-1)*1,Master!$D$27:$G$225,4,FALSE)</f>
        <v>Doprinosi za zdravstveno osiguranje</v>
      </c>
      <c r="C116" s="541"/>
      <c r="D116" s="541"/>
      <c r="E116" s="541"/>
      <c r="F116" s="541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40" t="str">
        <f>+VLOOKUP(LEFT($A117,LEN(A117)-1)*1,Master!$D$27:$G$225,4,FALSE)</f>
        <v>Doprinosi za osiguranje od nezaposlenosti</v>
      </c>
      <c r="C117" s="541"/>
      <c r="D117" s="541"/>
      <c r="E117" s="541"/>
      <c r="F117" s="541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40" t="str">
        <f>+VLOOKUP(LEFT($A118,LEN(A118)-1)*1,Master!$D$27:$G$225,4,FALSE)</f>
        <v>Ostali doprinosi</v>
      </c>
      <c r="C118" s="541"/>
      <c r="D118" s="541"/>
      <c r="E118" s="541"/>
      <c r="F118" s="541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50" t="str">
        <f>+VLOOKUP(LEFT($A119,LEN(A119)-1)*1,Master!$D$27:$G$225,4,FALSE)</f>
        <v>Takse</v>
      </c>
      <c r="C119" s="551"/>
      <c r="D119" s="551"/>
      <c r="E119" s="551"/>
      <c r="F119" s="551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50" t="str">
        <f>+VLOOKUP(LEFT($A120,LEN(A120)-1)*1,Master!$D$27:$G$225,4,FALSE)</f>
        <v>Naknade</v>
      </c>
      <c r="C120" s="551"/>
      <c r="D120" s="551"/>
      <c r="E120" s="551"/>
      <c r="F120" s="551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50" t="str">
        <f>+VLOOKUP(LEFT($A121,LEN(A121)-1)*1,Master!$D$27:$G$225,4,FALSE)</f>
        <v>Ostali prihodi</v>
      </c>
      <c r="C121" s="551"/>
      <c r="D121" s="551"/>
      <c r="E121" s="551"/>
      <c r="F121" s="551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50" t="str">
        <f>+VLOOKUP(LEFT($A122,LEN(A122)-1)*1,Master!$D$27:$G$225,4,FALSE)</f>
        <v>Primici od otplate kredita i sredstva prenesena iz prethodne godine</v>
      </c>
      <c r="C122" s="551"/>
      <c r="D122" s="551"/>
      <c r="E122" s="551"/>
      <c r="F122" s="551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54" t="str">
        <f>+VLOOKUP(LEFT($A123,LEN(A123)-1)*1,Master!$D$27:$G$225,4,FALSE)</f>
        <v>Donacije i transferi</v>
      </c>
      <c r="C123" s="555"/>
      <c r="D123" s="555"/>
      <c r="E123" s="555"/>
      <c r="F123" s="555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56" t="str">
        <f>+VLOOKUP(LEFT($A124,LEN(A124)-1)*1,Master!$D$27:$G$225,4,FALSE)</f>
        <v>Budžetski izdaci</v>
      </c>
      <c r="C124" s="557"/>
      <c r="D124" s="557"/>
      <c r="E124" s="557"/>
      <c r="F124" s="55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58" t="str">
        <f>+VLOOKUP(LEFT($A125,LEN(A125)-1)*1,Master!$D$27:$G$225,4,FALSE)</f>
        <v>Tekući izdaci</v>
      </c>
      <c r="C125" s="559"/>
      <c r="D125" s="559"/>
      <c r="E125" s="559"/>
      <c r="F125" s="559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60" t="str">
        <f>+VLOOKUP(LEFT($A126,LEN(A126)-1)*1,Master!$D$27:$G$225,4,FALSE)</f>
        <v>Tekuća budžetska potrošnja</v>
      </c>
      <c r="C126" s="561"/>
      <c r="D126" s="561"/>
      <c r="E126" s="561"/>
      <c r="F126" s="561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40" t="str">
        <f>+VLOOKUP(LEFT($A127,LEN(A127)-1)*1,Master!$D$27:$G$225,4,FALSE)</f>
        <v>Bruto zarade i doprinosi na teret poslodavca</v>
      </c>
      <c r="C127" s="541"/>
      <c r="D127" s="541"/>
      <c r="E127" s="541"/>
      <c r="F127" s="541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40" t="str">
        <f>+VLOOKUP(LEFT($A128,LEN(A128)-1)*1,Master!$D$27:$G$225,4,FALSE)</f>
        <v>Ostala lična primanja</v>
      </c>
      <c r="C128" s="541"/>
      <c r="D128" s="541"/>
      <c r="E128" s="541"/>
      <c r="F128" s="541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40" t="str">
        <f>+VLOOKUP(LEFT($A129,LEN(A129)-1)*1,Master!$D$27:$G$225,4,FALSE)</f>
        <v>Rashodi za materijal</v>
      </c>
      <c r="C129" s="541"/>
      <c r="D129" s="541"/>
      <c r="E129" s="541"/>
      <c r="F129" s="541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40" t="str">
        <f>+VLOOKUP(LEFT($A130,LEN(A130)-1)*1,Master!$D$27:$G$225,4,FALSE)</f>
        <v>Rashodi za usluge</v>
      </c>
      <c r="C130" s="541"/>
      <c r="D130" s="541"/>
      <c r="E130" s="541"/>
      <c r="F130" s="541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40" t="str">
        <f>+VLOOKUP(LEFT($A131,LEN(A131)-1)*1,Master!$D$27:$G$225,4,FALSE)</f>
        <v>Rashodi za tekuće održavanje</v>
      </c>
      <c r="C131" s="541"/>
      <c r="D131" s="541"/>
      <c r="E131" s="541"/>
      <c r="F131" s="541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40" t="str">
        <f>+VLOOKUP(LEFT($A132,LEN(A132)-1)*1,Master!$D$27:$G$225,4,FALSE)</f>
        <v>Kamate</v>
      </c>
      <c r="C132" s="541"/>
      <c r="D132" s="541"/>
      <c r="E132" s="541"/>
      <c r="F132" s="541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40" t="str">
        <f>+VLOOKUP(LEFT($A133,LEN(A133)-1)*1,Master!$D$27:$G$225,4,FALSE)</f>
        <v>Renta</v>
      </c>
      <c r="C133" s="541"/>
      <c r="D133" s="541"/>
      <c r="E133" s="541"/>
      <c r="F133" s="541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40" t="str">
        <f>+VLOOKUP(LEFT($A134,LEN(A134)-1)*1,Master!$D$27:$G$225,4,FALSE)</f>
        <v>Subvencije</v>
      </c>
      <c r="C134" s="541"/>
      <c r="D134" s="541"/>
      <c r="E134" s="541"/>
      <c r="F134" s="541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40" t="str">
        <f>+VLOOKUP(LEFT($A135,LEN(A135)-1)*1,Master!$D$27:$G$225,4,FALSE)</f>
        <v>Ostali izdaci</v>
      </c>
      <c r="C135" s="541"/>
      <c r="D135" s="541"/>
      <c r="E135" s="541"/>
      <c r="F135" s="541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40" t="str">
        <f>+VLOOKUP(LEFT($A136,LEN(A136)-1)*1,Master!$D$27:$G$225,4,FALSE)</f>
        <v>Kapitalni izdaci u tekućem budžetu</v>
      </c>
      <c r="C136" s="541"/>
      <c r="D136" s="541"/>
      <c r="E136" s="541"/>
      <c r="F136" s="541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64" t="str">
        <f>+VLOOKUP(LEFT($A137,LEN(A137)-1)*1,Master!$D$27:$G$225,4,FALSE)</f>
        <v>Transferi za socijalnu zaštitu</v>
      </c>
      <c r="C137" s="565"/>
      <c r="D137" s="565"/>
      <c r="E137" s="565"/>
      <c r="F137" s="565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40" t="str">
        <f>+VLOOKUP(LEFT($A138,LEN(A138)-1)*1,Master!$D$27:$G$225,4,FALSE)</f>
        <v>Prava iz oblasti socijalne zaštite</v>
      </c>
      <c r="C138" s="541"/>
      <c r="D138" s="541"/>
      <c r="E138" s="541"/>
      <c r="F138" s="541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40" t="str">
        <f>+VLOOKUP(LEFT($A139,LEN(A139)-1)*1,Master!$D$27:$G$225,4,FALSE)</f>
        <v>Sredstva za tehnološke viškove</v>
      </c>
      <c r="C139" s="541"/>
      <c r="D139" s="541"/>
      <c r="E139" s="541"/>
      <c r="F139" s="541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40" t="str">
        <f>+VLOOKUP(LEFT($A140,LEN(A140)-1)*1,Master!$D$27:$G$225,4,FALSE)</f>
        <v>Prava iz oblasti penzijskog i invalidskog osiguranja</v>
      </c>
      <c r="C140" s="541"/>
      <c r="D140" s="541"/>
      <c r="E140" s="541"/>
      <c r="F140" s="541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40" t="str">
        <f>+VLOOKUP(LEFT($A141,LEN(A141)-1)*1,Master!$D$27:$G$225,4,FALSE)</f>
        <v>Ostala prava iz oblasti zdravstvene zaštite</v>
      </c>
      <c r="C141" s="541"/>
      <c r="D141" s="541"/>
      <c r="E141" s="541"/>
      <c r="F141" s="541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40" t="str">
        <f>+VLOOKUP(LEFT($A142,LEN(A142)-1)*1,Master!$D$27:$G$225,4,FALSE)</f>
        <v>Ostala prava iz zdravstvenog osiguranja</v>
      </c>
      <c r="C142" s="541"/>
      <c r="D142" s="541"/>
      <c r="E142" s="541"/>
      <c r="F142" s="541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62" t="str">
        <f>+VLOOKUP(LEFT($A143,LEN(A143)-1)*1,Master!$D$27:$G$225,4,FALSE)</f>
        <v xml:space="preserve">Transferi institucijama, pojedincima, nevladinom i javnom sektoru </v>
      </c>
      <c r="C143" s="563"/>
      <c r="D143" s="563"/>
      <c r="E143" s="563"/>
      <c r="F143" s="563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62" t="str">
        <f>+VLOOKUP(LEFT($A144,LEN(A144)-1)*1,Master!$D$27:$G$225,4,FALSE)</f>
        <v>Kapitalni budžet</v>
      </c>
      <c r="C144" s="563"/>
      <c r="D144" s="563"/>
      <c r="E144" s="563"/>
      <c r="F144" s="563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66" t="str">
        <f>+VLOOKUP(LEFT($A145,LEN(A145)-1)*1,Master!$D$27:$G$225,4,FALSE)</f>
        <v>Pozajmice i krediti</v>
      </c>
      <c r="C145" s="567"/>
      <c r="D145" s="567"/>
      <c r="E145" s="567"/>
      <c r="F145" s="567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66" t="str">
        <f>+VLOOKUP(LEFT($A146,LEN(A146)-1)*1,Master!$D$27:$G$225,4,FALSE)</f>
        <v>Rezerve</v>
      </c>
      <c r="C146" s="567"/>
      <c r="D146" s="567"/>
      <c r="E146" s="567"/>
      <c r="F146" s="567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76" t="str">
        <f>+VLOOKUP(LEFT($A147,LEN(A147)-1)*1,Master!$D$27:$G$225,4,FALSE)</f>
        <v>Otplata garancija</v>
      </c>
      <c r="C147" s="577"/>
      <c r="D147" s="577"/>
      <c r="E147" s="577"/>
      <c r="F147" s="577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72" t="str">
        <f>+VLOOKUP(LEFT($A148,LEN(A148)-1)*1,Master!$D$27:$G$225,4,FALSE)</f>
        <v>Suficit / deficit</v>
      </c>
      <c r="C148" s="573"/>
      <c r="D148" s="573"/>
      <c r="E148" s="573"/>
      <c r="F148" s="57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74" t="str">
        <f>+VLOOKUP(LEFT($A149,LEN(A149)-1)*1,Master!$D$27:$G$225,4,FALSE)</f>
        <v>Primarni bilans</v>
      </c>
      <c r="C149" s="575"/>
      <c r="D149" s="575"/>
      <c r="E149" s="575"/>
      <c r="F149" s="57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64" t="str">
        <f>+VLOOKUP(LEFT($A150,LEN(A150)-1)*1,Master!$D$27:$G$225,4,FALSE)</f>
        <v>Otplata dugova</v>
      </c>
      <c r="C150" s="565"/>
      <c r="D150" s="565"/>
      <c r="E150" s="565"/>
      <c r="F150" s="565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68" t="str">
        <f>+VLOOKUP(LEFT($A151,LEN(A151)-1)*1,Master!$D$27:$G$225,4,FALSE)</f>
        <v>Otplata hartija od vrijednosti i kredita rezidentima</v>
      </c>
      <c r="C151" s="569"/>
      <c r="D151" s="569"/>
      <c r="E151" s="569"/>
      <c r="F151" s="569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66" t="str">
        <f>+VLOOKUP(LEFT($A152,LEN(A152)-1)*1,Master!$D$27:$G$225,4,FALSE)</f>
        <v>Otplata hartija od vrijednosti i kredita nerezidentima</v>
      </c>
      <c r="C152" s="567"/>
      <c r="D152" s="567"/>
      <c r="E152" s="567"/>
      <c r="F152" s="567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76" t="str">
        <f>+VLOOKUP(LEFT($A153,LEN(A153)-1)*1,Master!$D$27:$G$225,4,FALSE)</f>
        <v>Otplata obaveza iz prethodnih godina</v>
      </c>
      <c r="C153" s="577"/>
      <c r="D153" s="577"/>
      <c r="E153" s="577"/>
      <c r="F153" s="577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70" t="str">
        <f>+VLOOKUP(LEFT($A154,LEN(A154)-1)*1,Master!$D$27:$G$225,4,FALSE)</f>
        <v>Nedostajuća sredstva</v>
      </c>
      <c r="C154" s="571"/>
      <c r="D154" s="571"/>
      <c r="E154" s="571"/>
      <c r="F154" s="571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56" t="str">
        <f>+VLOOKUP(LEFT($A155,LEN(A155)-1)*1,Master!$D$27:$G$225,4,FALSE)</f>
        <v>Finansiranje</v>
      </c>
      <c r="C155" s="557"/>
      <c r="D155" s="557"/>
      <c r="E155" s="557"/>
      <c r="F155" s="55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68" t="str">
        <f>+VLOOKUP(LEFT($A156,LEN(A156)-1)*1,Master!$D$27:$G$225,4,FALSE)</f>
        <v>Pozajmice i krediti od domaćih izvora</v>
      </c>
      <c r="C156" s="569"/>
      <c r="D156" s="569"/>
      <c r="E156" s="569"/>
      <c r="F156" s="569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66" t="str">
        <f>+VLOOKUP(LEFT($A157,LEN(A157)-1)*1,Master!$D$27:$G$225,4,FALSE)</f>
        <v>Pozajmice i krediti od inostranih izvora</v>
      </c>
      <c r="C157" s="567"/>
      <c r="D157" s="567"/>
      <c r="E157" s="567"/>
      <c r="F157" s="567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66" t="str">
        <f>+VLOOKUP(LEFT($A158,LEN(A158)-1)*1,Master!$D$27:$G$225,4,FALSE)</f>
        <v>Primici od prodaje imovine</v>
      </c>
      <c r="C158" s="567"/>
      <c r="D158" s="567"/>
      <c r="E158" s="567"/>
      <c r="F158" s="567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42" t="str">
        <f>+Master!G251</f>
        <v>Ostvarenje budžeta</v>
      </c>
      <c r="C7" s="543"/>
      <c r="D7" s="543"/>
      <c r="E7" s="543"/>
      <c r="F7" s="543"/>
      <c r="G7" s="533">
        <v>2013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5"/>
      <c r="V7" s="360"/>
      <c r="W7" s="115" t="str">
        <f>+Master!G248</f>
        <v>BDP</v>
      </c>
      <c r="X7" s="116">
        <v>3327000000</v>
      </c>
    </row>
    <row r="8" spans="1:24" ht="16.5" customHeight="1">
      <c r="B8" s="544"/>
      <c r="C8" s="545"/>
      <c r="D8" s="545"/>
      <c r="E8" s="545"/>
      <c r="F8" s="546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33" t="s">
        <v>701</v>
      </c>
      <c r="X8" s="535"/>
    </row>
    <row r="9" spans="1:24" ht="13.5" thickBot="1">
      <c r="B9" s="547"/>
      <c r="C9" s="548"/>
      <c r="D9" s="548"/>
      <c r="E9" s="548"/>
      <c r="F9" s="549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36" t="str">
        <f>+VLOOKUP($A10,Master!$D$27:$G$225,4,FALSE)</f>
        <v>Prihodi budžeta</v>
      </c>
      <c r="C10" s="537"/>
      <c r="D10" s="537"/>
      <c r="E10" s="537"/>
      <c r="F10" s="537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8" t="str">
        <f>+VLOOKUP($A11,Master!$D$27:$G$225,4,FALSE)</f>
        <v>Porezi</v>
      </c>
      <c r="C11" s="539"/>
      <c r="D11" s="539"/>
      <c r="E11" s="539"/>
      <c r="F11" s="539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40" t="str">
        <f>+VLOOKUP($A12,Master!$D$27:$G$225,4,FALSE)</f>
        <v>Porez na dohodak fizičkih lica</v>
      </c>
      <c r="C12" s="541"/>
      <c r="D12" s="541"/>
      <c r="E12" s="541"/>
      <c r="F12" s="541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40" t="str">
        <f>+VLOOKUP($A13,Master!$D$27:$G$225,4,FALSE)</f>
        <v>Porez na dobit pravnih lica</v>
      </c>
      <c r="C13" s="541"/>
      <c r="D13" s="541"/>
      <c r="E13" s="541"/>
      <c r="F13" s="541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40" t="str">
        <f>+VLOOKUP($A14,Master!$D$27:$G$225,4,FALSE)</f>
        <v>Porez na promet nepokretnosti</v>
      </c>
      <c r="C14" s="541"/>
      <c r="D14" s="541"/>
      <c r="E14" s="541"/>
      <c r="F14" s="541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40" t="str">
        <f>+VLOOKUP($A15,Master!$D$27:$G$225,4,FALSE)</f>
        <v>Porez na dodatu vrijednost</v>
      </c>
      <c r="C15" s="541"/>
      <c r="D15" s="541"/>
      <c r="E15" s="541"/>
      <c r="F15" s="541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40" t="str">
        <f>+VLOOKUP($A16,Master!$D$27:$G$225,4,FALSE)</f>
        <v>Akcize</v>
      </c>
      <c r="C16" s="541"/>
      <c r="D16" s="541"/>
      <c r="E16" s="541"/>
      <c r="F16" s="541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40" t="str">
        <f>+VLOOKUP($A17,Master!$D$27:$G$225,4,FALSE)</f>
        <v>Porez na međunarodnu trgovinu i transakcije</v>
      </c>
      <c r="C17" s="541"/>
      <c r="D17" s="541"/>
      <c r="E17" s="541"/>
      <c r="F17" s="541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40" t="e">
        <f>+VLOOKUP($A18,Master!$D$27:$G$225,4,FALSE)</f>
        <v>#N/A</v>
      </c>
      <c r="C18" s="541"/>
      <c r="D18" s="541"/>
      <c r="E18" s="541"/>
      <c r="F18" s="541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40" t="str">
        <f>+VLOOKUP($A19,Master!$D$27:$G$225,4,FALSE)</f>
        <v>Ostali državni porezi</v>
      </c>
      <c r="C19" s="541"/>
      <c r="D19" s="541"/>
      <c r="E19" s="541"/>
      <c r="F19" s="541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52" t="str">
        <f>+VLOOKUP($A20,Master!$D$27:$G$225,4,FALSE)</f>
        <v>Doprinosi</v>
      </c>
      <c r="C20" s="553"/>
      <c r="D20" s="553"/>
      <c r="E20" s="553"/>
      <c r="F20" s="553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40" t="str">
        <f>+VLOOKUP($A21,Master!$D$27:$G$225,4,FALSE)</f>
        <v>Doprinosi za penzijsko i invalidsko osiguranje</v>
      </c>
      <c r="C21" s="541"/>
      <c r="D21" s="541"/>
      <c r="E21" s="541"/>
      <c r="F21" s="541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40" t="str">
        <f>+VLOOKUP($A22,Master!$D$27:$G$225,4,FALSE)</f>
        <v>Doprinosi za zdravstveno osiguranje</v>
      </c>
      <c r="C22" s="541"/>
      <c r="D22" s="541"/>
      <c r="E22" s="541"/>
      <c r="F22" s="541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40" t="str">
        <f>+VLOOKUP($A23,Master!$D$27:$G$225,4,FALSE)</f>
        <v>Doprinosi za osiguranje od nezaposlenosti</v>
      </c>
      <c r="C23" s="541"/>
      <c r="D23" s="541"/>
      <c r="E23" s="541"/>
      <c r="F23" s="541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40" t="str">
        <f>+VLOOKUP($A24,Master!$D$27:$G$225,4,FALSE)</f>
        <v>Ostali doprinosi</v>
      </c>
      <c r="C24" s="541"/>
      <c r="D24" s="541"/>
      <c r="E24" s="541"/>
      <c r="F24" s="541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50" t="str">
        <f>+VLOOKUP($A25,Master!$D$27:$G$225,4,FALSE)</f>
        <v>Takse</v>
      </c>
      <c r="C25" s="551"/>
      <c r="D25" s="551"/>
      <c r="E25" s="551"/>
      <c r="F25" s="55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50" t="str">
        <f>+VLOOKUP($A26,Master!$D$27:$G$225,4,FALSE)</f>
        <v>Naknade</v>
      </c>
      <c r="C26" s="551"/>
      <c r="D26" s="551"/>
      <c r="E26" s="551"/>
      <c r="F26" s="55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50" t="str">
        <f>+VLOOKUP($A27,Master!$D$27:$G$225,4,FALSE)</f>
        <v>Ostali prihodi</v>
      </c>
      <c r="C27" s="551"/>
      <c r="D27" s="551"/>
      <c r="E27" s="551"/>
      <c r="F27" s="55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50" t="str">
        <f>+VLOOKUP($A28,Master!$D$27:$G$225,4,FALSE)</f>
        <v>Primici od otplate kredita i sredstva prenesena iz prethodne godine</v>
      </c>
      <c r="C28" s="551"/>
      <c r="D28" s="551"/>
      <c r="E28" s="551"/>
      <c r="F28" s="55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54" t="str">
        <f>+VLOOKUP($A29,Master!$D$27:$G$225,4,FALSE)</f>
        <v>Donacije i transferi</v>
      </c>
      <c r="C29" s="555"/>
      <c r="D29" s="555"/>
      <c r="E29" s="555"/>
      <c r="F29" s="55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56" t="str">
        <f>+VLOOKUP($A30,Master!$D$27:$G$225,4,FALSE)</f>
        <v>Budžetski izdaci</v>
      </c>
      <c r="C30" s="557"/>
      <c r="D30" s="557"/>
      <c r="E30" s="557"/>
      <c r="F30" s="55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58" t="str">
        <f>+VLOOKUP($A31,Master!$D$27:$G$225,4,FALSE)</f>
        <v>Tekući izdaci</v>
      </c>
      <c r="C31" s="559"/>
      <c r="D31" s="559"/>
      <c r="E31" s="559"/>
      <c r="F31" s="559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60" t="str">
        <f>+VLOOKUP($A32,Master!$D$27:$G$225,4,FALSE)</f>
        <v>Tekuća budžetska potrošnja</v>
      </c>
      <c r="C32" s="561"/>
      <c r="D32" s="561"/>
      <c r="E32" s="561"/>
      <c r="F32" s="561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40" t="str">
        <f>+VLOOKUP($A33,Master!$D$27:$G$225,4,FALSE)</f>
        <v>Bruto zarade i doprinosi na teret poslodavca</v>
      </c>
      <c r="C33" s="541"/>
      <c r="D33" s="541"/>
      <c r="E33" s="541"/>
      <c r="F33" s="541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40" t="str">
        <f>+VLOOKUP($A34,Master!$D$27:$G$225,4,FALSE)</f>
        <v>Ostala lična primanja</v>
      </c>
      <c r="C34" s="541"/>
      <c r="D34" s="541"/>
      <c r="E34" s="541"/>
      <c r="F34" s="541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40" t="str">
        <f>+VLOOKUP($A35,Master!$D$27:$G$225,4,FALSE)</f>
        <v>Rashodi za materijal</v>
      </c>
      <c r="C35" s="541"/>
      <c r="D35" s="541"/>
      <c r="E35" s="541"/>
      <c r="F35" s="541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40" t="str">
        <f>+VLOOKUP($A36,Master!$D$27:$G$225,4,FALSE)</f>
        <v>Rashodi za usluge</v>
      </c>
      <c r="C36" s="541"/>
      <c r="D36" s="541"/>
      <c r="E36" s="541"/>
      <c r="F36" s="541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40" t="str">
        <f>+VLOOKUP($A37,Master!$D$27:$G$225,4,FALSE)</f>
        <v>Rashodi za tekuće održavanje</v>
      </c>
      <c r="C37" s="541"/>
      <c r="D37" s="541"/>
      <c r="E37" s="541"/>
      <c r="F37" s="541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40" t="str">
        <f>+VLOOKUP($A38,Master!$D$27:$G$225,4,FALSE)</f>
        <v>Kamate</v>
      </c>
      <c r="C38" s="541"/>
      <c r="D38" s="541"/>
      <c r="E38" s="541"/>
      <c r="F38" s="541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40" t="str">
        <f>+VLOOKUP($A39,Master!$D$27:$G$225,4,FALSE)</f>
        <v>Renta</v>
      </c>
      <c r="C39" s="541"/>
      <c r="D39" s="541"/>
      <c r="E39" s="541"/>
      <c r="F39" s="541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40" t="str">
        <f>+VLOOKUP($A40,Master!$D$27:$G$225,4,FALSE)</f>
        <v>Subvencije</v>
      </c>
      <c r="C40" s="541"/>
      <c r="D40" s="541"/>
      <c r="E40" s="541"/>
      <c r="F40" s="541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40" t="str">
        <f>+VLOOKUP($A41,Master!$D$27:$G$225,4,FALSE)</f>
        <v>Ostali izdaci</v>
      </c>
      <c r="C41" s="541"/>
      <c r="D41" s="541"/>
      <c r="E41" s="541"/>
      <c r="F41" s="541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40" t="str">
        <f>+VLOOKUP($A42,Master!$D$27:$G$225,4,FALSE)</f>
        <v>Kapitalni izdaci u tekućem budžetu</v>
      </c>
      <c r="C42" s="541"/>
      <c r="D42" s="541"/>
      <c r="E42" s="541"/>
      <c r="F42" s="541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64" t="str">
        <f>+VLOOKUP($A43,Master!$D$27:$G$225,4,FALSE)</f>
        <v>Transferi za socijalnu zaštitu</v>
      </c>
      <c r="C43" s="565"/>
      <c r="D43" s="565"/>
      <c r="E43" s="565"/>
      <c r="F43" s="565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40" t="str">
        <f>+VLOOKUP($A44,Master!$D$27:$G$225,4,FALSE)</f>
        <v>Prava iz oblasti socijalne zaštite</v>
      </c>
      <c r="C44" s="541"/>
      <c r="D44" s="541"/>
      <c r="E44" s="541"/>
      <c r="F44" s="541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40" t="str">
        <f>+VLOOKUP($A45,Master!$D$27:$G$225,4,FALSE)</f>
        <v>Sredstva za tehnološke viškove</v>
      </c>
      <c r="C45" s="541"/>
      <c r="D45" s="541"/>
      <c r="E45" s="541"/>
      <c r="F45" s="541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40" t="str">
        <f>+VLOOKUP($A46,Master!$D$27:$G$225,4,FALSE)</f>
        <v>Prava iz oblasti penzijskog i invalidskog osiguranja</v>
      </c>
      <c r="C46" s="541"/>
      <c r="D46" s="541"/>
      <c r="E46" s="541"/>
      <c r="F46" s="541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40" t="str">
        <f>+VLOOKUP($A47,Master!$D$27:$G$225,4,FALSE)</f>
        <v>Ostala prava iz oblasti zdravstvene zaštite</v>
      </c>
      <c r="C47" s="541"/>
      <c r="D47" s="541"/>
      <c r="E47" s="541"/>
      <c r="F47" s="541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40" t="str">
        <f>+VLOOKUP($A48,Master!$D$27:$G$225,4,FALSE)</f>
        <v>Ostala prava iz zdravstvenog osiguranja</v>
      </c>
      <c r="C48" s="541"/>
      <c r="D48" s="541"/>
      <c r="E48" s="541"/>
      <c r="F48" s="541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62" t="str">
        <f>+VLOOKUP($A49,Master!$D$27:$G$225,4,FALSE)</f>
        <v xml:space="preserve">Transferi institucijama, pojedincima, nevladinom i javnom sektoru </v>
      </c>
      <c r="C49" s="563"/>
      <c r="D49" s="563"/>
      <c r="E49" s="563"/>
      <c r="F49" s="56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62" t="str">
        <f>+VLOOKUP($A50,Master!$D$27:$G$225,4,FALSE)</f>
        <v>Kapitalni budžet</v>
      </c>
      <c r="C50" s="563"/>
      <c r="D50" s="563"/>
      <c r="E50" s="563"/>
      <c r="F50" s="56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66" t="str">
        <f>+VLOOKUP($A51,Master!$D$27:$G$225,4,FALSE)</f>
        <v>Pozajmice i krediti</v>
      </c>
      <c r="C51" s="567"/>
      <c r="D51" s="567"/>
      <c r="E51" s="567"/>
      <c r="F51" s="56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66" t="str">
        <f>+VLOOKUP($A52,Master!$D$27:$G$225,4,FALSE)</f>
        <v>Rezerve</v>
      </c>
      <c r="C52" s="567"/>
      <c r="D52" s="567"/>
      <c r="E52" s="567"/>
      <c r="F52" s="56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76" t="str">
        <f>+VLOOKUP($A53,Master!$D$27:$G$225,4,FALSE)</f>
        <v>Otplata garancija</v>
      </c>
      <c r="C53" s="577"/>
      <c r="D53" s="577"/>
      <c r="E53" s="577"/>
      <c r="F53" s="57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76" t="str">
        <f>+VLOOKUP($A54,Master!$D$27:$G$225,4,FALSE)</f>
        <v>Otplata obaveza iz prethodnih godina</v>
      </c>
      <c r="C54" s="577"/>
      <c r="D54" s="577"/>
      <c r="E54" s="577"/>
      <c r="F54" s="57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76" t="str">
        <f>+VLOOKUP($A55,Master!$D$27:$G$227,4,FALSE)</f>
        <v>Neto povećanje obaveza</v>
      </c>
      <c r="C55" s="577"/>
      <c r="D55" s="577"/>
      <c r="E55" s="577"/>
      <c r="F55" s="57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72" t="str">
        <f>+VLOOKUP($A56,Master!$D$27:$G$225,4,FALSE)</f>
        <v>Suficit / deficit</v>
      </c>
      <c r="C56" s="573"/>
      <c r="D56" s="573"/>
      <c r="E56" s="573"/>
      <c r="F56" s="57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74" t="str">
        <f>+VLOOKUP($A57,Master!$D$27:$G$225,4,FALSE)</f>
        <v>Primarni bilans</v>
      </c>
      <c r="C57" s="575"/>
      <c r="D57" s="575"/>
      <c r="E57" s="575"/>
      <c r="F57" s="57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64" t="str">
        <f>+VLOOKUP($A58,Master!$D$27:$G$225,4,FALSE)</f>
        <v>Otplata dugova</v>
      </c>
      <c r="C58" s="565"/>
      <c r="D58" s="565"/>
      <c r="E58" s="565"/>
      <c r="F58" s="565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68" t="str">
        <f>+VLOOKUP($A59,Master!$D$27:$G$225,4,FALSE)</f>
        <v>Otplata hartija od vrijednosti i kredita rezidentima</v>
      </c>
      <c r="C59" s="569"/>
      <c r="D59" s="569"/>
      <c r="E59" s="569"/>
      <c r="F59" s="569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66" t="str">
        <f>+VLOOKUP($A60,Master!$D$27:$G$225,4,FALSE)</f>
        <v>Otplata hartija od vrijednosti i kredita nerezidentima</v>
      </c>
      <c r="C60" s="567"/>
      <c r="D60" s="567"/>
      <c r="E60" s="567"/>
      <c r="F60" s="56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70" t="str">
        <f>+VLOOKUP($A61,Master!$D$27:$G$225,4,FALSE)</f>
        <v>Nedostajuća sredstva</v>
      </c>
      <c r="C61" s="571"/>
      <c r="D61" s="571"/>
      <c r="E61" s="571"/>
      <c r="F61" s="571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56" t="str">
        <f>+VLOOKUP($A62,Master!$D$27:$G$225,4,FALSE)</f>
        <v>Finansiranje</v>
      </c>
      <c r="C62" s="557"/>
      <c r="D62" s="557"/>
      <c r="E62" s="557"/>
      <c r="F62" s="55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68" t="str">
        <f>+VLOOKUP($A63,Master!$D$27:$G$225,4,FALSE)</f>
        <v>Pozajmice i krediti od domaćih izvora</v>
      </c>
      <c r="C63" s="569"/>
      <c r="D63" s="569"/>
      <c r="E63" s="569"/>
      <c r="F63" s="569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66" t="str">
        <f>+VLOOKUP($A64,Master!$D$27:$G$225,4,FALSE)</f>
        <v>Pozajmice i krediti od inostranih izvora</v>
      </c>
      <c r="C64" s="567"/>
      <c r="D64" s="567"/>
      <c r="E64" s="567"/>
      <c r="F64" s="56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66" t="str">
        <f>+VLOOKUP($A65,Master!$D$27:$G$225,4,FALSE)</f>
        <v>Primici od prodaje imovine</v>
      </c>
      <c r="C65" s="567"/>
      <c r="D65" s="567"/>
      <c r="E65" s="567"/>
      <c r="F65" s="56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18" t="str">
        <f>+Master!G252</f>
        <v>Plan ostvarenja budžeta</v>
      </c>
      <c r="C102" s="499"/>
      <c r="D102" s="499"/>
      <c r="E102" s="499"/>
      <c r="F102" s="499"/>
      <c r="G102" s="507">
        <v>2013</v>
      </c>
      <c r="H102" s="508"/>
      <c r="I102" s="508"/>
      <c r="J102" s="508"/>
      <c r="K102" s="508"/>
      <c r="L102" s="508"/>
      <c r="M102" s="508"/>
      <c r="N102" s="508"/>
      <c r="O102" s="508"/>
      <c r="P102" s="508"/>
      <c r="Q102" s="508"/>
      <c r="R102" s="508"/>
      <c r="S102" s="508"/>
      <c r="T102" s="508"/>
      <c r="U102" s="511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500"/>
      <c r="C103" s="501"/>
      <c r="D103" s="501"/>
      <c r="E103" s="501"/>
      <c r="F103" s="502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507" t="str">
        <f>+Master!G246</f>
        <v>Jan - Dec</v>
      </c>
      <c r="X103" s="511">
        <f>+X8</f>
        <v>0</v>
      </c>
    </row>
    <row r="104" spans="1:24" ht="13.5" thickBot="1">
      <c r="A104" s="169"/>
      <c r="B104" s="503"/>
      <c r="C104" s="504"/>
      <c r="D104" s="504"/>
      <c r="E104" s="504"/>
      <c r="F104" s="505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66" t="str">
        <f>+VLOOKUP(LEFT($A105,LEN(A105)-1)*1,Master!$D$27:$G$225,4,FALSE)</f>
        <v>Prihodi budžeta</v>
      </c>
      <c r="C105" s="467"/>
      <c r="D105" s="467"/>
      <c r="E105" s="467"/>
      <c r="F105" s="467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68" t="str">
        <f>+VLOOKUP(LEFT($A106,LEN(A106)-1)*1,Master!$D$27:$G$225,4,FALSE)</f>
        <v>Porezi</v>
      </c>
      <c r="C106" s="469"/>
      <c r="D106" s="469"/>
      <c r="E106" s="469"/>
      <c r="F106" s="469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70" t="str">
        <f>+VLOOKUP(LEFT($A107,LEN(A107)-1)*1,Master!$D$27:$G$225,4,FALSE)</f>
        <v>Porez na dohodak fizičkih lica</v>
      </c>
      <c r="C107" s="471"/>
      <c r="D107" s="471"/>
      <c r="E107" s="471"/>
      <c r="F107" s="471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70" t="str">
        <f>+VLOOKUP(LEFT($A108,LEN(A108)-1)*1,Master!$D$27:$G$225,4,FALSE)</f>
        <v>Porez na dobit pravnih lica</v>
      </c>
      <c r="C108" s="471"/>
      <c r="D108" s="471"/>
      <c r="E108" s="471"/>
      <c r="F108" s="471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70" t="str">
        <f>+VLOOKUP(LEFT($A109,LEN(A109)-1)*1,Master!$D$27:$G$225,4,FALSE)</f>
        <v>Porez na promet nepokretnosti</v>
      </c>
      <c r="C109" s="471"/>
      <c r="D109" s="471"/>
      <c r="E109" s="471"/>
      <c r="F109" s="471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70" t="str">
        <f>+VLOOKUP(LEFT($A110,LEN(A110)-1)*1,Master!$D$27:$G$225,4,FALSE)</f>
        <v>Porez na dodatu vrijednost</v>
      </c>
      <c r="C110" s="471"/>
      <c r="D110" s="471"/>
      <c r="E110" s="471"/>
      <c r="F110" s="471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70" t="str">
        <f>+VLOOKUP(LEFT($A111,LEN(A111)-1)*1,Master!$D$27:$G$225,4,FALSE)</f>
        <v>Akcize</v>
      </c>
      <c r="C111" s="471"/>
      <c r="D111" s="471"/>
      <c r="E111" s="471"/>
      <c r="F111" s="471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70" t="str">
        <f>+VLOOKUP(LEFT($A112,LEN(A112)-1)*1,Master!$D$27:$G$225,4,FALSE)</f>
        <v>Porez na međunarodnu trgovinu i transakcije</v>
      </c>
      <c r="C112" s="471"/>
      <c r="D112" s="471"/>
      <c r="E112" s="471"/>
      <c r="F112" s="471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70" t="e">
        <f>+VLOOKUP(LEFT($A113,LEN(A113)-1)*1,Master!$D$27:$G$225,4,FALSE)</f>
        <v>#N/A</v>
      </c>
      <c r="C113" s="471"/>
      <c r="D113" s="471"/>
      <c r="E113" s="471"/>
      <c r="F113" s="471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70" t="str">
        <f>+VLOOKUP(LEFT($A114,LEN(A114)-1)*1,Master!$D$27:$G$225,4,FALSE)</f>
        <v>Ostali državni porezi</v>
      </c>
      <c r="C114" s="471"/>
      <c r="D114" s="471"/>
      <c r="E114" s="471"/>
      <c r="F114" s="471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74" t="str">
        <f>+VLOOKUP(LEFT($A115,LEN(A115)-1)*1,Master!$D$27:$G$225,4,FALSE)</f>
        <v>Doprinosi</v>
      </c>
      <c r="C115" s="475"/>
      <c r="D115" s="475"/>
      <c r="E115" s="475"/>
      <c r="F115" s="475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70" t="str">
        <f>+VLOOKUP(LEFT($A116,LEN(A116)-1)*1,Master!$D$27:$G$225,4,FALSE)</f>
        <v>Doprinosi za penzijsko i invalidsko osiguranje</v>
      </c>
      <c r="C116" s="471"/>
      <c r="D116" s="471"/>
      <c r="E116" s="471"/>
      <c r="F116" s="471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70" t="str">
        <f>+VLOOKUP(LEFT($A117,LEN(A117)-1)*1,Master!$D$27:$G$225,4,FALSE)</f>
        <v>Doprinosi za zdravstveno osiguranje</v>
      </c>
      <c r="C117" s="471"/>
      <c r="D117" s="471"/>
      <c r="E117" s="471"/>
      <c r="F117" s="471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70" t="str">
        <f>+VLOOKUP(LEFT($A118,LEN(A118)-1)*1,Master!$D$27:$G$225,4,FALSE)</f>
        <v>Doprinosi za osiguranje od nezaposlenosti</v>
      </c>
      <c r="C118" s="471"/>
      <c r="D118" s="471"/>
      <c r="E118" s="471"/>
      <c r="F118" s="471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70" t="str">
        <f>+VLOOKUP(LEFT($A119,LEN(A119)-1)*1,Master!$D$27:$G$225,4,FALSE)</f>
        <v>Ostali doprinosi</v>
      </c>
      <c r="C119" s="471"/>
      <c r="D119" s="471"/>
      <c r="E119" s="471"/>
      <c r="F119" s="471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72" t="str">
        <f>+VLOOKUP(LEFT($A120,LEN(A120)-1)*1,Master!$D$27:$G$225,4,FALSE)</f>
        <v>Takse</v>
      </c>
      <c r="C120" s="473"/>
      <c r="D120" s="473"/>
      <c r="E120" s="473"/>
      <c r="F120" s="473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72" t="str">
        <f>+VLOOKUP(LEFT($A121,LEN(A121)-1)*1,Master!$D$27:$G$225,4,FALSE)</f>
        <v>Naknade</v>
      </c>
      <c r="C121" s="473"/>
      <c r="D121" s="473"/>
      <c r="E121" s="473"/>
      <c r="F121" s="473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72" t="str">
        <f>+VLOOKUP(LEFT($A122,LEN(A122)-1)*1,Master!$D$27:$G$225,4,FALSE)</f>
        <v>Ostali prihodi</v>
      </c>
      <c r="C122" s="473"/>
      <c r="D122" s="473"/>
      <c r="E122" s="473"/>
      <c r="F122" s="473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72" t="str">
        <f>+VLOOKUP(LEFT($A123,LEN(A123)-1)*1,Master!$D$27:$G$225,4,FALSE)</f>
        <v>Primici od otplate kredita i sredstva prenesena iz prethodne godine</v>
      </c>
      <c r="C123" s="473"/>
      <c r="D123" s="473"/>
      <c r="E123" s="473"/>
      <c r="F123" s="473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76" t="str">
        <f>+VLOOKUP(LEFT($A124,LEN(A124)-1)*1,Master!$D$27:$G$225,4,FALSE)</f>
        <v>Donacije i transferi</v>
      </c>
      <c r="C124" s="477"/>
      <c r="D124" s="477"/>
      <c r="E124" s="477"/>
      <c r="F124" s="47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8" t="str">
        <f>+VLOOKUP(LEFT($A125,LEN(A125)-1)*1,Master!$D$27:$G$225,4,FALSE)</f>
        <v>Budžetski izdaci</v>
      </c>
      <c r="C125" s="479"/>
      <c r="D125" s="479"/>
      <c r="E125" s="479"/>
      <c r="F125" s="479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0" t="str">
        <f>+VLOOKUP(LEFT($A126,LEN(A126)-1)*1,Master!$D$27:$G$225,4,FALSE)</f>
        <v>Tekući izdaci</v>
      </c>
      <c r="C126" s="481"/>
      <c r="D126" s="481"/>
      <c r="E126" s="481"/>
      <c r="F126" s="481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82" t="str">
        <f>+VLOOKUP(LEFT($A127,LEN(A127)-1)*1,Master!$D$27:$G$225,4,FALSE)</f>
        <v>Tekuća budžetska potrošnja</v>
      </c>
      <c r="C127" s="483"/>
      <c r="D127" s="483"/>
      <c r="E127" s="483"/>
      <c r="F127" s="483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70" t="str">
        <f>+VLOOKUP(LEFT($A128,LEN(A128)-1)*1,Master!$D$27:$G$225,4,FALSE)</f>
        <v>Bruto zarade i doprinosi na teret poslodavca</v>
      </c>
      <c r="C128" s="471"/>
      <c r="D128" s="471"/>
      <c r="E128" s="471"/>
      <c r="F128" s="471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70" t="str">
        <f>+VLOOKUP(LEFT($A129,LEN(A129)-1)*1,Master!$D$27:$G$225,4,FALSE)</f>
        <v>Ostala lična primanja</v>
      </c>
      <c r="C129" s="471"/>
      <c r="D129" s="471"/>
      <c r="E129" s="471"/>
      <c r="F129" s="471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70" t="str">
        <f>+VLOOKUP(LEFT($A130,LEN(A130)-1)*1,Master!$D$27:$G$225,4,FALSE)</f>
        <v>Rashodi za materijal</v>
      </c>
      <c r="C130" s="471"/>
      <c r="D130" s="471"/>
      <c r="E130" s="471"/>
      <c r="F130" s="471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70" t="str">
        <f>+VLOOKUP(LEFT($A131,LEN(A131)-1)*1,Master!$D$27:$G$225,4,FALSE)</f>
        <v>Rashodi za usluge</v>
      </c>
      <c r="C131" s="471"/>
      <c r="D131" s="471"/>
      <c r="E131" s="471"/>
      <c r="F131" s="471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70" t="str">
        <f>+VLOOKUP(LEFT($A132,LEN(A132)-1)*1,Master!$D$27:$G$225,4,FALSE)</f>
        <v>Rashodi za tekuće održavanje</v>
      </c>
      <c r="C132" s="471"/>
      <c r="D132" s="471"/>
      <c r="E132" s="471"/>
      <c r="F132" s="471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70" t="str">
        <f>+VLOOKUP(LEFT($A133,LEN(A133)-1)*1,Master!$D$27:$G$225,4,FALSE)</f>
        <v>Kamate</v>
      </c>
      <c r="C133" s="471"/>
      <c r="D133" s="471"/>
      <c r="E133" s="471"/>
      <c r="F133" s="471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70" t="str">
        <f>+VLOOKUP(LEFT($A134,LEN(A134)-1)*1,Master!$D$27:$G$225,4,FALSE)</f>
        <v>Renta</v>
      </c>
      <c r="C134" s="471"/>
      <c r="D134" s="471"/>
      <c r="E134" s="471"/>
      <c r="F134" s="471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70" t="str">
        <f>+VLOOKUP(LEFT($A135,LEN(A135)-1)*1,Master!$D$27:$G$225,4,FALSE)</f>
        <v>Subvencije</v>
      </c>
      <c r="C135" s="471"/>
      <c r="D135" s="471"/>
      <c r="E135" s="471"/>
      <c r="F135" s="471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70" t="str">
        <f>+VLOOKUP(LEFT($A136,LEN(A136)-1)*1,Master!$D$27:$G$225,4,FALSE)</f>
        <v>Ostali izdaci</v>
      </c>
      <c r="C136" s="471"/>
      <c r="D136" s="471"/>
      <c r="E136" s="471"/>
      <c r="F136" s="471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70" t="str">
        <f>+VLOOKUP(LEFT($A137,LEN(A137)-1)*1,Master!$D$27:$G$225,4,FALSE)</f>
        <v>Kapitalni izdaci u tekućem budžetu</v>
      </c>
      <c r="C137" s="471"/>
      <c r="D137" s="471"/>
      <c r="E137" s="471"/>
      <c r="F137" s="471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6" t="str">
        <f>+VLOOKUP(LEFT($A138,LEN(A138)-1)*1,Master!$D$27:$G$225,4,FALSE)</f>
        <v>Transferi za socijalnu zaštitu</v>
      </c>
      <c r="C138" s="487"/>
      <c r="D138" s="487"/>
      <c r="E138" s="487"/>
      <c r="F138" s="487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70" t="str">
        <f>+VLOOKUP(LEFT($A139,LEN(A139)-1)*1,Master!$D$27:$G$225,4,FALSE)</f>
        <v>Prava iz oblasti socijalne zaštite</v>
      </c>
      <c r="C139" s="471"/>
      <c r="D139" s="471"/>
      <c r="E139" s="471"/>
      <c r="F139" s="471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70" t="str">
        <f>+VLOOKUP(LEFT($A140,LEN(A140)-1)*1,Master!$D$27:$G$225,4,FALSE)</f>
        <v>Sredstva za tehnološke viškove</v>
      </c>
      <c r="C140" s="471"/>
      <c r="D140" s="471"/>
      <c r="E140" s="471"/>
      <c r="F140" s="471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70" t="str">
        <f>+VLOOKUP(LEFT($A141,LEN(A141)-1)*1,Master!$D$27:$G$225,4,FALSE)</f>
        <v>Prava iz oblasti penzijskog i invalidskog osiguranja</v>
      </c>
      <c r="C141" s="471"/>
      <c r="D141" s="471"/>
      <c r="E141" s="471"/>
      <c r="F141" s="471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70" t="str">
        <f>+VLOOKUP(LEFT($A142,LEN(A142)-1)*1,Master!$D$27:$G$225,4,FALSE)</f>
        <v>Ostala prava iz oblasti zdravstvene zaštite</v>
      </c>
      <c r="C142" s="471"/>
      <c r="D142" s="471"/>
      <c r="E142" s="471"/>
      <c r="F142" s="471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70" t="str">
        <f>+VLOOKUP(LEFT($A143,LEN(A143)-1)*1,Master!$D$27:$G$225,4,FALSE)</f>
        <v>Ostala prava iz zdravstvenog osiguranja</v>
      </c>
      <c r="C143" s="471"/>
      <c r="D143" s="471"/>
      <c r="E143" s="471"/>
      <c r="F143" s="471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4" t="str">
        <f>+VLOOKUP(LEFT($A144,LEN(A144)-1)*1,Master!$D$27:$G$225,4,FALSE)</f>
        <v xml:space="preserve">Transferi institucijama, pojedincima, nevladinom i javnom sektoru </v>
      </c>
      <c r="C144" s="485"/>
      <c r="D144" s="485"/>
      <c r="E144" s="485"/>
      <c r="F144" s="485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4" t="str">
        <f>+VLOOKUP(LEFT($A145,LEN(A145)-1)*1,Master!$D$27:$G$225,4,FALSE)</f>
        <v>Kapitalni budžet</v>
      </c>
      <c r="C145" s="485"/>
      <c r="D145" s="485"/>
      <c r="E145" s="485"/>
      <c r="F145" s="485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88" t="str">
        <f>+VLOOKUP(LEFT($A146,LEN(A146)-1)*1,Master!$D$27:$G$225,4,FALSE)</f>
        <v>Pozajmice i krediti</v>
      </c>
      <c r="C146" s="489"/>
      <c r="D146" s="489"/>
      <c r="E146" s="489"/>
      <c r="F146" s="489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88" t="str">
        <f>+VLOOKUP(LEFT($A147,LEN(A147)-1)*1,Master!$D$27:$G$225,4,FALSE)</f>
        <v>Rezerve</v>
      </c>
      <c r="C147" s="489"/>
      <c r="D147" s="489"/>
      <c r="E147" s="489"/>
      <c r="F147" s="489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90" t="str">
        <f>+VLOOKUP(LEFT($A148,LEN(A148)-1)*1,Master!$D$27:$G$225,4,FALSE)</f>
        <v>Otplata garancija</v>
      </c>
      <c r="C148" s="491"/>
      <c r="D148" s="491"/>
      <c r="E148" s="491"/>
      <c r="F148" s="491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92" t="str">
        <f>+VLOOKUP(LEFT($A149,LEN(A149)-1)*1,Master!$D$27:$G$225,4,FALSE)</f>
        <v>Suficit / deficit</v>
      </c>
      <c r="C149" s="493"/>
      <c r="D149" s="493"/>
      <c r="E149" s="493"/>
      <c r="F149" s="493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94" t="str">
        <f>+VLOOKUP(LEFT($A150,LEN(A150)-1)*1,Master!$D$27:$G$225,4,FALSE)</f>
        <v>Primarni bilans</v>
      </c>
      <c r="C150" s="495"/>
      <c r="D150" s="495"/>
      <c r="E150" s="495"/>
      <c r="F150" s="495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6" t="str">
        <f>+VLOOKUP(LEFT($A151,LEN(A151)-1)*1,Master!$D$27:$G$225,4,FALSE)</f>
        <v>Otplata dugova</v>
      </c>
      <c r="C151" s="487"/>
      <c r="D151" s="487"/>
      <c r="E151" s="487"/>
      <c r="F151" s="487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512" t="str">
        <f>+VLOOKUP(LEFT($A152,LEN(A152)-1)*1,Master!$D$27:$G$225,4,FALSE)</f>
        <v>Otplata hartija od vrijednosti i kredita rezidentima</v>
      </c>
      <c r="C152" s="513"/>
      <c r="D152" s="513"/>
      <c r="E152" s="513"/>
      <c r="F152" s="513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88" t="str">
        <f>+VLOOKUP(LEFT($A153,LEN(A153)-1)*1,Master!$D$27:$G$225,4,FALSE)</f>
        <v>Otplata hartija od vrijednosti i kredita nerezidentima</v>
      </c>
      <c r="C153" s="489"/>
      <c r="D153" s="489"/>
      <c r="E153" s="489"/>
      <c r="F153" s="489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90" t="str">
        <f>+VLOOKUP(LEFT($A154,LEN(A154)-1)*1,Master!$D$27:$G$225,4,FALSE)</f>
        <v>Otplata obaveza iz prethodnih godina</v>
      </c>
      <c r="C154" s="491"/>
      <c r="D154" s="491"/>
      <c r="E154" s="491"/>
      <c r="F154" s="491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514" t="str">
        <f>+VLOOKUP(LEFT($A155,LEN(A155)-1)*1,Master!$D$27:$G$225,4,FALSE)</f>
        <v>Nedostajuća sredstva</v>
      </c>
      <c r="C155" s="515"/>
      <c r="D155" s="515"/>
      <c r="E155" s="515"/>
      <c r="F155" s="515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8" t="str">
        <f>+VLOOKUP(LEFT($A156,LEN(A156)-1)*1,Master!$D$27:$G$225,4,FALSE)</f>
        <v>Finansiranje</v>
      </c>
      <c r="C156" s="479"/>
      <c r="D156" s="479"/>
      <c r="E156" s="479"/>
      <c r="F156" s="479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512" t="str">
        <f>+VLOOKUP(LEFT($A157,LEN(A157)-1)*1,Master!$D$27:$G$225,4,FALSE)</f>
        <v>Pozajmice i krediti od domaćih izvora</v>
      </c>
      <c r="C157" s="513"/>
      <c r="D157" s="513"/>
      <c r="E157" s="513"/>
      <c r="F157" s="513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88" t="str">
        <f>+VLOOKUP(LEFT($A158,LEN(A158)-1)*1,Master!$D$27:$G$225,4,FALSE)</f>
        <v>Pozajmice i krediti od inostranih izvora</v>
      </c>
      <c r="C158" s="489"/>
      <c r="D158" s="489"/>
      <c r="E158" s="489"/>
      <c r="F158" s="489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88" t="str">
        <f>+VLOOKUP(LEFT($A159,LEN(A159)-1)*1,Master!$D$27:$G$225,4,FALSE)</f>
        <v>Primici od prodaje imovine</v>
      </c>
      <c r="C159" s="489"/>
      <c r="D159" s="489"/>
      <c r="E159" s="489"/>
      <c r="F159" s="489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42" t="str">
        <f>+Master!G251</f>
        <v>Ostvarenje budžeta</v>
      </c>
      <c r="C7" s="543"/>
      <c r="D7" s="543"/>
      <c r="E7" s="543"/>
      <c r="F7" s="543"/>
      <c r="G7" s="533">
        <v>2013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5"/>
      <c r="S7" s="115" t="str">
        <f>+Master!G248</f>
        <v>BDP</v>
      </c>
      <c r="T7" s="116">
        <v>3393200615</v>
      </c>
    </row>
    <row r="8" spans="1:20" ht="16.5" customHeight="1">
      <c r="B8" s="544"/>
      <c r="C8" s="545"/>
      <c r="D8" s="545"/>
      <c r="E8" s="545"/>
      <c r="F8" s="546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33" t="str">
        <f>+Master!G245</f>
        <v>Jan - Okt</v>
      </c>
      <c r="T8" s="535"/>
    </row>
    <row r="9" spans="1:20" ht="13.5" thickBot="1">
      <c r="B9" s="547"/>
      <c r="C9" s="548"/>
      <c r="D9" s="548"/>
      <c r="E9" s="548"/>
      <c r="F9" s="549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36" t="str">
        <f>+VLOOKUP($A10,Master!$D$27:$G$225,4,FALSE)</f>
        <v>Prihodi budžeta</v>
      </c>
      <c r="C10" s="537"/>
      <c r="D10" s="537"/>
      <c r="E10" s="537"/>
      <c r="F10" s="537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8" t="str">
        <f>+VLOOKUP($A11,Master!$D$27:$G$225,4,FALSE)</f>
        <v>Porezi</v>
      </c>
      <c r="C11" s="539"/>
      <c r="D11" s="539"/>
      <c r="E11" s="539"/>
      <c r="F11" s="539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40" t="str">
        <f>+VLOOKUP($A12,Master!$D$27:$G$225,4,FALSE)</f>
        <v>Porez na dohodak fizičkih lica</v>
      </c>
      <c r="C12" s="541"/>
      <c r="D12" s="541"/>
      <c r="E12" s="541"/>
      <c r="F12" s="541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40" t="str">
        <f>+VLOOKUP($A13,Master!$D$27:$G$225,4,FALSE)</f>
        <v>Porez na dobit pravnih lica</v>
      </c>
      <c r="C13" s="541"/>
      <c r="D13" s="541"/>
      <c r="E13" s="541"/>
      <c r="F13" s="541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40" t="str">
        <f>+VLOOKUP($A14,Master!$D$27:$G$225,4,FALSE)</f>
        <v>Porez na promet nepokretnosti</v>
      </c>
      <c r="C14" s="541"/>
      <c r="D14" s="541"/>
      <c r="E14" s="541"/>
      <c r="F14" s="541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40" t="str">
        <f>+VLOOKUP($A15,Master!$D$27:$G$225,4,FALSE)</f>
        <v>Porez na dodatu vrijednost</v>
      </c>
      <c r="C15" s="541"/>
      <c r="D15" s="541"/>
      <c r="E15" s="541"/>
      <c r="F15" s="541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40" t="str">
        <f>+VLOOKUP($A16,Master!$D$27:$G$225,4,FALSE)</f>
        <v>Akcize</v>
      </c>
      <c r="C16" s="541"/>
      <c r="D16" s="541"/>
      <c r="E16" s="541"/>
      <c r="F16" s="541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40" t="str">
        <f>+VLOOKUP($A17,Master!$D$27:$G$225,4,FALSE)</f>
        <v>Porez na međunarodnu trgovinu i transakcije</v>
      </c>
      <c r="C17" s="541"/>
      <c r="D17" s="541"/>
      <c r="E17" s="541"/>
      <c r="F17" s="541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40" t="e">
        <f>+VLOOKUP($A18,Master!$D$27:$G$225,4,FALSE)</f>
        <v>#N/A</v>
      </c>
      <c r="C18" s="541"/>
      <c r="D18" s="541"/>
      <c r="E18" s="541"/>
      <c r="F18" s="541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40" t="str">
        <f>+VLOOKUP($A19,Master!$D$27:$G$225,4,FALSE)</f>
        <v>Ostali državni porezi</v>
      </c>
      <c r="C19" s="541"/>
      <c r="D19" s="541"/>
      <c r="E19" s="541"/>
      <c r="F19" s="541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52" t="str">
        <f>+VLOOKUP($A20,Master!$D$27:$G$225,4,FALSE)</f>
        <v>Doprinosi</v>
      </c>
      <c r="C20" s="553"/>
      <c r="D20" s="553"/>
      <c r="E20" s="553"/>
      <c r="F20" s="553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40" t="str">
        <f>+VLOOKUP($A21,Master!$D$27:$G$225,4,FALSE)</f>
        <v>Doprinosi za penzijsko i invalidsko osiguranje</v>
      </c>
      <c r="C21" s="541"/>
      <c r="D21" s="541"/>
      <c r="E21" s="541"/>
      <c r="F21" s="541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40" t="str">
        <f>+VLOOKUP($A22,Master!$D$27:$G$225,4,FALSE)</f>
        <v>Doprinosi za zdravstveno osiguranje</v>
      </c>
      <c r="C22" s="541"/>
      <c r="D22" s="541"/>
      <c r="E22" s="541"/>
      <c r="F22" s="541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40" t="str">
        <f>+VLOOKUP($A23,Master!$D$27:$G$225,4,FALSE)</f>
        <v>Doprinosi za osiguranje od nezaposlenosti</v>
      </c>
      <c r="C23" s="541"/>
      <c r="D23" s="541"/>
      <c r="E23" s="541"/>
      <c r="F23" s="541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40" t="str">
        <f>+VLOOKUP($A24,Master!$D$27:$G$225,4,FALSE)</f>
        <v>Ostali doprinosi</v>
      </c>
      <c r="C24" s="541"/>
      <c r="D24" s="541"/>
      <c r="E24" s="541"/>
      <c r="F24" s="541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50" t="str">
        <f>+VLOOKUP($A25,Master!$D$27:$G$225,4,FALSE)</f>
        <v>Takse</v>
      </c>
      <c r="C25" s="551"/>
      <c r="D25" s="551"/>
      <c r="E25" s="551"/>
      <c r="F25" s="55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50" t="str">
        <f>+VLOOKUP($A26,Master!$D$27:$G$225,4,FALSE)</f>
        <v>Naknade</v>
      </c>
      <c r="C26" s="551"/>
      <c r="D26" s="551"/>
      <c r="E26" s="551"/>
      <c r="F26" s="55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50" t="str">
        <f>+VLOOKUP($A27,Master!$D$27:$G$225,4,FALSE)</f>
        <v>Ostali prihodi</v>
      </c>
      <c r="C27" s="551"/>
      <c r="D27" s="551"/>
      <c r="E27" s="551"/>
      <c r="F27" s="55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50" t="str">
        <f>+VLOOKUP($A28,Master!$D$27:$G$225,4,FALSE)</f>
        <v>Primici od otplate kredita i sredstva prenesena iz prethodne godine</v>
      </c>
      <c r="C28" s="551"/>
      <c r="D28" s="551"/>
      <c r="E28" s="551"/>
      <c r="F28" s="55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54" t="str">
        <f>+VLOOKUP($A29,Master!$D$27:$G$225,4,FALSE)</f>
        <v>Donacije i transferi</v>
      </c>
      <c r="C29" s="555"/>
      <c r="D29" s="555"/>
      <c r="E29" s="555"/>
      <c r="F29" s="55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56" t="str">
        <f>+VLOOKUP($A30,Master!$D$27:$G$225,4,FALSE)</f>
        <v>Budžetski izdaci</v>
      </c>
      <c r="C30" s="557"/>
      <c r="D30" s="557"/>
      <c r="E30" s="557"/>
      <c r="F30" s="55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58" t="str">
        <f>+VLOOKUP($A31,Master!$D$27:$G$225,4,FALSE)</f>
        <v>Tekući izdaci</v>
      </c>
      <c r="C31" s="559"/>
      <c r="D31" s="559"/>
      <c r="E31" s="559"/>
      <c r="F31" s="55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60" t="str">
        <f>+VLOOKUP($A32,Master!$D$27:$G$225,4,FALSE)</f>
        <v>Tekuća budžetska potrošnja</v>
      </c>
      <c r="C32" s="561"/>
      <c r="D32" s="561"/>
      <c r="E32" s="561"/>
      <c r="F32" s="56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40" t="str">
        <f>+VLOOKUP($A33,Master!$D$27:$G$225,4,FALSE)</f>
        <v>Bruto zarade i doprinosi na teret poslodavca</v>
      </c>
      <c r="C33" s="541"/>
      <c r="D33" s="541"/>
      <c r="E33" s="541"/>
      <c r="F33" s="541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40" t="str">
        <f>+VLOOKUP($A34,Master!$D$27:$G$225,4,FALSE)</f>
        <v>Ostala lična primanja</v>
      </c>
      <c r="C34" s="541"/>
      <c r="D34" s="541"/>
      <c r="E34" s="541"/>
      <c r="F34" s="541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40" t="str">
        <f>+VLOOKUP($A35,Master!$D$27:$G$225,4,FALSE)</f>
        <v>Rashodi za materijal</v>
      </c>
      <c r="C35" s="541"/>
      <c r="D35" s="541"/>
      <c r="E35" s="541"/>
      <c r="F35" s="541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40" t="str">
        <f>+VLOOKUP($A36,Master!$D$27:$G$225,4,FALSE)</f>
        <v>Rashodi za usluge</v>
      </c>
      <c r="C36" s="541"/>
      <c r="D36" s="541"/>
      <c r="E36" s="541"/>
      <c r="F36" s="541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40" t="str">
        <f>+VLOOKUP($A37,Master!$D$27:$G$225,4,FALSE)</f>
        <v>Rashodi za tekuće održavanje</v>
      </c>
      <c r="C37" s="541"/>
      <c r="D37" s="541"/>
      <c r="E37" s="541"/>
      <c r="F37" s="541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40" t="str">
        <f>+VLOOKUP($A38,Master!$D$27:$G$225,4,FALSE)</f>
        <v>Kamate</v>
      </c>
      <c r="C38" s="541"/>
      <c r="D38" s="541"/>
      <c r="E38" s="541"/>
      <c r="F38" s="541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40" t="str">
        <f>+VLOOKUP($A39,Master!$D$27:$G$225,4,FALSE)</f>
        <v>Renta</v>
      </c>
      <c r="C39" s="541"/>
      <c r="D39" s="541"/>
      <c r="E39" s="541"/>
      <c r="F39" s="541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40" t="str">
        <f>+VLOOKUP($A40,Master!$D$27:$G$225,4,FALSE)</f>
        <v>Subvencije</v>
      </c>
      <c r="C40" s="541"/>
      <c r="D40" s="541"/>
      <c r="E40" s="541"/>
      <c r="F40" s="541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40" t="str">
        <f>+VLOOKUP($A41,Master!$D$27:$G$225,4,FALSE)</f>
        <v>Ostali izdaci</v>
      </c>
      <c r="C41" s="541"/>
      <c r="D41" s="541"/>
      <c r="E41" s="541"/>
      <c r="F41" s="541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40" t="str">
        <f>+VLOOKUP($A42,Master!$D$27:$G$225,4,FALSE)</f>
        <v>Kapitalni izdaci u tekućem budžetu</v>
      </c>
      <c r="C42" s="541"/>
      <c r="D42" s="541"/>
      <c r="E42" s="541"/>
      <c r="F42" s="541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64" t="str">
        <f>+VLOOKUP($A43,Master!$D$27:$G$225,4,FALSE)</f>
        <v>Transferi za socijalnu zaštitu</v>
      </c>
      <c r="C43" s="565"/>
      <c r="D43" s="565"/>
      <c r="E43" s="565"/>
      <c r="F43" s="56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40" t="str">
        <f>+VLOOKUP($A44,Master!$D$27:$G$225,4,FALSE)</f>
        <v>Prava iz oblasti socijalne zaštite</v>
      </c>
      <c r="C44" s="541"/>
      <c r="D44" s="541"/>
      <c r="E44" s="541"/>
      <c r="F44" s="541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40" t="str">
        <f>+VLOOKUP($A45,Master!$D$27:$G$225,4,FALSE)</f>
        <v>Sredstva za tehnološke viškove</v>
      </c>
      <c r="C45" s="541"/>
      <c r="D45" s="541"/>
      <c r="E45" s="541"/>
      <c r="F45" s="541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40" t="str">
        <f>+VLOOKUP($A46,Master!$D$27:$G$225,4,FALSE)</f>
        <v>Prava iz oblasti penzijskog i invalidskog osiguranja</v>
      </c>
      <c r="C46" s="541"/>
      <c r="D46" s="541"/>
      <c r="E46" s="541"/>
      <c r="F46" s="541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40" t="str">
        <f>+VLOOKUP($A47,Master!$D$27:$G$225,4,FALSE)</f>
        <v>Ostala prava iz oblasti zdravstvene zaštite</v>
      </c>
      <c r="C47" s="541"/>
      <c r="D47" s="541"/>
      <c r="E47" s="541"/>
      <c r="F47" s="541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40" t="str">
        <f>+VLOOKUP($A48,Master!$D$27:$G$225,4,FALSE)</f>
        <v>Ostala prava iz zdravstvenog osiguranja</v>
      </c>
      <c r="C48" s="541"/>
      <c r="D48" s="541"/>
      <c r="E48" s="541"/>
      <c r="F48" s="541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62" t="str">
        <f>+VLOOKUP($A49,Master!$D$27:$G$225,4,FALSE)</f>
        <v xml:space="preserve">Transferi institucijama, pojedincima, nevladinom i javnom sektoru </v>
      </c>
      <c r="C49" s="563"/>
      <c r="D49" s="563"/>
      <c r="E49" s="563"/>
      <c r="F49" s="56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62" t="str">
        <f>+VLOOKUP($A50,Master!$D$27:$G$225,4,FALSE)</f>
        <v>Kapitalni budžet</v>
      </c>
      <c r="C50" s="563"/>
      <c r="D50" s="563"/>
      <c r="E50" s="563"/>
      <c r="F50" s="56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66" t="str">
        <f>+VLOOKUP($A51,Master!$D$27:$G$225,4,FALSE)</f>
        <v>Pozajmice i krediti</v>
      </c>
      <c r="C51" s="567"/>
      <c r="D51" s="567"/>
      <c r="E51" s="567"/>
      <c r="F51" s="56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66" t="str">
        <f>+VLOOKUP($A52,Master!$D$27:$G$225,4,FALSE)</f>
        <v>Rezerve</v>
      </c>
      <c r="C52" s="567"/>
      <c r="D52" s="567"/>
      <c r="E52" s="567"/>
      <c r="F52" s="56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76" t="str">
        <f>+VLOOKUP($A53,Master!$D$27:$G$225,4,FALSE)</f>
        <v>Otplata garancija</v>
      </c>
      <c r="C53" s="577"/>
      <c r="D53" s="577"/>
      <c r="E53" s="577"/>
      <c r="F53" s="57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72" t="str">
        <f>+VLOOKUP($A54,Master!$D$27:$G$225,4,FALSE)</f>
        <v>Suficit / deficit</v>
      </c>
      <c r="C54" s="573"/>
      <c r="D54" s="573"/>
      <c r="E54" s="573"/>
      <c r="F54" s="57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74" t="str">
        <f>+VLOOKUP($A55,Master!$D$27:$G$225,4,FALSE)</f>
        <v>Primarni bilans</v>
      </c>
      <c r="C55" s="575"/>
      <c r="D55" s="575"/>
      <c r="E55" s="575"/>
      <c r="F55" s="57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64" t="str">
        <f>+VLOOKUP($A56,Master!$D$27:$G$225,4,FALSE)</f>
        <v>Otplata dugova</v>
      </c>
      <c r="C56" s="565"/>
      <c r="D56" s="565"/>
      <c r="E56" s="565"/>
      <c r="F56" s="56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68" t="str">
        <f>+VLOOKUP($A57,Master!$D$27:$G$225,4,FALSE)</f>
        <v>Otplata hartija od vrijednosti i kredita rezidentima</v>
      </c>
      <c r="C57" s="569"/>
      <c r="D57" s="569"/>
      <c r="E57" s="569"/>
      <c r="F57" s="569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66" t="str">
        <f>+VLOOKUP($A58,Master!$D$27:$G$225,4,FALSE)</f>
        <v>Otplata hartija od vrijednosti i kredita nerezidentima</v>
      </c>
      <c r="C58" s="567"/>
      <c r="D58" s="567"/>
      <c r="E58" s="567"/>
      <c r="F58" s="56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76" t="str">
        <f>+VLOOKUP($A59,Master!$D$27:$G$225,4,FALSE)</f>
        <v>Otplata obaveza iz prethodnih godina</v>
      </c>
      <c r="C59" s="577"/>
      <c r="D59" s="577"/>
      <c r="E59" s="577"/>
      <c r="F59" s="57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70" t="str">
        <f>+VLOOKUP($A60,Master!$D$27:$G$225,4,FALSE)</f>
        <v>Nedostajuća sredstva</v>
      </c>
      <c r="C60" s="571"/>
      <c r="D60" s="571"/>
      <c r="E60" s="571"/>
      <c r="F60" s="571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56" t="str">
        <f>+VLOOKUP($A61,Master!$D$27:$G$225,4,FALSE)</f>
        <v>Finansiranje</v>
      </c>
      <c r="C61" s="557"/>
      <c r="D61" s="557"/>
      <c r="E61" s="557"/>
      <c r="F61" s="55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68" t="str">
        <f>+VLOOKUP($A62,Master!$D$27:$G$225,4,FALSE)</f>
        <v>Pozajmice i krediti od domaćih izvora</v>
      </c>
      <c r="C62" s="569"/>
      <c r="D62" s="569"/>
      <c r="E62" s="569"/>
      <c r="F62" s="569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66" t="str">
        <f>+VLOOKUP($A63,Master!$D$27:$G$225,4,FALSE)</f>
        <v>Pozajmice i krediti od inostranih izvora</v>
      </c>
      <c r="C63" s="567"/>
      <c r="D63" s="567"/>
      <c r="E63" s="567"/>
      <c r="F63" s="56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66" t="str">
        <f>+VLOOKUP($A64,Master!$D$27:$G$225,4,FALSE)</f>
        <v>Primici od prodaje imovine</v>
      </c>
      <c r="C64" s="567"/>
      <c r="D64" s="567"/>
      <c r="E64" s="567"/>
      <c r="F64" s="56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18" t="str">
        <f>+Master!G252</f>
        <v>Plan ostvarenja budžeta</v>
      </c>
      <c r="C101" s="499"/>
      <c r="D101" s="499"/>
      <c r="E101" s="499"/>
      <c r="F101" s="499"/>
      <c r="G101" s="507">
        <v>2014</v>
      </c>
      <c r="H101" s="508"/>
      <c r="I101" s="508"/>
      <c r="J101" s="508"/>
      <c r="K101" s="508"/>
      <c r="L101" s="508"/>
      <c r="M101" s="508"/>
      <c r="N101" s="508"/>
      <c r="O101" s="508"/>
      <c r="P101" s="508"/>
      <c r="Q101" s="508"/>
      <c r="R101" s="511"/>
      <c r="S101" s="260" t="str">
        <f>+S7</f>
        <v>BDP</v>
      </c>
      <c r="T101" s="261">
        <v>3393200615</v>
      </c>
    </row>
    <row r="102" spans="1:20" ht="15.75" customHeight="1">
      <c r="A102" s="169"/>
      <c r="B102" s="500"/>
      <c r="C102" s="501"/>
      <c r="D102" s="501"/>
      <c r="E102" s="501"/>
      <c r="F102" s="502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507" t="str">
        <f>+Master!G246</f>
        <v>Jan - Dec</v>
      </c>
      <c r="T102" s="511">
        <f t="shared" si="16"/>
        <v>0</v>
      </c>
    </row>
    <row r="103" spans="1:20" ht="13.5" thickBot="1">
      <c r="A103" s="169"/>
      <c r="B103" s="503"/>
      <c r="C103" s="504"/>
      <c r="D103" s="504"/>
      <c r="E103" s="504"/>
      <c r="F103" s="505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66" t="str">
        <f>+VLOOKUP(LEFT($A104,LEN(A104)-1)*1,Master!$D$27:$G$225,4,FALSE)</f>
        <v>Prihodi budžeta</v>
      </c>
      <c r="C104" s="467"/>
      <c r="D104" s="467"/>
      <c r="E104" s="467"/>
      <c r="F104" s="467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68" t="str">
        <f>+VLOOKUP(LEFT($A105,LEN(A105)-1)*1,Master!$D$27:$G$225,4,FALSE)</f>
        <v>Porezi</v>
      </c>
      <c r="C105" s="469"/>
      <c r="D105" s="469"/>
      <c r="E105" s="469"/>
      <c r="F105" s="469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70" t="str">
        <f>+VLOOKUP(LEFT($A106,LEN(A106)-1)*1,Master!$D$27:$G$225,4,FALSE)</f>
        <v>Porez na dohodak fizičkih lica</v>
      </c>
      <c r="C106" s="471"/>
      <c r="D106" s="471"/>
      <c r="E106" s="471"/>
      <c r="F106" s="471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70" t="str">
        <f>+VLOOKUP(LEFT($A107,LEN(A107)-1)*1,Master!$D$27:$G$225,4,FALSE)</f>
        <v>Porez na dobit pravnih lica</v>
      </c>
      <c r="C107" s="471"/>
      <c r="D107" s="471"/>
      <c r="E107" s="471"/>
      <c r="F107" s="471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70" t="str">
        <f>+VLOOKUP(LEFT($A108,LEN(A108)-1)*1,Master!$D$27:$G$225,4,FALSE)</f>
        <v>Porez na promet nepokretnosti</v>
      </c>
      <c r="C108" s="471"/>
      <c r="D108" s="471"/>
      <c r="E108" s="471"/>
      <c r="F108" s="471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70" t="str">
        <f>+VLOOKUP(LEFT($A109,LEN(A109)-1)*1,Master!$D$27:$G$225,4,FALSE)</f>
        <v>Porez na dodatu vrijednost</v>
      </c>
      <c r="C109" s="471"/>
      <c r="D109" s="471"/>
      <c r="E109" s="471"/>
      <c r="F109" s="471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70" t="str">
        <f>+VLOOKUP(LEFT($A110,LEN(A110)-1)*1,Master!$D$27:$G$225,4,FALSE)</f>
        <v>Akcize</v>
      </c>
      <c r="C110" s="471"/>
      <c r="D110" s="471"/>
      <c r="E110" s="471"/>
      <c r="F110" s="471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70" t="str">
        <f>+VLOOKUP(LEFT($A111,LEN(A111)-1)*1,Master!$D$27:$G$225,4,FALSE)</f>
        <v>Porez na međunarodnu trgovinu i transakcije</v>
      </c>
      <c r="C111" s="471"/>
      <c r="D111" s="471"/>
      <c r="E111" s="471"/>
      <c r="F111" s="471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70" t="e">
        <f>+VLOOKUP(LEFT($A112,LEN(A112)-1)*1,Master!$D$27:$G$225,4,FALSE)</f>
        <v>#N/A</v>
      </c>
      <c r="C112" s="471"/>
      <c r="D112" s="471"/>
      <c r="E112" s="471"/>
      <c r="F112" s="471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70" t="str">
        <f>+VLOOKUP(LEFT($A113,LEN(A113)-1)*1,Master!$D$27:$G$225,4,FALSE)</f>
        <v>Ostali državni porezi</v>
      </c>
      <c r="C113" s="471"/>
      <c r="D113" s="471"/>
      <c r="E113" s="471"/>
      <c r="F113" s="471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74" t="str">
        <f>+VLOOKUP(LEFT($A114,LEN(A114)-1)*1,Master!$D$27:$G$225,4,FALSE)</f>
        <v>Doprinosi</v>
      </c>
      <c r="C114" s="475"/>
      <c r="D114" s="475"/>
      <c r="E114" s="475"/>
      <c r="F114" s="475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70" t="str">
        <f>+VLOOKUP(LEFT($A115,LEN(A115)-1)*1,Master!$D$27:$G$225,4,FALSE)</f>
        <v>Doprinosi za penzijsko i invalidsko osiguranje</v>
      </c>
      <c r="C115" s="471"/>
      <c r="D115" s="471"/>
      <c r="E115" s="471"/>
      <c r="F115" s="471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70" t="str">
        <f>+VLOOKUP(LEFT($A116,LEN(A116)-1)*1,Master!$D$27:$G$225,4,FALSE)</f>
        <v>Doprinosi za zdravstveno osiguranje</v>
      </c>
      <c r="C116" s="471"/>
      <c r="D116" s="471"/>
      <c r="E116" s="471"/>
      <c r="F116" s="471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70" t="str">
        <f>+VLOOKUP(LEFT($A117,LEN(A117)-1)*1,Master!$D$27:$G$225,4,FALSE)</f>
        <v>Doprinosi za osiguranje od nezaposlenosti</v>
      </c>
      <c r="C117" s="471"/>
      <c r="D117" s="471"/>
      <c r="E117" s="471"/>
      <c r="F117" s="471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70" t="str">
        <f>+VLOOKUP(LEFT($A118,LEN(A118)-1)*1,Master!$D$27:$G$225,4,FALSE)</f>
        <v>Ostali doprinosi</v>
      </c>
      <c r="C118" s="471"/>
      <c r="D118" s="471"/>
      <c r="E118" s="471"/>
      <c r="F118" s="471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72" t="str">
        <f>+VLOOKUP(LEFT($A119,LEN(A119)-1)*1,Master!$D$27:$G$225,4,FALSE)</f>
        <v>Takse</v>
      </c>
      <c r="C119" s="473"/>
      <c r="D119" s="473"/>
      <c r="E119" s="473"/>
      <c r="F119" s="473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72" t="str">
        <f>+VLOOKUP(LEFT($A120,LEN(A120)-1)*1,Master!$D$27:$G$225,4,FALSE)</f>
        <v>Naknade</v>
      </c>
      <c r="C120" s="473"/>
      <c r="D120" s="473"/>
      <c r="E120" s="473"/>
      <c r="F120" s="473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72" t="str">
        <f>+VLOOKUP(LEFT($A121,LEN(A121)-1)*1,Master!$D$27:$G$225,4,FALSE)</f>
        <v>Ostali prihodi</v>
      </c>
      <c r="C121" s="473"/>
      <c r="D121" s="473"/>
      <c r="E121" s="473"/>
      <c r="F121" s="473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72" t="str">
        <f>+VLOOKUP(LEFT($A122,LEN(A122)-1)*1,Master!$D$27:$G$225,4,FALSE)</f>
        <v>Primici od otplate kredita i sredstva prenesena iz prethodne godine</v>
      </c>
      <c r="C122" s="473"/>
      <c r="D122" s="473"/>
      <c r="E122" s="473"/>
      <c r="F122" s="473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76" t="str">
        <f>+VLOOKUP(LEFT($A123,LEN(A123)-1)*1,Master!$D$27:$G$225,4,FALSE)</f>
        <v>Donacije i transferi</v>
      </c>
      <c r="C123" s="477"/>
      <c r="D123" s="477"/>
      <c r="E123" s="477"/>
      <c r="F123" s="47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8" t="str">
        <f>+VLOOKUP(LEFT($A124,LEN(A124)-1)*1,Master!$D$27:$G$225,4,FALSE)</f>
        <v>Budžetski izdaci</v>
      </c>
      <c r="C124" s="479"/>
      <c r="D124" s="479"/>
      <c r="E124" s="479"/>
      <c r="F124" s="479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0" t="str">
        <f>+VLOOKUP(LEFT($A125,LEN(A125)-1)*1,Master!$D$27:$G$225,4,FALSE)</f>
        <v>Tekući izdaci</v>
      </c>
      <c r="C125" s="481"/>
      <c r="D125" s="481"/>
      <c r="E125" s="481"/>
      <c r="F125" s="481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82" t="str">
        <f>+VLOOKUP(LEFT($A126,LEN(A126)-1)*1,Master!$D$27:$G$225,4,FALSE)</f>
        <v>Tekuća budžetska potrošnja</v>
      </c>
      <c r="C126" s="483"/>
      <c r="D126" s="483"/>
      <c r="E126" s="483"/>
      <c r="F126" s="483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70" t="str">
        <f>+VLOOKUP(LEFT($A127,LEN(A127)-1)*1,Master!$D$27:$G$225,4,FALSE)</f>
        <v>Bruto zarade i doprinosi na teret poslodavca</v>
      </c>
      <c r="C127" s="471"/>
      <c r="D127" s="471"/>
      <c r="E127" s="471"/>
      <c r="F127" s="471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70" t="str">
        <f>+VLOOKUP(LEFT($A128,LEN(A128)-1)*1,Master!$D$27:$G$225,4,FALSE)</f>
        <v>Ostala lična primanja</v>
      </c>
      <c r="C128" s="471"/>
      <c r="D128" s="471"/>
      <c r="E128" s="471"/>
      <c r="F128" s="471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70" t="str">
        <f>+VLOOKUP(LEFT($A129,LEN(A129)-1)*1,Master!$D$27:$G$225,4,FALSE)</f>
        <v>Rashodi za materijal</v>
      </c>
      <c r="C129" s="471"/>
      <c r="D129" s="471"/>
      <c r="E129" s="471"/>
      <c r="F129" s="471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70" t="str">
        <f>+VLOOKUP(LEFT($A130,LEN(A130)-1)*1,Master!$D$27:$G$225,4,FALSE)</f>
        <v>Rashodi za usluge</v>
      </c>
      <c r="C130" s="471"/>
      <c r="D130" s="471"/>
      <c r="E130" s="471"/>
      <c r="F130" s="471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70" t="str">
        <f>+VLOOKUP(LEFT($A131,LEN(A131)-1)*1,Master!$D$27:$G$225,4,FALSE)</f>
        <v>Rashodi za tekuće održavanje</v>
      </c>
      <c r="C131" s="471"/>
      <c r="D131" s="471"/>
      <c r="E131" s="471"/>
      <c r="F131" s="471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70" t="str">
        <f>+VLOOKUP(LEFT($A132,LEN(A132)-1)*1,Master!$D$27:$G$225,4,FALSE)</f>
        <v>Kamate</v>
      </c>
      <c r="C132" s="471"/>
      <c r="D132" s="471"/>
      <c r="E132" s="471"/>
      <c r="F132" s="471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70" t="str">
        <f>+VLOOKUP(LEFT($A133,LEN(A133)-1)*1,Master!$D$27:$G$225,4,FALSE)</f>
        <v>Renta</v>
      </c>
      <c r="C133" s="471"/>
      <c r="D133" s="471"/>
      <c r="E133" s="471"/>
      <c r="F133" s="471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70" t="str">
        <f>+VLOOKUP(LEFT($A134,LEN(A134)-1)*1,Master!$D$27:$G$225,4,FALSE)</f>
        <v>Subvencije</v>
      </c>
      <c r="C134" s="471"/>
      <c r="D134" s="471"/>
      <c r="E134" s="471"/>
      <c r="F134" s="471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70" t="str">
        <f>+VLOOKUP(LEFT($A135,LEN(A135)-1)*1,Master!$D$27:$G$225,4,FALSE)</f>
        <v>Ostali izdaci</v>
      </c>
      <c r="C135" s="471"/>
      <c r="D135" s="471"/>
      <c r="E135" s="471"/>
      <c r="F135" s="471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70" t="str">
        <f>+VLOOKUP(LEFT($A136,LEN(A136)-1)*1,Master!$D$27:$G$225,4,FALSE)</f>
        <v>Kapitalni izdaci u tekućem budžetu</v>
      </c>
      <c r="C136" s="471"/>
      <c r="D136" s="471"/>
      <c r="E136" s="471"/>
      <c r="F136" s="471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6" t="str">
        <f>+VLOOKUP(LEFT($A137,LEN(A137)-1)*1,Master!$D$27:$G$225,4,FALSE)</f>
        <v>Transferi za socijalnu zaštitu</v>
      </c>
      <c r="C137" s="487"/>
      <c r="D137" s="487"/>
      <c r="E137" s="487"/>
      <c r="F137" s="487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70" t="str">
        <f>+VLOOKUP(LEFT($A138,LEN(A138)-1)*1,Master!$D$27:$G$225,4,FALSE)</f>
        <v>Prava iz oblasti socijalne zaštite</v>
      </c>
      <c r="C138" s="471"/>
      <c r="D138" s="471"/>
      <c r="E138" s="471"/>
      <c r="F138" s="471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70" t="str">
        <f>+VLOOKUP(LEFT($A139,LEN(A139)-1)*1,Master!$D$27:$G$225,4,FALSE)</f>
        <v>Sredstva za tehnološke viškove</v>
      </c>
      <c r="C139" s="471"/>
      <c r="D139" s="471"/>
      <c r="E139" s="471"/>
      <c r="F139" s="471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70" t="str">
        <f>+VLOOKUP(LEFT($A140,LEN(A140)-1)*1,Master!$D$27:$G$225,4,FALSE)</f>
        <v>Prava iz oblasti penzijskog i invalidskog osiguranja</v>
      </c>
      <c r="C140" s="471"/>
      <c r="D140" s="471"/>
      <c r="E140" s="471"/>
      <c r="F140" s="471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70" t="str">
        <f>+VLOOKUP(LEFT($A141,LEN(A141)-1)*1,Master!$D$27:$G$225,4,FALSE)</f>
        <v>Ostala prava iz oblasti zdravstvene zaštite</v>
      </c>
      <c r="C141" s="471"/>
      <c r="D141" s="471"/>
      <c r="E141" s="471"/>
      <c r="F141" s="471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70" t="str">
        <f>+VLOOKUP(LEFT($A142,LEN(A142)-1)*1,Master!$D$27:$G$225,4,FALSE)</f>
        <v>Ostala prava iz zdravstvenog osiguranja</v>
      </c>
      <c r="C142" s="471"/>
      <c r="D142" s="471"/>
      <c r="E142" s="471"/>
      <c r="F142" s="471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4" t="str">
        <f>+VLOOKUP(LEFT($A143,LEN(A143)-1)*1,Master!$D$27:$G$225,4,FALSE)</f>
        <v xml:space="preserve">Transferi institucijama, pojedincima, nevladinom i javnom sektoru </v>
      </c>
      <c r="C143" s="485"/>
      <c r="D143" s="485"/>
      <c r="E143" s="485"/>
      <c r="F143" s="485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4" t="str">
        <f>+VLOOKUP(LEFT($A144,LEN(A144)-1)*1,Master!$D$27:$G$225,4,FALSE)</f>
        <v>Kapitalni budžet</v>
      </c>
      <c r="C144" s="485"/>
      <c r="D144" s="485"/>
      <c r="E144" s="485"/>
      <c r="F144" s="485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88" t="str">
        <f>+VLOOKUP(LEFT($A145,LEN(A145)-1)*1,Master!$D$27:$G$225,4,FALSE)</f>
        <v>Pozajmice i krediti</v>
      </c>
      <c r="C145" s="489"/>
      <c r="D145" s="489"/>
      <c r="E145" s="489"/>
      <c r="F145" s="489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88" t="str">
        <f>+VLOOKUP(LEFT($A146,LEN(A146)-1)*1,Master!$D$27:$G$225,4,FALSE)</f>
        <v>Rezerve</v>
      </c>
      <c r="C146" s="489"/>
      <c r="D146" s="489"/>
      <c r="E146" s="489"/>
      <c r="F146" s="489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90" t="str">
        <f>+VLOOKUP(LEFT($A147,LEN(A147)-1)*1,Master!$D$27:$G$225,4,FALSE)</f>
        <v>Otplata garancija</v>
      </c>
      <c r="C147" s="491"/>
      <c r="D147" s="491"/>
      <c r="E147" s="491"/>
      <c r="F147" s="491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92" t="str">
        <f>+VLOOKUP(LEFT($A148,LEN(A148)-1)*1,Master!$D$27:$G$225,4,FALSE)</f>
        <v>Suficit / deficit</v>
      </c>
      <c r="C148" s="493"/>
      <c r="D148" s="493"/>
      <c r="E148" s="493"/>
      <c r="F148" s="493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94" t="str">
        <f>+VLOOKUP(LEFT($A149,LEN(A149)-1)*1,Master!$D$27:$G$225,4,FALSE)</f>
        <v>Primarni bilans</v>
      </c>
      <c r="C149" s="495"/>
      <c r="D149" s="495"/>
      <c r="E149" s="495"/>
      <c r="F149" s="495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6" t="str">
        <f>+VLOOKUP(LEFT($A150,LEN(A150)-1)*1,Master!$D$27:$G$225,4,FALSE)</f>
        <v>Otplata dugova</v>
      </c>
      <c r="C150" s="487"/>
      <c r="D150" s="487"/>
      <c r="E150" s="487"/>
      <c r="F150" s="487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512" t="str">
        <f>+VLOOKUP(LEFT($A151,LEN(A151)-1)*1,Master!$D$27:$G$225,4,FALSE)</f>
        <v>Otplata hartija od vrijednosti i kredita rezidentima</v>
      </c>
      <c r="C151" s="513"/>
      <c r="D151" s="513"/>
      <c r="E151" s="513"/>
      <c r="F151" s="513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88" t="str">
        <f>+VLOOKUP(LEFT($A152,LEN(A152)-1)*1,Master!$D$27:$G$225,4,FALSE)</f>
        <v>Otplata hartija od vrijednosti i kredita nerezidentima</v>
      </c>
      <c r="C152" s="489"/>
      <c r="D152" s="489"/>
      <c r="E152" s="489"/>
      <c r="F152" s="489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90" t="str">
        <f>+VLOOKUP(LEFT($A153,LEN(A153)-1)*1,Master!$D$27:$G$225,4,FALSE)</f>
        <v>Otplata obaveza iz prethodnih godina</v>
      </c>
      <c r="C153" s="491"/>
      <c r="D153" s="491"/>
      <c r="E153" s="491"/>
      <c r="F153" s="491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514" t="str">
        <f>+VLOOKUP(LEFT($A154,LEN(A154)-1)*1,Master!$D$27:$G$225,4,FALSE)</f>
        <v>Nedostajuća sredstva</v>
      </c>
      <c r="C154" s="515"/>
      <c r="D154" s="515"/>
      <c r="E154" s="515"/>
      <c r="F154" s="515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8" t="str">
        <f>+VLOOKUP(LEFT($A155,LEN(A155)-1)*1,Master!$D$27:$G$225,4,FALSE)</f>
        <v>Finansiranje</v>
      </c>
      <c r="C155" s="479"/>
      <c r="D155" s="479"/>
      <c r="E155" s="479"/>
      <c r="F155" s="479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512" t="str">
        <f>+VLOOKUP(LEFT($A156,LEN(A156)-1)*1,Master!$D$27:$G$225,4,FALSE)</f>
        <v>Pozajmice i krediti od domaćih izvora</v>
      </c>
      <c r="C156" s="513"/>
      <c r="D156" s="513"/>
      <c r="E156" s="513"/>
      <c r="F156" s="513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88" t="str">
        <f>+VLOOKUP(LEFT($A157,LEN(A157)-1)*1,Master!$D$27:$G$225,4,FALSE)</f>
        <v>Pozajmice i krediti od inostranih izvora</v>
      </c>
      <c r="C157" s="489"/>
      <c r="D157" s="489"/>
      <c r="E157" s="489"/>
      <c r="F157" s="489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88" t="str">
        <f>+VLOOKUP(LEFT($A158,LEN(A158)-1)*1,Master!$D$27:$G$225,4,FALSE)</f>
        <v>Primici od prodaje imovine</v>
      </c>
      <c r="C158" s="489"/>
      <c r="D158" s="489"/>
      <c r="E158" s="489"/>
      <c r="F158" s="489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K120" activePane="bottomRight" state="frozen"/>
      <selection pane="topRight" activeCell="F1" sqref="F1"/>
      <selection pane="bottomLeft" activeCell="A8" sqref="A8"/>
      <selection pane="bottomRight" activeCell="FF10" sqref="FF10:FO200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68" width="12.7109375" style="41" customWidth="1"/>
    <col min="169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85" t="s">
        <v>564</v>
      </c>
      <c r="F6" s="583">
        <v>2006</v>
      </c>
      <c r="G6" s="582"/>
      <c r="H6" s="582"/>
      <c r="I6" s="582"/>
      <c r="J6" s="582"/>
      <c r="K6" s="582"/>
      <c r="L6" s="582"/>
      <c r="M6" s="582"/>
      <c r="N6" s="582"/>
      <c r="O6" s="582"/>
      <c r="P6" s="582"/>
      <c r="Q6" s="584"/>
      <c r="R6" s="583">
        <v>2007</v>
      </c>
      <c r="S6" s="582"/>
      <c r="T6" s="582"/>
      <c r="U6" s="582"/>
      <c r="V6" s="582"/>
      <c r="W6" s="582"/>
      <c r="X6" s="582"/>
      <c r="Y6" s="582"/>
      <c r="Z6" s="582"/>
      <c r="AA6" s="582"/>
      <c r="AB6" s="582"/>
      <c r="AC6" s="584"/>
      <c r="AD6" s="583">
        <v>2008</v>
      </c>
      <c r="AE6" s="582"/>
      <c r="AF6" s="582"/>
      <c r="AG6" s="582"/>
      <c r="AH6" s="582"/>
      <c r="AI6" s="582"/>
      <c r="AJ6" s="582"/>
      <c r="AK6" s="582"/>
      <c r="AL6" s="582"/>
      <c r="AM6" s="582"/>
      <c r="AN6" s="582"/>
      <c r="AO6" s="584"/>
      <c r="AP6" s="583">
        <v>2009</v>
      </c>
      <c r="AQ6" s="582"/>
      <c r="AR6" s="582"/>
      <c r="AS6" s="582"/>
      <c r="AT6" s="582"/>
      <c r="AU6" s="582"/>
      <c r="AV6" s="582"/>
      <c r="AW6" s="582"/>
      <c r="AX6" s="582"/>
      <c r="AY6" s="582"/>
      <c r="AZ6" s="582"/>
      <c r="BA6" s="584"/>
      <c r="BB6" s="583">
        <v>2010</v>
      </c>
      <c r="BC6" s="582"/>
      <c r="BD6" s="582"/>
      <c r="BE6" s="582"/>
      <c r="BF6" s="582"/>
      <c r="BG6" s="582"/>
      <c r="BH6" s="582"/>
      <c r="BI6" s="582"/>
      <c r="BJ6" s="582"/>
      <c r="BK6" s="582"/>
      <c r="BL6" s="582"/>
      <c r="BM6" s="584"/>
      <c r="BN6" s="583">
        <v>2011</v>
      </c>
      <c r="BO6" s="582"/>
      <c r="BP6" s="582"/>
      <c r="BQ6" s="582"/>
      <c r="BR6" s="582"/>
      <c r="BS6" s="582"/>
      <c r="BT6" s="582"/>
      <c r="BU6" s="582"/>
      <c r="BV6" s="582"/>
      <c r="BW6" s="582"/>
      <c r="BX6" s="582"/>
      <c r="BY6" s="584"/>
      <c r="BZ6" s="582">
        <v>2012</v>
      </c>
      <c r="CA6" s="582"/>
      <c r="CB6" s="582"/>
      <c r="CC6" s="582"/>
      <c r="CD6" s="582"/>
      <c r="CE6" s="582"/>
      <c r="CF6" s="582"/>
      <c r="CG6" s="582"/>
      <c r="CH6" s="582"/>
      <c r="CI6" s="582"/>
      <c r="CJ6" s="582"/>
      <c r="CK6" s="582"/>
      <c r="CL6" s="583">
        <v>2013</v>
      </c>
      <c r="CM6" s="582"/>
      <c r="CN6" s="582"/>
      <c r="CO6" s="582"/>
      <c r="CP6" s="582"/>
      <c r="CQ6" s="582"/>
      <c r="CR6" s="582"/>
      <c r="CS6" s="582"/>
      <c r="CT6" s="582"/>
      <c r="CU6" s="582"/>
      <c r="CV6" s="582"/>
      <c r="CW6" s="584"/>
      <c r="CX6" s="583">
        <v>2014</v>
      </c>
      <c r="CY6" s="582"/>
      <c r="CZ6" s="582"/>
      <c r="DA6" s="582"/>
      <c r="DB6" s="582"/>
      <c r="DC6" s="582"/>
      <c r="DD6" s="582"/>
      <c r="DE6" s="582"/>
      <c r="DF6" s="582"/>
      <c r="DG6" s="582"/>
      <c r="DH6" s="582"/>
      <c r="DI6" s="584"/>
      <c r="DJ6" s="583">
        <v>2015</v>
      </c>
      <c r="DK6" s="582"/>
      <c r="DL6" s="582"/>
      <c r="DM6" s="582"/>
      <c r="DN6" s="582"/>
      <c r="DO6" s="582"/>
      <c r="DP6" s="582"/>
      <c r="DQ6" s="582"/>
      <c r="DR6" s="582"/>
      <c r="DS6" s="582"/>
      <c r="DT6" s="582"/>
      <c r="DU6" s="584"/>
    </row>
    <row r="7" spans="1:321">
      <c r="E7" s="585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778</v>
      </c>
      <c r="FG7" s="393" t="s">
        <v>779</v>
      </c>
      <c r="FH7" s="393" t="s">
        <v>780</v>
      </c>
      <c r="FI7" s="393" t="s">
        <v>781</v>
      </c>
      <c r="FJ7" s="393" t="s">
        <v>782</v>
      </c>
      <c r="FK7" s="393" t="s">
        <v>783</v>
      </c>
      <c r="FL7" s="393" t="s">
        <v>784</v>
      </c>
      <c r="FM7" s="393" t="s">
        <v>785</v>
      </c>
      <c r="FN7" s="393" t="s">
        <v>786</v>
      </c>
      <c r="FO7" s="393" t="s">
        <v>787</v>
      </c>
      <c r="FP7" s="393" t="s">
        <v>788</v>
      </c>
      <c r="FQ7" s="393" t="s">
        <v>789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50">
        <v>79855347.849999994</v>
      </c>
      <c r="EU9" s="450">
        <v>106190042</v>
      </c>
      <c r="EV9" s="450">
        <v>137417391.37</v>
      </c>
      <c r="EW9" s="450">
        <v>147833434.00999999</v>
      </c>
      <c r="EX9" s="450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51">
        <v>60295851.509999998</v>
      </c>
      <c r="EU10" s="451">
        <v>64797597.329999998</v>
      </c>
      <c r="EV10" s="451">
        <v>89261850.609999999</v>
      </c>
      <c r="EW10" s="451">
        <v>97799793.079999998</v>
      </c>
      <c r="EX10" s="451">
        <v>90553351.069999993</v>
      </c>
      <c r="EY10" s="451">
        <v>87503254.430000007</v>
      </c>
      <c r="EZ10" s="451">
        <v>105015545.47</v>
      </c>
      <c r="FA10" s="451">
        <v>107951400.73999999</v>
      </c>
      <c r="FB10" s="451">
        <v>102839740.52</v>
      </c>
      <c r="FC10" s="451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>
        <v>106791818.52</v>
      </c>
      <c r="FJ10" s="378">
        <v>94372185.030000001</v>
      </c>
      <c r="FK10" s="378">
        <v>89389439.689999998</v>
      </c>
      <c r="FL10" s="451">
        <v>115363471.45</v>
      </c>
      <c r="FM10" s="378">
        <v>118817091.44</v>
      </c>
      <c r="FN10" s="378">
        <v>114500270.97</v>
      </c>
      <c r="FO10" s="378">
        <v>101600991.11</v>
      </c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450">
        <v>10986746.67</v>
      </c>
      <c r="FM11" s="376">
        <v>10477204.85</v>
      </c>
      <c r="FN11" s="376">
        <v>10332018.109999999</v>
      </c>
      <c r="FO11" s="376">
        <v>10824900.91</v>
      </c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450">
        <v>3890710.55</v>
      </c>
      <c r="FM12" s="376">
        <v>3092994.24</v>
      </c>
      <c r="FN12" s="376">
        <v>2242778.35</v>
      </c>
      <c r="FO12" s="376">
        <v>690017.25</v>
      </c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450">
        <v>152687.82</v>
      </c>
      <c r="FM13" s="376">
        <v>172408.19</v>
      </c>
      <c r="FN13" s="376">
        <v>131658.57</v>
      </c>
      <c r="FO13" s="376">
        <v>174049.01</v>
      </c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450">
        <v>71626480.939999998</v>
      </c>
      <c r="FM14" s="376">
        <v>71690318.180000007</v>
      </c>
      <c r="FN14" s="376">
        <v>70816309.909999996</v>
      </c>
      <c r="FO14" s="376">
        <v>65908952.759999998</v>
      </c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450">
        <v>24612824.059999999</v>
      </c>
      <c r="FM15" s="376">
        <v>29562766.32</v>
      </c>
      <c r="FN15" s="376">
        <v>27417042.280000001</v>
      </c>
      <c r="FO15" s="376">
        <v>20585777.449999999</v>
      </c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450">
        <v>3088089.4</v>
      </c>
      <c r="FM16" s="376">
        <v>2788700.72</v>
      </c>
      <c r="FN16" s="376">
        <v>2553125.85</v>
      </c>
      <c r="FO16" s="376">
        <v>2492699.6800000002</v>
      </c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450">
        <v>1005932.01</v>
      </c>
      <c r="FM17" s="376">
        <v>1032698.94</v>
      </c>
      <c r="FN17" s="376">
        <v>1007337.9</v>
      </c>
      <c r="FO17" s="376">
        <v>924594.05</v>
      </c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41912269.38000001</v>
      </c>
      <c r="FH18" s="378">
        <v>41047599.18</v>
      </c>
      <c r="FI18" s="378">
        <v>50290988.940000005</v>
      </c>
      <c r="FJ18" s="378">
        <v>37496285.130000003</v>
      </c>
      <c r="FK18" s="378">
        <v>45280786.510000005</v>
      </c>
      <c r="FL18" s="451">
        <v>48662139.43999999</v>
      </c>
      <c r="FM18" s="378">
        <v>45770745.839999996</v>
      </c>
      <c r="FN18" s="378">
        <v>43611346.450000003</v>
      </c>
      <c r="FO18" s="378">
        <v>46487647.670000002</v>
      </c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450">
        <v>28964205.43</v>
      </c>
      <c r="FM19" s="376">
        <v>27519220.43</v>
      </c>
      <c r="FN19" s="376">
        <v>26730921.559999999</v>
      </c>
      <c r="FO19" s="376">
        <v>28563512.620000001</v>
      </c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450">
        <v>17203285.449999999</v>
      </c>
      <c r="FM20" s="376">
        <v>15860674.26</v>
      </c>
      <c r="FN20" s="376">
        <v>14501660.91</v>
      </c>
      <c r="FO20" s="376">
        <v>15344312.359999999</v>
      </c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450">
        <v>1316999.83</v>
      </c>
      <c r="FM21" s="376">
        <v>1256512.28</v>
      </c>
      <c r="FN21" s="376">
        <v>1242677.57</v>
      </c>
      <c r="FO21" s="376">
        <v>1311319.78</v>
      </c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450">
        <v>1177648.73</v>
      </c>
      <c r="FM22" s="376">
        <v>1134338.8700000001</v>
      </c>
      <c r="FN22" s="376">
        <v>1136086.4099999999</v>
      </c>
      <c r="FO22" s="376">
        <v>1268502.9099999999</v>
      </c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814937.81</v>
      </c>
      <c r="EU23" s="378">
        <v>993423.94</v>
      </c>
      <c r="EV23" s="378">
        <v>1111103.6599999999</v>
      </c>
      <c r="EW23" s="378">
        <v>1198538.77</v>
      </c>
      <c r="EX23" s="378">
        <v>1382138.78</v>
      </c>
      <c r="EY23" s="378">
        <v>1616613.01</v>
      </c>
      <c r="EZ23" s="378">
        <v>2005608.26</v>
      </c>
      <c r="FA23" s="378">
        <v>1882210.04</v>
      </c>
      <c r="FB23" s="378">
        <v>1545122.56</v>
      </c>
      <c r="FC23" s="378">
        <v>1572482.29</v>
      </c>
      <c r="FD23" s="378">
        <v>1331866.75</v>
      </c>
      <c r="FE23" s="378">
        <v>1446961.78</v>
      </c>
      <c r="FF23" s="378">
        <v>851162.27</v>
      </c>
      <c r="FG23" s="378">
        <v>1041125.3899999999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451">
        <v>1880947.5899999999</v>
      </c>
      <c r="FM23" s="378">
        <v>1630940.38</v>
      </c>
      <c r="FN23" s="378">
        <v>1570845.07</v>
      </c>
      <c r="FO23" s="378">
        <v>1334131.8600000001</v>
      </c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601434.28</v>
      </c>
      <c r="EU24" s="376">
        <v>691468.91</v>
      </c>
      <c r="EV24" s="376">
        <v>825217.16</v>
      </c>
      <c r="EW24" s="376">
        <v>905119.47</v>
      </c>
      <c r="EX24" s="376">
        <v>1028480.47</v>
      </c>
      <c r="EY24" s="376">
        <v>1159205.33</v>
      </c>
      <c r="EZ24" s="376">
        <v>1239204.8400000001</v>
      </c>
      <c r="FA24" s="376">
        <v>1077861.3</v>
      </c>
      <c r="FB24" s="376">
        <v>936074.99</v>
      </c>
      <c r="FC24" s="376">
        <v>1054918.45</v>
      </c>
      <c r="FD24" s="376">
        <v>888912.28</v>
      </c>
      <c r="FE24" s="376">
        <v>977871.81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450">
        <v>1036831.79</v>
      </c>
      <c r="FM24" s="376">
        <v>732732.78</v>
      </c>
      <c r="FN24" s="376">
        <v>909857.41</v>
      </c>
      <c r="FO24" s="376">
        <v>827961.15</v>
      </c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450">
        <v>102054.51</v>
      </c>
      <c r="FM25" s="376">
        <v>79880.09</v>
      </c>
      <c r="FN25" s="376">
        <v>81168.460000000006</v>
      </c>
      <c r="FO25" s="376">
        <v>104547.82</v>
      </c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450">
        <v>429493.67</v>
      </c>
      <c r="FM26" s="376">
        <v>521117.38</v>
      </c>
      <c r="FN26" s="376">
        <v>298489.8</v>
      </c>
      <c r="FO26" s="376">
        <v>140326.67000000001</v>
      </c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450">
        <v>312567.62</v>
      </c>
      <c r="FM27" s="376">
        <v>297210.13</v>
      </c>
      <c r="FN27" s="376">
        <v>281329.40000000002</v>
      </c>
      <c r="FO27" s="376">
        <v>261296.22</v>
      </c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451">
        <v>2697450.35</v>
      </c>
      <c r="FM28" s="378">
        <v>1985377.1099999999</v>
      </c>
      <c r="FN28" s="378">
        <v>2352827.11</v>
      </c>
      <c r="FO28" s="378">
        <v>2477150.35</v>
      </c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450">
        <v>103362.04</v>
      </c>
      <c r="FM29" s="376">
        <v>105693.82</v>
      </c>
      <c r="FN29" s="376">
        <v>106555.2</v>
      </c>
      <c r="FO29" s="376">
        <v>95661.45</v>
      </c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450">
        <v>445502.71999999997</v>
      </c>
      <c r="FM30" s="376">
        <v>356375.46</v>
      </c>
      <c r="FN30" s="376">
        <v>240201.78</v>
      </c>
      <c r="FO30" s="376">
        <v>184381.28</v>
      </c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450">
        <v>41127.160000000003</v>
      </c>
      <c r="FM31" s="376">
        <v>9621.83</v>
      </c>
      <c r="FN31" s="376">
        <v>1598.75</v>
      </c>
      <c r="FO31" s="376">
        <v>362.18</v>
      </c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450">
        <v>651540.54</v>
      </c>
      <c r="FM32" s="376">
        <v>767953.92000000004</v>
      </c>
      <c r="FN32" s="376">
        <v>784081.67</v>
      </c>
      <c r="FO32" s="376">
        <v>724299.03</v>
      </c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450">
        <v>484007.96</v>
      </c>
      <c r="FM33" s="376">
        <v>406400.37</v>
      </c>
      <c r="FN33" s="376">
        <v>311246.46000000002</v>
      </c>
      <c r="FO33" s="376">
        <v>295444.59000000003</v>
      </c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450">
        <v>971909.93</v>
      </c>
      <c r="FM34" s="376">
        <v>339331.71</v>
      </c>
      <c r="FN34" s="376">
        <v>909143.25</v>
      </c>
      <c r="FO34" s="376">
        <v>1177001.82</v>
      </c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2425522.83</v>
      </c>
      <c r="EU35" s="378">
        <v>1609741.15</v>
      </c>
      <c r="EV35" s="378">
        <v>1991465.56</v>
      </c>
      <c r="EW35" s="378">
        <v>5482661.4299999997</v>
      </c>
      <c r="EX35" s="378">
        <v>2151496.35</v>
      </c>
      <c r="EY35" s="378">
        <v>2746748.26</v>
      </c>
      <c r="EZ35" s="378">
        <v>3904620.91</v>
      </c>
      <c r="FA35" s="378">
        <v>3453591.6</v>
      </c>
      <c r="FB35" s="378">
        <v>37485104.390000001</v>
      </c>
      <c r="FC35" s="378">
        <v>2268381.7599999998</v>
      </c>
      <c r="FD35" s="378">
        <v>3459602.91</v>
      </c>
      <c r="FE35" s="378">
        <v>4336127.47</v>
      </c>
      <c r="FF35" s="378">
        <v>1567147.41</v>
      </c>
      <c r="FG35" s="378">
        <v>2199531.1</v>
      </c>
      <c r="FH35" s="378">
        <v>3193816.55</v>
      </c>
      <c r="FI35" s="378">
        <v>2385570.52</v>
      </c>
      <c r="FJ35" s="378">
        <v>7159071.0099999998</v>
      </c>
      <c r="FK35" s="378">
        <v>3262994.81</v>
      </c>
      <c r="FL35" s="451">
        <v>3734626.12</v>
      </c>
      <c r="FM35" s="378">
        <v>2985463.57</v>
      </c>
      <c r="FN35" s="378">
        <v>2214023.2000000002</v>
      </c>
      <c r="FO35" s="378">
        <v>2505030.61</v>
      </c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757684.72</v>
      </c>
      <c r="EU36" s="376">
        <v>26758.59</v>
      </c>
      <c r="EV36" s="376">
        <v>160586.28</v>
      </c>
      <c r="EW36" s="376">
        <v>1943319.77</v>
      </c>
      <c r="EX36" s="376">
        <v>60037.3</v>
      </c>
      <c r="EY36" s="376">
        <v>94564.97</v>
      </c>
      <c r="EZ36" s="376">
        <v>72666.91</v>
      </c>
      <c r="FA36" s="376">
        <v>22307.84</v>
      </c>
      <c r="FB36" s="376">
        <v>35391064.439999998</v>
      </c>
      <c r="FC36" s="376">
        <v>30989.7</v>
      </c>
      <c r="FD36" s="376">
        <v>86764.65</v>
      </c>
      <c r="FE36" s="376">
        <v>1102077.96</v>
      </c>
      <c r="FF36" s="376">
        <v>318933.37</v>
      </c>
      <c r="FG36" s="376">
        <v>248883.21</v>
      </c>
      <c r="FH36" s="376">
        <v>186635.82</v>
      </c>
      <c r="FI36" s="376">
        <v>63899.67</v>
      </c>
      <c r="FJ36" s="376">
        <v>3605088.43</v>
      </c>
      <c r="FK36" s="376">
        <v>707894.38</v>
      </c>
      <c r="FL36" s="450">
        <v>165216.39000000001</v>
      </c>
      <c r="FM36" s="376">
        <v>38122.49</v>
      </c>
      <c r="FN36" s="376">
        <v>46093.9</v>
      </c>
      <c r="FO36" s="376">
        <v>83988.479999999996</v>
      </c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450">
        <v>2403586.64</v>
      </c>
      <c r="FM37" s="376">
        <v>2009408.55</v>
      </c>
      <c r="FN37" s="376">
        <v>1160909.3999999999</v>
      </c>
      <c r="FO37" s="376">
        <v>1196227.28</v>
      </c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450">
        <v>304530.33</v>
      </c>
      <c r="FM38" s="376">
        <v>221644.03</v>
      </c>
      <c r="FN38" s="376">
        <v>260012.44</v>
      </c>
      <c r="FO38" s="376">
        <v>232812.52</v>
      </c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558411.74</v>
      </c>
      <c r="EV39" s="376">
        <v>749928.42</v>
      </c>
      <c r="EW39" s="376">
        <v>2271661.5699999998</v>
      </c>
      <c r="EX39" s="376">
        <v>900419.31</v>
      </c>
      <c r="EY39" s="376">
        <v>1088276.75</v>
      </c>
      <c r="EZ39" s="376">
        <v>1530666.31</v>
      </c>
      <c r="FA39" s="376">
        <v>1467816.13</v>
      </c>
      <c r="FB39" s="376">
        <v>794121.75</v>
      </c>
      <c r="FC39" s="376">
        <v>868166.07</v>
      </c>
      <c r="FD39" s="376">
        <v>2243697.88</v>
      </c>
      <c r="FE39" s="376">
        <v>1876381.38</v>
      </c>
      <c r="FF39" s="376">
        <v>474394.59</v>
      </c>
      <c r="FG39" s="376">
        <v>759602.89</v>
      </c>
      <c r="FH39" s="376">
        <v>1649538.05</v>
      </c>
      <c r="FI39" s="376">
        <v>1042118.97</v>
      </c>
      <c r="FJ39" s="376">
        <v>1649289.9</v>
      </c>
      <c r="FK39" s="376">
        <v>877867.35</v>
      </c>
      <c r="FL39" s="450">
        <v>861292.76</v>
      </c>
      <c r="FM39" s="376">
        <v>716288.5</v>
      </c>
      <c r="FN39" s="376">
        <v>747007.46</v>
      </c>
      <c r="FO39" s="376">
        <v>992002.33</v>
      </c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451">
        <v>359609.29</v>
      </c>
      <c r="FM40" s="378">
        <v>176786.46</v>
      </c>
      <c r="FN40" s="378">
        <v>225833.46</v>
      </c>
      <c r="FO40" s="378">
        <v>679599.59</v>
      </c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450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450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2374596.09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942551.18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451">
        <v>134648.84</v>
      </c>
      <c r="FM43" s="378">
        <v>1295803.5900000001</v>
      </c>
      <c r="FN43" s="378">
        <v>183612.59</v>
      </c>
      <c r="FO43" s="378">
        <v>223272.51</v>
      </c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450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450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716886.96</v>
      </c>
      <c r="FA46" s="378">
        <v>259046.56</v>
      </c>
      <c r="FB46" s="378">
        <v>658145.13</v>
      </c>
      <c r="FC46" s="378">
        <v>1526648.73</v>
      </c>
      <c r="FD46" s="378">
        <v>4414865.1500000004</v>
      </c>
      <c r="FE46" s="378">
        <v>3855321.16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451">
        <v>1651160.65</v>
      </c>
      <c r="FM46" s="378">
        <v>1596012.32</v>
      </c>
      <c r="FN46" s="378">
        <v>1509055.56</v>
      </c>
      <c r="FO46" s="378">
        <v>1948775.66</v>
      </c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450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450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451"/>
      <c r="FM49" s="378"/>
      <c r="FN49" s="378">
        <v>1935839.29</v>
      </c>
      <c r="FO49" s="378">
        <v>494215367.44</v>
      </c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450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450">
        <v>18000000</v>
      </c>
      <c r="FM51" s="376">
        <v>54000000</v>
      </c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503121949.51999998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24442619.199999999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450">
        <v>2698966.86</v>
      </c>
      <c r="FM52" s="376">
        <v>32388565.289999999</v>
      </c>
      <c r="FN52" s="376">
        <v>1935839.29</v>
      </c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450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450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38898615.609999999</v>
      </c>
      <c r="FG55" s="376">
        <v>38602776.109999999</v>
      </c>
      <c r="FH55" s="376">
        <v>39176968.049999997</v>
      </c>
      <c r="FI55" s="376">
        <v>38923552.049999997</v>
      </c>
      <c r="FJ55" s="376">
        <v>39904782.170000002</v>
      </c>
      <c r="FK55" s="376">
        <v>41491994.170000002</v>
      </c>
      <c r="FL55" s="450">
        <v>38031107.149999999</v>
      </c>
      <c r="FM55" s="376">
        <v>37169894.039999999</v>
      </c>
      <c r="FN55" s="376">
        <v>38490166.549999997</v>
      </c>
      <c r="FO55" s="376">
        <v>38895006.189999998</v>
      </c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450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450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450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450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450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376">
        <v>1037317.51</v>
      </c>
      <c r="FH61" s="376">
        <v>740149.21</v>
      </c>
      <c r="FI61" s="376">
        <v>1606928.02</v>
      </c>
      <c r="FJ61" s="376">
        <v>1045480.66</v>
      </c>
      <c r="FK61" s="376">
        <v>650585.03</v>
      </c>
      <c r="FL61" s="449">
        <v>1612572.32</v>
      </c>
      <c r="FM61" s="376">
        <v>864258.85</v>
      </c>
      <c r="FN61" s="376">
        <v>1075910.46</v>
      </c>
      <c r="FO61" s="376">
        <v>1121431.44</v>
      </c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450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450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450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450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450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450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450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1028193.82</v>
      </c>
      <c r="EU69" s="376">
        <v>2319006.39</v>
      </c>
      <c r="EV69" s="376">
        <v>3799655</v>
      </c>
      <c r="EW69" s="376">
        <v>2444213.75</v>
      </c>
      <c r="EX69" s="376">
        <v>2819164.34</v>
      </c>
      <c r="EY69" s="376">
        <v>2228904.96</v>
      </c>
      <c r="EZ69" s="376">
        <v>2858658.74</v>
      </c>
      <c r="FA69" s="376">
        <v>2380224.89</v>
      </c>
      <c r="FB69" s="376">
        <v>1933588.85</v>
      </c>
      <c r="FC69" s="376">
        <v>2993464.74</v>
      </c>
      <c r="FD69" s="376">
        <v>3031428.93</v>
      </c>
      <c r="FE69" s="376">
        <v>8894630.3100000005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>
        <v>3143597.69</v>
      </c>
      <c r="FL69" s="449">
        <v>2242317.38</v>
      </c>
      <c r="FM69" s="376">
        <v>2462726.48</v>
      </c>
      <c r="FN69" s="376">
        <v>2778192.64</v>
      </c>
      <c r="FO69" s="376">
        <v>3210622.86</v>
      </c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450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450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450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450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450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450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1680235.02</v>
      </c>
      <c r="EU76" s="376">
        <v>3138627.78</v>
      </c>
      <c r="EV76" s="376">
        <v>4224659.0199999996</v>
      </c>
      <c r="EW76" s="376">
        <v>4569774.72</v>
      </c>
      <c r="EX76" s="376">
        <v>4902792.45</v>
      </c>
      <c r="EY76" s="376">
        <v>14378872.84</v>
      </c>
      <c r="EZ76" s="376">
        <v>4934074.01</v>
      </c>
      <c r="FA76" s="376">
        <v>3590546.61</v>
      </c>
      <c r="FB76" s="376">
        <v>5520674.5999999996</v>
      </c>
      <c r="FC76" s="376">
        <v>5584761.9900000002</v>
      </c>
      <c r="FD76" s="376">
        <v>5166021.46</v>
      </c>
      <c r="FE76" s="376">
        <v>17447882.190000001</v>
      </c>
      <c r="FF76" s="376">
        <v>2813388.82</v>
      </c>
      <c r="FG76" s="376">
        <v>4321003.6500000004</v>
      </c>
      <c r="FH76" s="376">
        <v>4690729.2300000004</v>
      </c>
      <c r="FI76" s="376">
        <v>4354180.1100000003</v>
      </c>
      <c r="FJ76" s="376">
        <v>6607764.25</v>
      </c>
      <c r="FK76" s="376">
        <v>6806179.8200000003</v>
      </c>
      <c r="FL76" s="449">
        <v>8577720.9299999997</v>
      </c>
      <c r="FM76" s="376">
        <v>3301233.24</v>
      </c>
      <c r="FN76" s="376">
        <v>5726874.5800000001</v>
      </c>
      <c r="FO76" s="376">
        <v>6798582.2800000003</v>
      </c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450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450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450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450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450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450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450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450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450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1250394.3700000001</v>
      </c>
      <c r="EV86" s="376">
        <v>1932637.76</v>
      </c>
      <c r="EW86" s="376">
        <v>1701228.15</v>
      </c>
      <c r="EX86" s="376">
        <v>1674065.37</v>
      </c>
      <c r="EY86" s="376">
        <v>1595157.28</v>
      </c>
      <c r="EZ86" s="376">
        <v>1764069.48</v>
      </c>
      <c r="FA86" s="376">
        <v>822546.3</v>
      </c>
      <c r="FB86" s="376">
        <v>2309329.44</v>
      </c>
      <c r="FC86" s="376">
        <v>1824056.36</v>
      </c>
      <c r="FD86" s="376">
        <v>1126241.5900000001</v>
      </c>
      <c r="FE86" s="376">
        <v>4866689.49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>
        <v>1361111.43</v>
      </c>
      <c r="FL86" s="449">
        <v>2074263.46</v>
      </c>
      <c r="FM86" s="376">
        <v>1121425.77</v>
      </c>
      <c r="FN86" s="376">
        <v>1711631.24</v>
      </c>
      <c r="FO86" s="376">
        <v>2761754.3</v>
      </c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450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450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450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17000784.449999999</v>
      </c>
      <c r="EX90" s="376">
        <v>10064809.060000001</v>
      </c>
      <c r="EY90" s="376">
        <v>1838720.63</v>
      </c>
      <c r="EZ90" s="376">
        <v>7518062.3499999996</v>
      </c>
      <c r="FA90" s="376">
        <v>1168435.74</v>
      </c>
      <c r="FB90" s="376">
        <v>3617355.6</v>
      </c>
      <c r="FC90" s="376">
        <v>1538688.3</v>
      </c>
      <c r="FD90" s="376">
        <v>4283049.2</v>
      </c>
      <c r="FE90" s="376">
        <v>5677848.6699999999</v>
      </c>
      <c r="FF90" s="376">
        <v>6154852.9000000004</v>
      </c>
      <c r="FG90" s="376">
        <v>999341.54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449">
        <v>9047333.1999999993</v>
      </c>
      <c r="FM90" s="376">
        <v>1051267.33</v>
      </c>
      <c r="FN90" s="376">
        <v>2999385.93</v>
      </c>
      <c r="FO90" s="376">
        <v>1628126.12</v>
      </c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450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450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939048.68</v>
      </c>
      <c r="EY93" s="376">
        <v>835746.88</v>
      </c>
      <c r="EZ93" s="376">
        <v>824828.88</v>
      </c>
      <c r="FA93" s="376">
        <v>555711.06999999995</v>
      </c>
      <c r="FB93" s="376">
        <v>949304.64</v>
      </c>
      <c r="FC93" s="376">
        <v>827176.94</v>
      </c>
      <c r="FD93" s="376">
        <v>584262.68000000005</v>
      </c>
      <c r="FE93" s="376">
        <v>2717616.81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>
        <v>608826.98</v>
      </c>
      <c r="FL93" s="449">
        <v>1399544.86</v>
      </c>
      <c r="FM93" s="376">
        <v>827493.89</v>
      </c>
      <c r="FN93" s="376">
        <v>656314.94999999995</v>
      </c>
      <c r="FO93" s="376">
        <v>807250.67</v>
      </c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450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450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450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449">
        <v>3695060.6</v>
      </c>
      <c r="FM97" s="376">
        <v>1069449</v>
      </c>
      <c r="FN97" s="376">
        <v>3742161.66</v>
      </c>
      <c r="FO97" s="376">
        <v>4843530.18</v>
      </c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450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450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450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586002.18999999994</v>
      </c>
      <c r="EU101" s="376">
        <v>3384331.52</v>
      </c>
      <c r="EV101" s="376">
        <v>2155321.13</v>
      </c>
      <c r="EW101" s="376">
        <v>2882966.63</v>
      </c>
      <c r="EX101" s="376">
        <v>2637225.6800000002</v>
      </c>
      <c r="EY101" s="376">
        <v>3635960.61</v>
      </c>
      <c r="EZ101" s="376">
        <v>2919935.46</v>
      </c>
      <c r="FA101" s="376">
        <v>3454663.76</v>
      </c>
      <c r="FB101" s="376">
        <v>3201193.66</v>
      </c>
      <c r="FC101" s="376">
        <v>3091262.43</v>
      </c>
      <c r="FD101" s="376">
        <v>3357403.41</v>
      </c>
      <c r="FE101" s="376">
        <v>12250161.189999999</v>
      </c>
      <c r="FF101" s="376">
        <v>695586.92</v>
      </c>
      <c r="FG101" s="376">
        <v>3357222.63</v>
      </c>
      <c r="FH101" s="376">
        <v>2294447.6800000002</v>
      </c>
      <c r="FI101" s="376">
        <v>5380146.8200000003</v>
      </c>
      <c r="FJ101" s="376">
        <v>2115854.34</v>
      </c>
      <c r="FK101" s="376">
        <v>4483087.37</v>
      </c>
      <c r="FL101" s="449">
        <v>3829539.86</v>
      </c>
      <c r="FM101" s="376">
        <v>4015195.5</v>
      </c>
      <c r="FN101" s="376">
        <v>4101848.07</v>
      </c>
      <c r="FO101" s="376">
        <v>3045009.82</v>
      </c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450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450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450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450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450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450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450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450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450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450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449">
        <v>6798455.0999999996</v>
      </c>
      <c r="FM112" s="376">
        <v>6916329.6100000003</v>
      </c>
      <c r="FN112" s="376">
        <v>6430517.1200000001</v>
      </c>
      <c r="FO112" s="376">
        <v>6933312.3200000003</v>
      </c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450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450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450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450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450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450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450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450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449">
        <v>1512829.9</v>
      </c>
      <c r="FM121" s="376">
        <v>1577705.79</v>
      </c>
      <c r="FN121" s="376">
        <v>1701766.69</v>
      </c>
      <c r="FO121" s="376">
        <v>1710317.34</v>
      </c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450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450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450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450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450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>
        <v>35185457.75</v>
      </c>
      <c r="FL127" s="450">
        <v>35081479.57</v>
      </c>
      <c r="FM127" s="376">
        <v>35015332.57</v>
      </c>
      <c r="FN127" s="376">
        <v>35022901.990000002</v>
      </c>
      <c r="FO127" s="376">
        <v>34922457.960000001</v>
      </c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450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450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450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450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450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450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450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449">
        <v>1746404.92</v>
      </c>
      <c r="FM135" s="376">
        <v>1448048.69</v>
      </c>
      <c r="FN135" s="376">
        <v>1671066.3</v>
      </c>
      <c r="FO135" s="376">
        <v>2220320.35</v>
      </c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450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1081000.8899999999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449">
        <v>1039591.19</v>
      </c>
      <c r="FM137" s="376">
        <v>741808.15</v>
      </c>
      <c r="FN137" s="376">
        <v>1105589.55</v>
      </c>
      <c r="FO137" s="376">
        <v>969966.85</v>
      </c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450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450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450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15696656.369999999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16865388.859999999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16108536.07</v>
      </c>
      <c r="FJ141" s="376">
        <v>17254969.68</v>
      </c>
      <c r="FK141" s="376">
        <v>13582731.800000001</v>
      </c>
      <c r="FL141" s="449">
        <v>25674739.879999999</v>
      </c>
      <c r="FM141" s="376">
        <v>14819789.789999999</v>
      </c>
      <c r="FN141" s="376">
        <v>22891347.969999999</v>
      </c>
      <c r="FO141" s="376">
        <v>17069504.329999998</v>
      </c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450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450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450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450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450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450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450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450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450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450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450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450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450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450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450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450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450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2060574.27</v>
      </c>
      <c r="EU159" s="376">
        <v>2958395.49</v>
      </c>
      <c r="EV159" s="376">
        <v>10806505.67</v>
      </c>
      <c r="EW159" s="376">
        <v>28775491.48</v>
      </c>
      <c r="EX159" s="376">
        <v>12314358.92</v>
      </c>
      <c r="EY159" s="376">
        <v>22250596.559999999</v>
      </c>
      <c r="EZ159" s="376">
        <v>22219463.719999999</v>
      </c>
      <c r="FA159" s="376">
        <v>7067070.5700000003</v>
      </c>
      <c r="FB159" s="376">
        <v>38353416.07</v>
      </c>
      <c r="FC159" s="450">
        <v>27286098.32</v>
      </c>
      <c r="FD159" s="376">
        <v>24712008.18</v>
      </c>
      <c r="FE159" s="376">
        <v>44558470.93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450">
        <v>23205721.09</v>
      </c>
      <c r="FM159" s="376">
        <v>40874123.119999997</v>
      </c>
      <c r="FN159" s="376">
        <v>14054765.689999999</v>
      </c>
      <c r="FO159" s="376">
        <v>14440865.34</v>
      </c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3266992.16</v>
      </c>
      <c r="EU160" s="376">
        <v>1252962.76</v>
      </c>
      <c r="EV160" s="376">
        <v>2398205.81</v>
      </c>
      <c r="EW160" s="376">
        <v>2567489.7200000002</v>
      </c>
      <c r="EX160" s="376">
        <v>3090956.98</v>
      </c>
      <c r="EY160" s="376">
        <v>5031700.74</v>
      </c>
      <c r="EZ160" s="376">
        <v>2615698.5299999998</v>
      </c>
      <c r="FA160" s="376">
        <v>2782160.17</v>
      </c>
      <c r="FB160" s="376">
        <v>3339367.45</v>
      </c>
      <c r="FC160" s="450">
        <v>5912379.6799999997</v>
      </c>
      <c r="FD160" s="376">
        <v>28699706.960000001</v>
      </c>
      <c r="FE160" s="376">
        <v>17413656</v>
      </c>
      <c r="FF160" s="376">
        <v>720914.39</v>
      </c>
      <c r="FG160" s="376">
        <v>3462137.8600000003</v>
      </c>
      <c r="FH160" s="376">
        <v>1772948.37</v>
      </c>
      <c r="FI160" s="376">
        <v>2074285.0700000003</v>
      </c>
      <c r="FJ160" s="376">
        <v>1862038.5</v>
      </c>
      <c r="FK160" s="376">
        <v>3083998.55</v>
      </c>
      <c r="FL160" s="450">
        <v>2542191.46</v>
      </c>
      <c r="FM160" s="376">
        <v>4838634.8899999997</v>
      </c>
      <c r="FN160" s="376">
        <v>2467021.91</v>
      </c>
      <c r="FO160" s="376">
        <v>10503399.49</v>
      </c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436"/>
      <c r="FF161" s="376"/>
      <c r="FG161" s="376"/>
      <c r="FH161" s="376"/>
      <c r="FI161" s="376"/>
      <c r="FJ161" s="376"/>
      <c r="FK161" s="376"/>
      <c r="FL161" s="450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450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455"/>
      <c r="FE163" s="376"/>
      <c r="FF163" s="376"/>
      <c r="FG163" s="376"/>
      <c r="FH163" s="376"/>
      <c r="FI163" s="376"/>
      <c r="FJ163" s="376"/>
      <c r="FK163" s="376"/>
      <c r="FL163" s="450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450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450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450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450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450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450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450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358750</v>
      </c>
      <c r="FL171" s="449">
        <v>335000</v>
      </c>
      <c r="FM171" s="376">
        <v>145000</v>
      </c>
      <c r="FN171" s="376">
        <v>298894</v>
      </c>
      <c r="FO171" s="376">
        <v>10000</v>
      </c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450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450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450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450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450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450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450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449">
        <v>18837613.199999999</v>
      </c>
      <c r="FM179" s="376">
        <v>54838105.140000001</v>
      </c>
      <c r="FN179" s="376">
        <v>1831381.37</v>
      </c>
      <c r="FO179" s="376">
        <v>6571880.8899999997</v>
      </c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449">
        <v>61633418.82</v>
      </c>
      <c r="FM180" s="376">
        <v>2917512.03</v>
      </c>
      <c r="FN180" s="376">
        <v>16057936.98</v>
      </c>
      <c r="FO180" s="376">
        <v>4520498.25</v>
      </c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450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450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450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4562283.55</v>
      </c>
      <c r="FA184" s="376">
        <v>924617.69</v>
      </c>
      <c r="FB184" s="376">
        <v>872755.39</v>
      </c>
      <c r="FC184" s="376">
        <v>1966075.9</v>
      </c>
      <c r="FD184" s="376">
        <v>1659582.3</v>
      </c>
      <c r="FE184" s="376">
        <v>1578931.59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>
        <v>1848609.33</v>
      </c>
      <c r="FL184" s="449">
        <v>4446503.8099999996</v>
      </c>
      <c r="FM184" s="376">
        <v>880815</v>
      </c>
      <c r="FN184" s="376">
        <v>1579978.54</v>
      </c>
      <c r="FO184" s="376">
        <v>1269302.99</v>
      </c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1407800</v>
      </c>
      <c r="FK185" s="376">
        <v>1291723.94</v>
      </c>
      <c r="FL185" s="449">
        <v>6488928.9000000004</v>
      </c>
      <c r="FM185" s="376">
        <v>433973.31</v>
      </c>
      <c r="FN185" s="376">
        <v>745665.27</v>
      </c>
      <c r="FO185" s="376">
        <v>424125.36</v>
      </c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450">
        <v>28097590.27</v>
      </c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85" t="s">
        <v>685</v>
      </c>
      <c r="F215" s="583">
        <v>2006</v>
      </c>
      <c r="G215" s="582"/>
      <c r="H215" s="582"/>
      <c r="I215" s="582"/>
      <c r="J215" s="582"/>
      <c r="K215" s="582"/>
      <c r="L215" s="582"/>
      <c r="M215" s="582"/>
      <c r="N215" s="582"/>
      <c r="O215" s="582"/>
      <c r="P215" s="582"/>
      <c r="Q215" s="584"/>
      <c r="R215" s="583">
        <v>2007</v>
      </c>
      <c r="S215" s="582"/>
      <c r="T215" s="582"/>
      <c r="U215" s="582"/>
      <c r="V215" s="582"/>
      <c r="W215" s="582"/>
      <c r="X215" s="582"/>
      <c r="Y215" s="582"/>
      <c r="Z215" s="582"/>
      <c r="AA215" s="582"/>
      <c r="AB215" s="582"/>
      <c r="AC215" s="584"/>
      <c r="AD215" s="583">
        <v>2008</v>
      </c>
      <c r="AE215" s="582"/>
      <c r="AF215" s="582"/>
      <c r="AG215" s="582"/>
      <c r="AH215" s="582"/>
      <c r="AI215" s="582"/>
      <c r="AJ215" s="582"/>
      <c r="AK215" s="582"/>
      <c r="AL215" s="582"/>
      <c r="AM215" s="582"/>
      <c r="AN215" s="582"/>
      <c r="AO215" s="584"/>
      <c r="AP215" s="583">
        <v>2009</v>
      </c>
      <c r="AQ215" s="582"/>
      <c r="AR215" s="582"/>
      <c r="AS215" s="582"/>
      <c r="AT215" s="582"/>
      <c r="AU215" s="582"/>
      <c r="AV215" s="582"/>
      <c r="AW215" s="582"/>
      <c r="AX215" s="582"/>
      <c r="AY215" s="582"/>
      <c r="AZ215" s="582"/>
      <c r="BA215" s="584"/>
      <c r="BB215" s="583">
        <v>2010</v>
      </c>
      <c r="BC215" s="582"/>
      <c r="BD215" s="582"/>
      <c r="BE215" s="582"/>
      <c r="BF215" s="582"/>
      <c r="BG215" s="582"/>
      <c r="BH215" s="582"/>
      <c r="BI215" s="582"/>
      <c r="BJ215" s="582"/>
      <c r="BK215" s="582"/>
      <c r="BL215" s="582"/>
      <c r="BM215" s="584"/>
      <c r="BN215" s="583">
        <v>2011</v>
      </c>
      <c r="BO215" s="582"/>
      <c r="BP215" s="582"/>
      <c r="BQ215" s="582"/>
      <c r="BR215" s="582"/>
      <c r="BS215" s="582"/>
      <c r="BT215" s="582"/>
      <c r="BU215" s="582"/>
      <c r="BV215" s="582"/>
      <c r="BW215" s="582"/>
      <c r="BX215" s="582"/>
      <c r="BY215" s="584"/>
      <c r="BZ215" s="582">
        <v>2012</v>
      </c>
      <c r="CA215" s="582"/>
      <c r="CB215" s="582"/>
      <c r="CC215" s="582"/>
      <c r="CD215" s="582"/>
      <c r="CE215" s="582"/>
      <c r="CF215" s="582"/>
      <c r="CG215" s="582"/>
      <c r="CH215" s="582"/>
      <c r="CI215" s="582"/>
      <c r="CJ215" s="582"/>
      <c r="CK215" s="582"/>
      <c r="CL215" s="583">
        <v>2013</v>
      </c>
      <c r="CM215" s="582"/>
      <c r="CN215" s="582"/>
      <c r="CO215" s="582"/>
      <c r="CP215" s="582"/>
      <c r="CQ215" s="582"/>
      <c r="CR215" s="582"/>
      <c r="CS215" s="582"/>
      <c r="CT215" s="582"/>
      <c r="CU215" s="582"/>
      <c r="CV215" s="582"/>
      <c r="CW215" s="584"/>
      <c r="CX215" s="583">
        <v>2014</v>
      </c>
      <c r="CY215" s="582"/>
      <c r="CZ215" s="582"/>
      <c r="DA215" s="582"/>
      <c r="DB215" s="582"/>
      <c r="DC215" s="582"/>
      <c r="DD215" s="582"/>
      <c r="DE215" s="582"/>
      <c r="DF215" s="582"/>
      <c r="DG215" s="582"/>
      <c r="DH215" s="582"/>
      <c r="DI215" s="584"/>
      <c r="DJ215" s="583">
        <v>2015</v>
      </c>
      <c r="DK215" s="582"/>
      <c r="DL215" s="582"/>
      <c r="DM215" s="582"/>
      <c r="DN215" s="582"/>
      <c r="DO215" s="582"/>
      <c r="DP215" s="582"/>
      <c r="DQ215" s="582"/>
      <c r="DR215" s="582"/>
      <c r="DS215" s="582"/>
      <c r="DT215" s="582"/>
      <c r="DU215" s="584"/>
    </row>
    <row r="216" spans="1:175">
      <c r="E216" s="585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778</v>
      </c>
      <c r="FG216" s="393" t="s">
        <v>779</v>
      </c>
      <c r="FH216" s="393" t="s">
        <v>780</v>
      </c>
      <c r="FI216" s="393" t="s">
        <v>781</v>
      </c>
      <c r="FJ216" s="393" t="s">
        <v>782</v>
      </c>
      <c r="FK216" s="393" t="s">
        <v>783</v>
      </c>
      <c r="FL216" s="393" t="s">
        <v>784</v>
      </c>
      <c r="FM216" s="393" t="s">
        <v>785</v>
      </c>
      <c r="FN216" s="393" t="s">
        <v>786</v>
      </c>
      <c r="FO216" s="393" t="s">
        <v>787</v>
      </c>
      <c r="FP216" s="393" t="s">
        <v>788</v>
      </c>
      <c r="FQ216" s="393" t="s">
        <v>789</v>
      </c>
      <c r="FS216" s="443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4">
        <v>72429730.420000002</v>
      </c>
      <c r="FG219" s="444">
        <v>68470908.439999998</v>
      </c>
      <c r="FH219" s="444">
        <v>98709545.510000005</v>
      </c>
      <c r="FI219" s="444">
        <v>106791818.52</v>
      </c>
      <c r="FJ219" s="444">
        <v>94372185.030000001</v>
      </c>
      <c r="FK219" s="444">
        <v>89389439.689999998</v>
      </c>
      <c r="FL219" s="444">
        <v>106366803.00672032</v>
      </c>
      <c r="FM219" s="444">
        <v>110847613.63774106</v>
      </c>
      <c r="FN219" s="444">
        <f>105712748.66474-4000000</f>
        <v>101712748.66474</v>
      </c>
      <c r="FO219" s="444">
        <f>92295636.2285859+4000000</f>
        <v>96295636.228585899</v>
      </c>
      <c r="FP219" s="444">
        <v>84393107.743797168</v>
      </c>
      <c r="FQ219" s="444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4">
        <v>16498881.48</v>
      </c>
      <c r="FG228" s="444">
        <v>41912269.38000001</v>
      </c>
      <c r="FH228" s="444">
        <v>41047599.18</v>
      </c>
      <c r="FI228" s="444">
        <v>50290988.940000005</v>
      </c>
      <c r="FJ228" s="444">
        <v>37496285.130000003</v>
      </c>
      <c r="FK228" s="444">
        <v>45280786.510000005</v>
      </c>
      <c r="FL228" s="444">
        <v>46250891.035691187</v>
      </c>
      <c r="FM228" s="444">
        <v>44632014.674295112</v>
      </c>
      <c r="FN228" s="444">
        <v>41120271.333377153</v>
      </c>
      <c r="FO228" s="444">
        <v>46928850.635902815</v>
      </c>
      <c r="FP228" s="444">
        <v>44128259.697538294</v>
      </c>
      <c r="FQ228" s="444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4">
        <v>851162.27</v>
      </c>
      <c r="FG233" s="444">
        <v>1041125.3899999999</v>
      </c>
      <c r="FH233" s="444">
        <v>1066481.8799999999</v>
      </c>
      <c r="FI233" s="444">
        <v>1290371.49</v>
      </c>
      <c r="FJ233" s="444">
        <v>1208813.17</v>
      </c>
      <c r="FK233" s="444">
        <v>1252534.6599999999</v>
      </c>
      <c r="FL233" s="444">
        <v>1795731.4641523927</v>
      </c>
      <c r="FM233" s="444">
        <v>1701456.5372229549</v>
      </c>
      <c r="FN233" s="444">
        <v>1388736.0694359436</v>
      </c>
      <c r="FO233" s="444">
        <v>1341528.8515351652</v>
      </c>
      <c r="FP233" s="444">
        <v>1134405.6022195939</v>
      </c>
      <c r="FQ233" s="444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4">
        <v>2315003.25</v>
      </c>
      <c r="FG238" s="444">
        <v>1541397.86</v>
      </c>
      <c r="FH238" s="444">
        <v>2408517.5</v>
      </c>
      <c r="FI238" s="444">
        <v>3310133.38</v>
      </c>
      <c r="FJ238" s="444">
        <v>1792591.2</v>
      </c>
      <c r="FK238" s="444">
        <v>2081141.31</v>
      </c>
      <c r="FL238" s="444">
        <v>3811615.3822946725</v>
      </c>
      <c r="FM238" s="444">
        <v>2369139.8885664819</v>
      </c>
      <c r="FN238" s="444">
        <v>2509036.584840606</v>
      </c>
      <c r="FO238" s="444">
        <v>3286740.3746407013</v>
      </c>
      <c r="FP238" s="444">
        <v>2611990.4957672656</v>
      </c>
      <c r="FQ238" s="444">
        <v>3353537.6354902741</v>
      </c>
      <c r="FR238" s="444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4">
        <v>1567288.04</v>
      </c>
      <c r="FG245" s="444">
        <v>2199531.1</v>
      </c>
      <c r="FH245" s="444">
        <v>3194097.81</v>
      </c>
      <c r="FI245" s="444">
        <v>2385711.15</v>
      </c>
      <c r="FJ245" s="444">
        <v>7159438.3900000006</v>
      </c>
      <c r="FK245" s="444">
        <v>3263135.44</v>
      </c>
      <c r="FL245" s="444">
        <v>3782335.0282840966</v>
      </c>
      <c r="FM245" s="444">
        <v>3340173.0404689522</v>
      </c>
      <c r="FN245" s="444">
        <f>37689732.0664406-35000000</f>
        <v>2689732.0664405972</v>
      </c>
      <c r="FO245" s="444">
        <f>2215962.80977053+35000000</f>
        <v>37215962.809770532</v>
      </c>
      <c r="FP245" s="444">
        <v>3512092.3071244648</v>
      </c>
      <c r="FQ245" s="444">
        <v>7138953.7303113183</v>
      </c>
      <c r="FR245" s="444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6">
        <v>24022843.850000001</v>
      </c>
      <c r="FG260" s="446">
        <v>0</v>
      </c>
      <c r="FH260" s="446">
        <v>107399337.39</v>
      </c>
      <c r="FI260" s="446">
        <v>15000000</v>
      </c>
      <c r="FJ260" s="446">
        <v>112000000</v>
      </c>
      <c r="FK260" s="446">
        <v>17000000</v>
      </c>
      <c r="FL260" s="446">
        <v>17000000</v>
      </c>
      <c r="FM260" s="446">
        <v>15000000</v>
      </c>
      <c r="FN260" s="446">
        <v>17000000</v>
      </c>
      <c r="FO260" s="446">
        <v>17000000</v>
      </c>
      <c r="FP260" s="446">
        <v>15000000</v>
      </c>
      <c r="FQ260" s="446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38858179.001666702</v>
      </c>
      <c r="FR265" s="403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1240174.31083333</v>
      </c>
      <c r="FR271" s="403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5059087.2374999989</v>
      </c>
      <c r="FM286" s="403">
        <v>5071091.2374999989</v>
      </c>
      <c r="FN286" s="403">
        <v>5175886.7374999989</v>
      </c>
      <c r="FO286" s="403">
        <v>5062253.3274999987</v>
      </c>
      <c r="FP286" s="403">
        <v>5061881.6574999988</v>
      </c>
      <c r="FQ286" s="403">
        <v>5000451.0074999994</v>
      </c>
      <c r="FR286" s="403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4122049.5508333351</v>
      </c>
      <c r="FM311" s="403">
        <v>3027649.6708333334</v>
      </c>
      <c r="FN311" s="403">
        <v>2986649.6408333336</v>
      </c>
      <c r="FO311" s="403">
        <v>2977759.6208333336</v>
      </c>
      <c r="FP311" s="403">
        <v>3014504.6508333334</v>
      </c>
      <c r="FQ311" s="403">
        <v>2914612.7408333337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47329512.010000005</v>
      </c>
      <c r="FP321" s="403">
        <v>47329512.010000005</v>
      </c>
      <c r="FQ321" s="403">
        <v>47329512.010000005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2359394.0699999998</v>
      </c>
      <c r="FP330" s="403">
        <v>2359394.0699999998</v>
      </c>
      <c r="FQ330" s="403">
        <v>2359394.0699999998</v>
      </c>
      <c r="FR330" s="403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22848909.595000003</v>
      </c>
      <c r="FM350" s="403">
        <v>17972208.524999999</v>
      </c>
      <c r="FN350" s="403">
        <v>17992208.524999999</v>
      </c>
      <c r="FO350" s="403">
        <v>17923875.184999999</v>
      </c>
      <c r="FP350" s="403">
        <v>17866375.204999998</v>
      </c>
      <c r="FQ350" s="403">
        <v>18024758.024999999</v>
      </c>
      <c r="FR350" s="403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14243749.989999998</v>
      </c>
      <c r="FQ368" s="403">
        <v>14243750.109999999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5014205.3275000015</v>
      </c>
      <c r="FM369" s="403">
        <v>4967667.1475000018</v>
      </c>
      <c r="FN369" s="403">
        <v>4972709.1475000018</v>
      </c>
      <c r="FO369" s="403">
        <v>4947709.1475000018</v>
      </c>
      <c r="FP369" s="403">
        <v>4786209.1475000018</v>
      </c>
      <c r="FQ369" s="403">
        <v>4798442.6775000012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5">
        <v>26666.67</v>
      </c>
      <c r="FG377" s="445">
        <v>26666.67</v>
      </c>
      <c r="FH377" s="445">
        <v>26666.67</v>
      </c>
      <c r="FI377" s="445">
        <v>39926666.670000002</v>
      </c>
      <c r="FJ377" s="445">
        <v>26666.67</v>
      </c>
      <c r="FK377" s="445">
        <v>26666.67</v>
      </c>
      <c r="FL377" s="445">
        <v>26666.67</v>
      </c>
      <c r="FM377" s="445">
        <v>26666.67</v>
      </c>
      <c r="FN377" s="445">
        <v>26666.67</v>
      </c>
      <c r="FO377" s="445">
        <v>26666.67</v>
      </c>
      <c r="FP377" s="445">
        <v>26666.67</v>
      </c>
      <c r="FQ377" s="445">
        <v>26666.63</v>
      </c>
      <c r="FR377" s="445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5">
        <v>84944.84</v>
      </c>
      <c r="FG388" s="445">
        <v>835385.84</v>
      </c>
      <c r="FH388" s="445">
        <v>1812259.88</v>
      </c>
      <c r="FI388" s="445">
        <v>4541832.53</v>
      </c>
      <c r="FJ388" s="445">
        <v>2836722.65</v>
      </c>
      <c r="FK388" s="445">
        <v>7054086.1200000001</v>
      </c>
      <c r="FL388" s="445">
        <v>87625.45</v>
      </c>
      <c r="FM388" s="445">
        <v>10838080.380000001</v>
      </c>
      <c r="FN388" s="445">
        <v>1831359.63</v>
      </c>
      <c r="FO388" s="445">
        <v>1571862.21</v>
      </c>
      <c r="FP388" s="445">
        <v>839459.36</v>
      </c>
      <c r="FQ388" s="445">
        <v>11766381.15</v>
      </c>
      <c r="FR388" s="445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5">
        <v>1633418.82</v>
      </c>
      <c r="FG389" s="445">
        <v>2527307.11</v>
      </c>
      <c r="FH389" s="445">
        <v>15808665.810000001</v>
      </c>
      <c r="FI389" s="445">
        <v>16675362.76</v>
      </c>
      <c r="FJ389" s="445">
        <v>178652835.22999999</v>
      </c>
      <c r="FK389" s="445">
        <v>9790699.6799999997</v>
      </c>
      <c r="FL389" s="445">
        <v>61633418.82</v>
      </c>
      <c r="FM389" s="445">
        <v>2916660.71</v>
      </c>
      <c r="FN389" s="445">
        <v>15999957.68</v>
      </c>
      <c r="FO389" s="445">
        <v>4579294.0199999996</v>
      </c>
      <c r="FP389" s="445">
        <v>9337046.5099999998</v>
      </c>
      <c r="FQ389" s="445">
        <v>9945332.8100000005</v>
      </c>
      <c r="FR389" s="445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1533053.84</v>
      </c>
      <c r="FR393" s="403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4650583.3333333302</v>
      </c>
      <c r="FM394" s="403">
        <v>1650583.3333333333</v>
      </c>
      <c r="FN394" s="403">
        <v>1650583.3333333333</v>
      </c>
      <c r="FO394" s="403">
        <v>2317250</v>
      </c>
      <c r="FP394" s="403">
        <v>2317250</v>
      </c>
      <c r="FQ394" s="403">
        <v>2317250</v>
      </c>
      <c r="FR394" s="403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5">
        <v>1650583.3333333333</v>
      </c>
      <c r="FG395" s="445">
        <v>1843583.3333333333</v>
      </c>
      <c r="FH395" s="445">
        <v>1650583.3333333333</v>
      </c>
      <c r="FI395" s="445">
        <v>1650583.3333333333</v>
      </c>
      <c r="FJ395" s="445">
        <v>1650583.3333333333</v>
      </c>
      <c r="FK395" s="445">
        <v>1650583.3333333333</v>
      </c>
      <c r="FL395" s="445">
        <f>1650583.33333333+3000000</f>
        <v>4650583.3333333302</v>
      </c>
      <c r="FM395" s="445">
        <v>1650583.3333333333</v>
      </c>
      <c r="FN395" s="445">
        <v>1650583.3333333333</v>
      </c>
      <c r="FO395" s="445">
        <f>3317250-1000000</f>
        <v>2317250</v>
      </c>
      <c r="FP395" s="445">
        <f>3317250-1000000</f>
        <v>2317250</v>
      </c>
      <c r="FQ395" s="445">
        <f>3317250-1000000</f>
        <v>2317250</v>
      </c>
      <c r="FR395" s="445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5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5" sqref="B5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792</v>
      </c>
      <c r="F8" s="34" t="s">
        <v>793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776</v>
      </c>
      <c r="F11" s="12" t="s">
        <v>777</v>
      </c>
      <c r="G11" s="52" t="str">
        <f t="shared" si="0"/>
        <v>Mjesečni podaci 2019</v>
      </c>
    </row>
    <row r="12" spans="2:7">
      <c r="D12" s="41"/>
      <c r="E12" s="11" t="s">
        <v>774</v>
      </c>
      <c r="F12" s="12" t="s">
        <v>775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796</v>
      </c>
      <c r="F80" s="16" t="s">
        <v>797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549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Oktobar</v>
      </c>
    </row>
    <row r="245" spans="4:7">
      <c r="D245" s="49"/>
      <c r="E245" s="9"/>
      <c r="F245" s="10"/>
      <c r="G245" s="52" t="str">
        <f>+CONCATENATE("Jan - ",LEFT(G244,3))</f>
        <v>Jan - Okt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Oktobar</v>
      </c>
      <c r="F253" s="10" t="str">
        <f>+CONCATENATE("Analytics for period ",G244)</f>
        <v>Analytics for period Oktobar</v>
      </c>
      <c r="G253" s="52" t="str">
        <f>+IF(ISBLANK(IF($B$2=1,E253,F253)),"",IF($B$2=1,E253,F253))</f>
        <v>Analitika za period Oktobar</v>
      </c>
    </row>
    <row r="254" spans="4:7">
      <c r="D254" s="46"/>
      <c r="E254" s="9" t="str">
        <f>+CONCATENATE("Analitika za period ",G245)</f>
        <v>Analitika za period Jan - Okt</v>
      </c>
      <c r="F254" s="10" t="str">
        <f>+CONCATENATE("Analytics for period ",G245)</f>
        <v>Analytics for period Jan - Okt</v>
      </c>
      <c r="G254" s="52" t="str">
        <f>+IF(ISBLANK(IF($B$2=1,E254,F254)),"",IF($B$2=1,E254,F254))</f>
        <v>Analitika za period Jan - Okt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Oktobar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Oktobar</v>
      </c>
    </row>
    <row r="271" spans="4:7">
      <c r="E271" s="9" t="s">
        <v>736</v>
      </c>
      <c r="F271" s="10" t="s">
        <v>404</v>
      </c>
      <c r="G271" s="52" t="str">
        <f>+CONCATENATE(IF(ISBLANK(IF($B$2=1,E271,F271)),"",IF($B$2=1,E271,F271))," ",$G$244)</f>
        <v>Suficit/Deficit za mjesec Oktobar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Oktobar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Oktobar</v>
      </c>
    </row>
    <row r="275" spans="5:7">
      <c r="E275" s="9" t="s">
        <v>794</v>
      </c>
      <c r="F275" s="10" t="s">
        <v>795</v>
      </c>
      <c r="G275" s="52" t="str">
        <f>+CONCATENATE(IF(ISBLANK(IF($B$2=1,E275,F275)),"",IF($B$2=1,E275,F275))," ",$G$244)</f>
        <v>Suficit/Deficit za period Januar - Oktobar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D34" sqref="D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Oktobar</v>
      </c>
      <c r="E11" s="157"/>
      <c r="F11" s="157"/>
      <c r="G11" s="157"/>
      <c r="H11" s="318" t="str">
        <f>+Master!G273</f>
        <v>Prihodi za period Januar - Oktobar</v>
      </c>
      <c r="I11" s="319"/>
      <c r="J11" s="307"/>
      <c r="K11" s="158"/>
    </row>
    <row r="12" spans="3:11">
      <c r="C12" s="156"/>
      <c r="D12" s="160">
        <f>+'Analitika - 2019'!N10</f>
        <v>156576999.77000001</v>
      </c>
      <c r="E12" s="161">
        <f>+D12/'2019'!T7</f>
        <v>3.2504411320088855E-2</v>
      </c>
      <c r="F12" s="157"/>
      <c r="G12" s="157"/>
      <c r="H12" s="320">
        <f>+'Analitika - 2019'!G10</f>
        <v>1494736888.51</v>
      </c>
      <c r="I12" s="321">
        <f>+H12/'2019'!T7</f>
        <v>0.31029808152415356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Oktobar</v>
      </c>
      <c r="E15" s="157"/>
      <c r="F15" s="157"/>
      <c r="G15" s="157"/>
      <c r="H15" s="318" t="str">
        <f>+Master!G274</f>
        <v>Rashodi za period Januar - Oktobar</v>
      </c>
      <c r="I15" s="319"/>
      <c r="J15" s="307"/>
      <c r="K15" s="158"/>
    </row>
    <row r="16" spans="3:11">
      <c r="C16" s="156"/>
      <c r="D16" s="160">
        <f>+'Analitika - 2019'!N29</f>
        <v>153584886.19</v>
      </c>
      <c r="E16" s="161">
        <f>+D16/'2019'!T7</f>
        <v>3.1883267150360176E-2</v>
      </c>
      <c r="F16" s="157"/>
      <c r="G16" s="157"/>
      <c r="H16" s="320">
        <f>+'Analitika - 2019'!G29</f>
        <v>1530113895.8600001</v>
      </c>
      <c r="I16" s="321">
        <f>+H16/'2019'!T7</f>
        <v>0.31764212822237448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Oktobar</v>
      </c>
      <c r="E19" s="157"/>
      <c r="F19" s="157"/>
      <c r="G19" s="157"/>
      <c r="H19" s="318" t="str">
        <f>+Master!G275</f>
        <v>Suficit/Deficit za period Januar - Oktobar</v>
      </c>
      <c r="I19" s="319"/>
      <c r="J19" s="307"/>
      <c r="K19" s="158"/>
    </row>
    <row r="20" spans="3:11">
      <c r="C20" s="156"/>
      <c r="D20" s="160">
        <f>+'Analitika - 2019'!N55</f>
        <v>2992113.5800000131</v>
      </c>
      <c r="E20" s="161">
        <f>+D20/'2019'!T7</f>
        <v>6.2114416972867763E-4</v>
      </c>
      <c r="F20" s="157"/>
      <c r="G20" s="157"/>
      <c r="H20" s="320">
        <f>+'Analitika - 2019'!G55</f>
        <v>-35377007.350000039</v>
      </c>
      <c r="I20" s="321">
        <f>+H20/'2019'!T7</f>
        <v>-7.3440466982209298E-3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16"/>
      <c r="E22" s="517"/>
      <c r="F22" s="517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zoomScale="110" zoomScaleNormal="110" workbookViewId="0">
      <pane ySplit="5" topLeftCell="A6" activePane="bottomLeft" state="frozen"/>
      <selection activeCell="DK219" sqref="DK219"/>
      <selection pane="bottomLeft" activeCell="M55" sqref="M5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461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456"/>
    </row>
    <row r="2" spans="1:20" s="1" customFormat="1">
      <c r="C2" s="2"/>
      <c r="E2" s="3" t="str">
        <f>+Master!G6</f>
        <v>Crna Gora</v>
      </c>
      <c r="G2" s="456"/>
      <c r="I2" s="4"/>
    </row>
    <row r="3" spans="1:20" s="1" customFormat="1">
      <c r="B3" s="188"/>
      <c r="E3" s="4" t="str">
        <f>+Master!G7</f>
        <v>Ministarstvo finansija</v>
      </c>
      <c r="G3" s="456"/>
    </row>
    <row r="4" spans="1:20" s="1" customFormat="1">
      <c r="E4" s="4" t="str">
        <f>+Master!G8</f>
        <v>Direktorat za državni budžet</v>
      </c>
      <c r="G4" s="456"/>
    </row>
    <row r="5" spans="1:20" s="1" customFormat="1">
      <c r="G5" s="456"/>
    </row>
    <row r="6" spans="1:20" ht="15.75" thickBot="1">
      <c r="A6" s="152"/>
      <c r="B6" s="152"/>
      <c r="C6" s="152"/>
      <c r="D6" s="152"/>
      <c r="E6" s="152"/>
      <c r="F6" s="152"/>
      <c r="G6" s="457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2019-10</v>
      </c>
      <c r="O6" s="168" t="str">
        <f>+CONCATENATE(N6,"p")</f>
        <v>2019-10p</v>
      </c>
      <c r="P6" s="152"/>
      <c r="Q6" s="152"/>
      <c r="R6" s="168" t="str">
        <f>+IF(Master!B3-10&gt;=0,CONCATENATE(Master!B4-1,"-",Master!B3),CONCATENATE(Master!B4-1,"-0",Master!B3))</f>
        <v>2018-10</v>
      </c>
      <c r="S6" s="152"/>
      <c r="T6" s="152"/>
    </row>
    <row r="7" spans="1:20">
      <c r="A7" s="169"/>
      <c r="B7" s="498" t="str">
        <f>+Master!G253</f>
        <v>Analitika za period Oktobar</v>
      </c>
      <c r="C7" s="499"/>
      <c r="D7" s="499"/>
      <c r="E7" s="499"/>
      <c r="F7" s="499"/>
      <c r="G7" s="507" t="str">
        <f>+Master!G245</f>
        <v>Jan - Okt</v>
      </c>
      <c r="H7" s="508"/>
      <c r="I7" s="508"/>
      <c r="J7" s="508"/>
      <c r="K7" s="508"/>
      <c r="L7" s="508"/>
      <c r="M7" s="509"/>
      <c r="N7" s="510" t="str">
        <f>+Master!G244</f>
        <v>Oktobar</v>
      </c>
      <c r="O7" s="508"/>
      <c r="P7" s="508"/>
      <c r="Q7" s="508"/>
      <c r="R7" s="508"/>
      <c r="S7" s="508"/>
      <c r="T7" s="511"/>
    </row>
    <row r="8" spans="1:20">
      <c r="A8" s="169"/>
      <c r="B8" s="500"/>
      <c r="C8" s="501"/>
      <c r="D8" s="501"/>
      <c r="E8" s="501"/>
      <c r="F8" s="502"/>
      <c r="G8" s="458" t="str">
        <f>+Master!G23</f>
        <v>Ostvarenje</v>
      </c>
      <c r="H8" s="170" t="str">
        <f>+Master!G22</f>
        <v>Plan</v>
      </c>
      <c r="I8" s="496" t="str">
        <f>+Master!G260</f>
        <v>Odstupanje</v>
      </c>
      <c r="J8" s="496"/>
      <c r="K8" s="170" t="str">
        <f>+CONCATENATE(Master!G245," ",Master!B4-1)</f>
        <v>Jan - Okt 2018</v>
      </c>
      <c r="L8" s="496" t="str">
        <f>+I8</f>
        <v>Odstupanje</v>
      </c>
      <c r="M8" s="506"/>
      <c r="N8" s="171" t="str">
        <f>+G8</f>
        <v>Ostvarenje</v>
      </c>
      <c r="O8" s="170" t="str">
        <f>+H8</f>
        <v>Plan</v>
      </c>
      <c r="P8" s="496" t="str">
        <f>+I8</f>
        <v>Odstupanje</v>
      </c>
      <c r="Q8" s="496"/>
      <c r="R8" s="170" t="str">
        <f>+CONCATENATE(Master!G244," ",Master!B4-1)</f>
        <v>Oktobar 2018</v>
      </c>
      <c r="S8" s="496" t="str">
        <f>+P8</f>
        <v>Odstupanje</v>
      </c>
      <c r="T8" s="497"/>
    </row>
    <row r="9" spans="1:20" ht="15.75" thickBot="1">
      <c r="A9" s="169"/>
      <c r="B9" s="503"/>
      <c r="C9" s="504"/>
      <c r="D9" s="504"/>
      <c r="E9" s="504"/>
      <c r="F9" s="505"/>
      <c r="G9" s="459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>+SUMPRODUCT(('2019'!$G10:$R10)*('2019'!$G$5:$R$5&lt;=Master!$B$3)*($A10='2019'!$A$10:$A$66))</f>
        <v>1494736888.51</v>
      </c>
      <c r="H10" s="176">
        <f>+SUMPRODUCT(('2019'!$G105:$R105)*('2019'!$G$5:$R$5&lt;=Master!$B$3))</f>
        <v>1491955477.6251152</v>
      </c>
      <c r="I10" s="177">
        <f>+G10-H10</f>
        <v>2781410.8848848343</v>
      </c>
      <c r="J10" s="178">
        <f>+IF(ISNUMBER(G10/H10-1),G10/H10-1,"…")</f>
        <v>1.8642720420265491E-3</v>
      </c>
      <c r="K10" s="176">
        <f>+SUMPRODUCT(('2018'!$G10:$R10)*('2018'!$G$5:$R$5&lt;=Master!$B$3))</f>
        <v>1418771721.2300003</v>
      </c>
      <c r="L10" s="177">
        <f>+G10-K10</f>
        <v>75965167.279999733</v>
      </c>
      <c r="M10" s="179">
        <f>+IF(ISNUMBER(G10/K10-1),G10/K10-1,"…")</f>
        <v>5.3542910493128426E-2</v>
      </c>
      <c r="N10" s="176">
        <f>+INDEX('2019'!$1:$1048576,MATCH('Analitika - 2019'!$A10,'2019'!$A:$A,0),MATCH('Analitika - 2019'!$N$6,'2019'!$6:$6,0))</f>
        <v>156576999.77000001</v>
      </c>
      <c r="O10" s="176">
        <f>+INDEX('2019'!$1:$1048576,MATCH(CONCATENATE('Analitika - 2019'!$A10,"p"),'2019'!$A:$A,0),MATCH('Analitika - 2019'!$O$6,'2019'!$101:$101,0))</f>
        <v>188402533.23753721</v>
      </c>
      <c r="P10" s="177">
        <f>+N10-O10</f>
        <v>-31825533.467537194</v>
      </c>
      <c r="Q10" s="178">
        <f>+IF(ISNUMBER(N10/O10-1),N10/O10-1,"…")</f>
        <v>-0.16892306552699943</v>
      </c>
      <c r="R10" s="176">
        <f>+INDEX('2018'!$1:$1048576,MATCH('Analitika - 2019'!$A10,'2018'!$A:$A,0),MATCH('Analitika - 2019'!$R$6,'2018'!$6:$6,0))</f>
        <v>145768654.70000002</v>
      </c>
      <c r="S10" s="177">
        <f>+N10-R10</f>
        <v>10808345.069999993</v>
      </c>
      <c r="T10" s="179">
        <f>+IF(ISNUMBER(N10/R10-1),N10/R10-1,"…")</f>
        <v>7.4147251288311455E-2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341">
        <f>+SUMPRODUCT(('2019'!$G11:$R11)*('2019'!$G$5:$R$5&lt;=Master!$B$3)*($A11='2019'!$A$10:$A$66))</f>
        <v>980445452.58000004</v>
      </c>
      <c r="H11" s="341">
        <f>+SUMPRODUCT(('2019'!$G106:$R106)*('2019'!$G$5:$R$5&lt;=Master!$B$3))</f>
        <v>945386429.14778745</v>
      </c>
      <c r="I11" s="183">
        <f t="shared" ref="I11:I59" si="0">+G11-H11</f>
        <v>35059023.432212591</v>
      </c>
      <c r="J11" s="184">
        <f t="shared" ref="J11:J59" si="1">+IF(ISNUMBER(G11/H11-1),G11/H11-1,"…")</f>
        <v>3.7084331180654129E-2</v>
      </c>
      <c r="K11" s="341">
        <f>+SUMPRODUCT(('2018'!$G11:$R11)*('2018'!$G$5:$R$5&lt;=Master!$B$3))</f>
        <v>895725585.26999998</v>
      </c>
      <c r="L11" s="183">
        <f>+G11-K11</f>
        <v>84719867.310000062</v>
      </c>
      <c r="M11" s="185">
        <f t="shared" ref="M11:M59" si="2">+IF(ISNUMBER(G11/K11-1),G11/K11-1,"…")</f>
        <v>9.4582390749129663E-2</v>
      </c>
      <c r="N11" s="341">
        <f>+INDEX('2019'!$1:$1048576,MATCH('Analitika - 2019'!$A11,'2019'!$A:$A,0),MATCH('Analitika - 2019'!$N$6,'2019'!$6:$6,0))</f>
        <v>101600991.11</v>
      </c>
      <c r="O11" s="341">
        <f>+INDEX('2019'!$1:$1048576,MATCH(CONCATENATE('Analitika - 2019'!$A11,"p"),'2019'!$A:$A,0),MATCH('Analitika - 2019'!$O$6,'2019'!$101:$101,0))</f>
        <v>96295636.228585869</v>
      </c>
      <c r="P11" s="183">
        <f t="shared" ref="P11:P59" si="3">+N11-O11</f>
        <v>5305354.8814141303</v>
      </c>
      <c r="Q11" s="184">
        <f t="shared" ref="Q11:Q59" si="4">+IF(ISNUMBER(N11/O11-1),N11/O11-1,"…")</f>
        <v>5.5094447569984606E-2</v>
      </c>
      <c r="R11" s="341">
        <f>+INDEX('2018'!$1:$1048576,MATCH('Analitika - 2019'!$A11,'2018'!$A:$A,0),MATCH('Analitika - 2019'!$R$6,'2018'!$6:$6,0))</f>
        <v>89707200.510000005</v>
      </c>
      <c r="S11" s="183">
        <f t="shared" ref="S11:S59" si="5">+N11-R11</f>
        <v>11893790.599999994</v>
      </c>
      <c r="T11" s="185">
        <f t="shared" ref="T11:T59" si="6">+IF(ISNUMBER(N11/R11-1),N11/R11-1,"…")</f>
        <v>0.1325845699384427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f>+SUMPRODUCT(('2019'!$G12:$R12)*('2019'!$G$5:$R$5&lt;=Master!$B$3)*($A12='2019'!$A$10:$A$66))</f>
        <v>96372014.319999993</v>
      </c>
      <c r="H12" s="188">
        <f>+SUMPRODUCT(('2019'!$G107:$R107)*('2019'!$G$5:$R$5&lt;=Master!$B$3))</f>
        <v>93338868.012191847</v>
      </c>
      <c r="I12" s="189">
        <f t="shared" si="0"/>
        <v>3033146.3078081459</v>
      </c>
      <c r="J12" s="190">
        <f t="shared" si="1"/>
        <v>3.2496069133942873E-2</v>
      </c>
      <c r="K12" s="188">
        <f>+SUMPRODUCT(('2018'!$G12:$R12)*('2018'!$G$5:$R$5&lt;=Master!$B$3))</f>
        <v>95520952.170000017</v>
      </c>
      <c r="L12" s="189">
        <f>+G12-K12</f>
        <v>851062.14999997616</v>
      </c>
      <c r="M12" s="191">
        <f t="shared" si="2"/>
        <v>8.9096908130199548E-3</v>
      </c>
      <c r="N12" s="188">
        <f>+INDEX('2019'!$1:$1048576,MATCH('Analitika - 2019'!$A12,'2019'!$A:$A,0),MATCH('Analitika - 2019'!$N$6,'2019'!$6:$6,0))</f>
        <v>10824900.91</v>
      </c>
      <c r="O12" s="188">
        <f>+INDEX('2019'!$1:$1048576,MATCH(CONCATENATE('Analitika - 2019'!$A12,"p"),'2019'!$A:$A,0),MATCH('Analitika - 2019'!$O$6,'2019'!$101:$101,0))</f>
        <v>9589847.5886837803</v>
      </c>
      <c r="P12" s="189">
        <f t="shared" si="3"/>
        <v>1235053.3213162199</v>
      </c>
      <c r="Q12" s="190">
        <f t="shared" si="4"/>
        <v>0.1287875860272909</v>
      </c>
      <c r="R12" s="188">
        <f>+INDEX('2018'!$1:$1048576,MATCH('Analitika - 2019'!$A12,'2018'!$A:$A,0),MATCH('Analitika - 2019'!$R$6,'2018'!$6:$6,0))</f>
        <v>10275884.26</v>
      </c>
      <c r="S12" s="189">
        <f t="shared" si="5"/>
        <v>549016.65000000037</v>
      </c>
      <c r="T12" s="191">
        <f t="shared" si="6"/>
        <v>5.3427679419970397E-2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f>+SUMPRODUCT(('2019'!$G13:$R13)*('2019'!$G$5:$R$5&lt;=Master!$B$3)*($A13='2019'!$A$10:$A$66))</f>
        <v>64150550.75</v>
      </c>
      <c r="H13" s="188">
        <f>+SUMPRODUCT(('2019'!$G108:$R108)*('2019'!$G$5:$R$5&lt;=Master!$B$3))</f>
        <v>69031674.782190576</v>
      </c>
      <c r="I13" s="189">
        <f t="shared" si="0"/>
        <v>-4881124.0321905762</v>
      </c>
      <c r="J13" s="190">
        <f t="shared" si="1"/>
        <v>-7.0708468939679414E-2</v>
      </c>
      <c r="K13" s="188">
        <f>+SUMPRODUCT(('2018'!$G13:$R13)*('2018'!$G$5:$R$5&lt;=Master!$B$3))</f>
        <v>65557425.61999999</v>
      </c>
      <c r="L13" s="189">
        <f t="shared" ref="L13:L59" si="7">+G13-K13</f>
        <v>-1406874.8699999899</v>
      </c>
      <c r="M13" s="191">
        <f t="shared" si="2"/>
        <v>-2.1460190919558975E-2</v>
      </c>
      <c r="N13" s="188">
        <f>+INDEX('2019'!$1:$1048576,MATCH('Analitika - 2019'!$A13,'2019'!$A:$A,0),MATCH('Analitika - 2019'!$N$6,'2019'!$6:$6,0))</f>
        <v>690017.25</v>
      </c>
      <c r="O13" s="188">
        <f>+INDEX('2019'!$1:$1048576,MATCH(CONCATENATE('Analitika - 2019'!$A13,"p"),'2019'!$A:$A,0),MATCH('Analitika - 2019'!$O$6,'2019'!$101:$101,0))</f>
        <v>5099414.7304318398</v>
      </c>
      <c r="P13" s="189">
        <f t="shared" si="3"/>
        <v>-4409397.4804318398</v>
      </c>
      <c r="Q13" s="190">
        <f t="shared" si="4"/>
        <v>-0.86468697164751562</v>
      </c>
      <c r="R13" s="188">
        <f>+INDEX('2018'!$1:$1048576,MATCH('Analitika - 2019'!$A13,'2018'!$A:$A,0),MATCH('Analitika - 2019'!$R$6,'2018'!$6:$6,0))</f>
        <v>1043872.54</v>
      </c>
      <c r="S13" s="189">
        <f t="shared" si="5"/>
        <v>-353855.29000000004</v>
      </c>
      <c r="T13" s="191">
        <f t="shared" si="6"/>
        <v>-0.33898323448569689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f>+SUMPRODUCT(('2019'!$G14:$R14)*('2019'!$G$5:$R$5&lt;=Master!$B$3)*($A14='2019'!$A$10:$A$66))</f>
        <v>1575091.19</v>
      </c>
      <c r="H14" s="188">
        <f>+SUMPRODUCT(('2019'!$G109:$R109)*('2019'!$G$5:$R$5&lt;=Master!$B$3))</f>
        <v>1498730.4263851847</v>
      </c>
      <c r="I14" s="189">
        <f t="shared" si="0"/>
        <v>76360.763614815194</v>
      </c>
      <c r="J14" s="190">
        <f t="shared" si="1"/>
        <v>5.0950299180214209E-2</v>
      </c>
      <c r="K14" s="188">
        <f>+SUMPRODUCT(('2018'!$G14:$R14)*('2018'!$G$5:$R$5&lt;=Master!$B$3))</f>
        <v>1433468.22</v>
      </c>
      <c r="L14" s="189">
        <f t="shared" si="7"/>
        <v>141622.96999999997</v>
      </c>
      <c r="M14" s="191">
        <f t="shared" si="2"/>
        <v>9.8797425728768484E-2</v>
      </c>
      <c r="N14" s="188">
        <f>+INDEX('2019'!$1:$1048576,MATCH('Analitika - 2019'!$A14,'2019'!$A:$A,0),MATCH('Analitika - 2019'!$N$6,'2019'!$6:$6,0))</f>
        <v>174049.01</v>
      </c>
      <c r="O14" s="188">
        <f>+INDEX('2019'!$1:$1048576,MATCH(CONCATENATE('Analitika - 2019'!$A14,"p"),'2019'!$A:$A,0),MATCH('Analitika - 2019'!$O$6,'2019'!$101:$101,0))</f>
        <v>134863.8150111227</v>
      </c>
      <c r="P14" s="189">
        <f t="shared" si="3"/>
        <v>39185.194988877309</v>
      </c>
      <c r="Q14" s="190">
        <f t="shared" si="4"/>
        <v>0.29055380782195406</v>
      </c>
      <c r="R14" s="188">
        <f>+INDEX('2018'!$1:$1048576,MATCH('Analitika - 2019'!$A14,'2018'!$A:$A,0),MATCH('Analitika - 2019'!$R$6,'2018'!$6:$6,0))</f>
        <v>155540.06</v>
      </c>
      <c r="S14" s="189">
        <f t="shared" si="5"/>
        <v>18508.950000000012</v>
      </c>
      <c r="T14" s="191">
        <f t="shared" si="6"/>
        <v>0.11899796103974758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f>+SUMPRODUCT(('2019'!$G15:$R15)*('2019'!$G$5:$R$5&lt;=Master!$B$3)*($A15='2019'!$A$10:$A$66))</f>
        <v>583727136.10000002</v>
      </c>
      <c r="H15" s="188">
        <f>+SUMPRODUCT(('2019'!$G110:$R110)*('2019'!$G$5:$R$5&lt;=Master!$B$3))</f>
        <v>553977493.28527355</v>
      </c>
      <c r="I15" s="189">
        <f t="shared" si="0"/>
        <v>29749642.814726472</v>
      </c>
      <c r="J15" s="190">
        <f t="shared" si="1"/>
        <v>5.3701897956722089E-2</v>
      </c>
      <c r="K15" s="188">
        <f>+SUMPRODUCT(('2018'!$G15:$R15)*('2018'!$G$5:$R$5&lt;=Master!$B$3))</f>
        <v>518208928.78000003</v>
      </c>
      <c r="L15" s="189">
        <f t="shared" si="7"/>
        <v>65518207.319999993</v>
      </c>
      <c r="M15" s="191">
        <f t="shared" si="2"/>
        <v>0.12643203094598743</v>
      </c>
      <c r="N15" s="188">
        <f>+INDEX('2019'!$1:$1048576,MATCH('Analitika - 2019'!$A15,'2019'!$A:$A,0),MATCH('Analitika - 2019'!$N$6,'2019'!$6:$6,0))</f>
        <v>65908952.759999998</v>
      </c>
      <c r="O15" s="188">
        <f>+INDEX('2019'!$1:$1048576,MATCH(CONCATENATE('Analitika - 2019'!$A15,"p"),'2019'!$A:$A,0),MATCH('Analitika - 2019'!$O$6,'2019'!$101:$101,0))</f>
        <v>59046360.535818897</v>
      </c>
      <c r="P15" s="189">
        <f t="shared" si="3"/>
        <v>6862592.2241811007</v>
      </c>
      <c r="Q15" s="190">
        <f t="shared" si="4"/>
        <v>0.1162237970622777</v>
      </c>
      <c r="R15" s="188">
        <f>+INDEX('2018'!$1:$1048576,MATCH('Analitika - 2019'!$A15,'2018'!$A:$A,0),MATCH('Analitika - 2019'!$R$6,'2018'!$6:$6,0))</f>
        <v>56740213.189999998</v>
      </c>
      <c r="S15" s="189">
        <f t="shared" si="5"/>
        <v>9168739.5700000003</v>
      </c>
      <c r="T15" s="191">
        <f t="shared" si="6"/>
        <v>0.16159156010390019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f>+SUMPRODUCT(('2019'!$G16:$R16)*('2019'!$G$5:$R$5&lt;=Master!$B$3)*($A16='2019'!$A$10:$A$66))</f>
        <v>199295138.15000001</v>
      </c>
      <c r="H16" s="188">
        <f>+SUMPRODUCT(('2019'!$G111:$R111)*('2019'!$G$5:$R$5&lt;=Master!$B$3))</f>
        <v>195449257.76261634</v>
      </c>
      <c r="I16" s="189">
        <f t="shared" si="0"/>
        <v>3845880.3873836696</v>
      </c>
      <c r="J16" s="190">
        <f t="shared" si="1"/>
        <v>1.9677129662240445E-2</v>
      </c>
      <c r="K16" s="188">
        <f>+SUMPRODUCT(('2018'!$G16:$R16)*('2018'!$G$5:$R$5&lt;=Master!$B$3))</f>
        <v>184638453.90000001</v>
      </c>
      <c r="L16" s="189">
        <f t="shared" si="7"/>
        <v>14656684.25</v>
      </c>
      <c r="M16" s="191">
        <f t="shared" si="2"/>
        <v>7.9380453748481017E-2</v>
      </c>
      <c r="N16" s="188">
        <f>+INDEX('2019'!$1:$1048576,MATCH('Analitika - 2019'!$A16,'2019'!$A:$A,0),MATCH('Analitika - 2019'!$N$6,'2019'!$6:$6,0))</f>
        <v>20585777.449999999</v>
      </c>
      <c r="O16" s="188">
        <f>+INDEX('2019'!$1:$1048576,MATCH(CONCATENATE('Analitika - 2019'!$A16,"p"),'2019'!$A:$A,0),MATCH('Analitika - 2019'!$O$6,'2019'!$101:$101,0))</f>
        <v>19593872.367677551</v>
      </c>
      <c r="P16" s="189">
        <f t="shared" si="3"/>
        <v>991905.08232244849</v>
      </c>
      <c r="Q16" s="190">
        <f t="shared" si="4"/>
        <v>5.0623228717092017E-2</v>
      </c>
      <c r="R16" s="188">
        <f>+INDEX('2018'!$1:$1048576,MATCH('Analitika - 2019'!$A16,'2018'!$A:$A,0),MATCH('Analitika - 2019'!$R$6,'2018'!$6:$6,0))</f>
        <v>18141856.039999999</v>
      </c>
      <c r="S16" s="189">
        <f t="shared" si="5"/>
        <v>2443921.41</v>
      </c>
      <c r="T16" s="191">
        <f t="shared" si="6"/>
        <v>0.1347117629316168</v>
      </c>
    </row>
    <row r="17" spans="1:20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f>+SUMPRODUCT(('2019'!$G17:$R17)*('2019'!$G$5:$R$5&lt;=Master!$B$3)*($A17='2019'!$A$10:$A$66))</f>
        <v>24063585.800000001</v>
      </c>
      <c r="H17" s="188">
        <f>+SUMPRODUCT(('2019'!$G112:$R112)*('2019'!$G$5:$R$5&lt;=Master!$B$3))</f>
        <v>23314664.046618193</v>
      </c>
      <c r="I17" s="189">
        <f t="shared" si="0"/>
        <v>748921.75338180736</v>
      </c>
      <c r="J17" s="190">
        <f t="shared" si="1"/>
        <v>3.2122348058900574E-2</v>
      </c>
      <c r="K17" s="188">
        <f>+SUMPRODUCT(('2018'!$G17:$R17)*('2018'!$G$5:$R$5&lt;=Master!$B$3))</f>
        <v>22682604.940000001</v>
      </c>
      <c r="L17" s="189">
        <f t="shared" si="7"/>
        <v>1380980.8599999994</v>
      </c>
      <c r="M17" s="191">
        <f t="shared" si="2"/>
        <v>6.0882815869383933E-2</v>
      </c>
      <c r="N17" s="188">
        <f>+INDEX('2019'!$1:$1048576,MATCH('Analitika - 2019'!$A17,'2019'!$A:$A,0),MATCH('Analitika - 2019'!$N$6,'2019'!$6:$6,0))</f>
        <v>2492699.6800000002</v>
      </c>
      <c r="O17" s="188">
        <f>+INDEX('2019'!$1:$1048576,MATCH(CONCATENATE('Analitika - 2019'!$A17,"p"),'2019'!$A:$A,0),MATCH('Analitika - 2019'!$O$6,'2019'!$101:$101,0))</f>
        <v>2505449.340977564</v>
      </c>
      <c r="P17" s="189">
        <f t="shared" si="3"/>
        <v>-12749.660977563821</v>
      </c>
      <c r="Q17" s="190">
        <f t="shared" si="4"/>
        <v>-5.0887722090557919E-3</v>
      </c>
      <c r="R17" s="188">
        <f>+INDEX('2018'!$1:$1048576,MATCH('Analitika - 2019'!$A17,'2018'!$A:$A,0),MATCH('Analitika - 2019'!$R$6,'2018'!$6:$6,0))</f>
        <v>2570061.1800000002</v>
      </c>
      <c r="S17" s="189">
        <f t="shared" si="5"/>
        <v>-77361.5</v>
      </c>
      <c r="T17" s="191">
        <f t="shared" si="6"/>
        <v>-3.0101034404169336E-2</v>
      </c>
    </row>
    <row r="18" spans="1:20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f>+SUMPRODUCT(('2019'!$G18:$R18)*('2019'!$G$5:$R$5&lt;=Master!$B$3)*($A18='2019'!$A$10:$A$66))</f>
        <v>11261936.270000001</v>
      </c>
      <c r="H18" s="188">
        <f>+SUMPRODUCT(('2019'!$G113:$R113)*('2019'!$G$5:$R$5&lt;=Master!$B$3))</f>
        <v>8775740.8325116765</v>
      </c>
      <c r="I18" s="189">
        <f t="shared" si="0"/>
        <v>2486195.4374883249</v>
      </c>
      <c r="J18" s="190">
        <f t="shared" si="1"/>
        <v>0.28330319740957521</v>
      </c>
      <c r="K18" s="188">
        <f>+SUMPRODUCT(('2018'!$G18:$R18)*('2018'!$G$5:$R$5&lt;=Master!$B$3))</f>
        <v>7683751.6399999997</v>
      </c>
      <c r="L18" s="189">
        <f t="shared" si="7"/>
        <v>3578184.6300000018</v>
      </c>
      <c r="M18" s="191">
        <f t="shared" si="2"/>
        <v>0.46568197381246978</v>
      </c>
      <c r="N18" s="188">
        <f>+INDEX('2019'!$1:$1048576,MATCH('Analitika - 2019'!$A18,'2019'!$A:$A,0),MATCH('Analitika - 2019'!$N$6,'2019'!$6:$6,0))</f>
        <v>924594.05</v>
      </c>
      <c r="O18" s="188">
        <f>+INDEX('2019'!$1:$1048576,MATCH(CONCATENATE('Analitika - 2019'!$A18,"p"),'2019'!$A:$A,0),MATCH('Analitika - 2019'!$O$6,'2019'!$101:$101,0))</f>
        <v>325827.84998510586</v>
      </c>
      <c r="P18" s="189">
        <f t="shared" si="3"/>
        <v>598766.20001489413</v>
      </c>
      <c r="Q18" s="190">
        <f t="shared" si="4"/>
        <v>1.8376765523335861</v>
      </c>
      <c r="R18" s="188">
        <f>+INDEX('2018'!$1:$1048576,MATCH('Analitika - 2019'!$A18,'2018'!$A:$A,0),MATCH('Analitika - 2019'!$R$6,'2018'!$6:$6,0))</f>
        <v>779773.24</v>
      </c>
      <c r="S18" s="189">
        <f t="shared" si="5"/>
        <v>144820.81000000006</v>
      </c>
      <c r="T18" s="191">
        <f t="shared" si="6"/>
        <v>0.18572169775921021</v>
      </c>
    </row>
    <row r="19" spans="1:20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+SUMPRODUCT(('2019'!$G19:$R19)*('2019'!$G$5:$R$5&lt;=Master!$B$3)*($A19='2019'!$A$10:$A$66))</f>
        <v>417058690.01999998</v>
      </c>
      <c r="H19" s="194">
        <f>+SUMPRODUCT(('2019'!$G114:$R114)*('2019'!$G$5:$R$5&lt;=Master!$B$3))</f>
        <v>411458838.29926628</v>
      </c>
      <c r="I19" s="195">
        <f t="shared" si="0"/>
        <v>5599851.7207337022</v>
      </c>
      <c r="J19" s="196">
        <f t="shared" si="1"/>
        <v>1.3609749504665647E-2</v>
      </c>
      <c r="K19" s="194">
        <f>+SUMPRODUCT(('2018'!$G19:$R19)*('2018'!$G$5:$R$5&lt;=Master!$B$3))</f>
        <v>399152737.57999998</v>
      </c>
      <c r="L19" s="195">
        <f t="shared" si="7"/>
        <v>17905952.439999998</v>
      </c>
      <c r="M19" s="197">
        <f t="shared" si="2"/>
        <v>4.4859901371492317E-2</v>
      </c>
      <c r="N19" s="194">
        <f>+INDEX('2019'!$1:$1048576,MATCH('Analitika - 2019'!$A19,'2019'!$A:$A,0),MATCH('Analitika - 2019'!$N$6,'2019'!$6:$6,0))</f>
        <v>46487647.670000002</v>
      </c>
      <c r="O19" s="194">
        <f>+INDEX('2019'!$1:$1048576,MATCH(CONCATENATE('Analitika - 2019'!$A19,"p"),'2019'!$A:$A,0),MATCH('Analitika - 2019'!$O$6,'2019'!$101:$101,0))</f>
        <v>46928850.635902815</v>
      </c>
      <c r="P19" s="195">
        <f t="shared" si="3"/>
        <v>-441202.96590281278</v>
      </c>
      <c r="Q19" s="196">
        <f t="shared" si="4"/>
        <v>-9.4015293348197471E-3</v>
      </c>
      <c r="R19" s="194">
        <f>+INDEX('2018'!$1:$1048576,MATCH('Analitika - 2019'!$A19,'2018'!$A:$A,0),MATCH('Analitika - 2019'!$R$6,'2018'!$6:$6,0))</f>
        <v>47821348.07</v>
      </c>
      <c r="S19" s="195">
        <f t="shared" si="5"/>
        <v>-1333700.3999999985</v>
      </c>
      <c r="T19" s="197">
        <f t="shared" si="6"/>
        <v>-2.7889226335647277E-2</v>
      </c>
    </row>
    <row r="20" spans="1:20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f>+SUMPRODUCT(('2019'!$G20:$R20)*('2019'!$G$5:$R$5&lt;=Master!$B$3)*($A20='2019'!$A$10:$A$66))</f>
        <v>248756258.93000001</v>
      </c>
      <c r="H20" s="188">
        <f>+SUMPRODUCT(('2019'!$G115:$R115)*('2019'!$G$5:$R$5&lt;=Master!$B$3))</f>
        <v>249227018.98225045</v>
      </c>
      <c r="I20" s="189">
        <f t="shared" si="0"/>
        <v>-470760.05225044489</v>
      </c>
      <c r="J20" s="190">
        <f t="shared" si="1"/>
        <v>-1.8888804840375695E-3</v>
      </c>
      <c r="K20" s="188">
        <f>+SUMPRODUCT(('2018'!$G20:$R20)*('2018'!$G$5:$R$5&lt;=Master!$B$3))</f>
        <v>241005373.69000003</v>
      </c>
      <c r="L20" s="189">
        <f t="shared" si="7"/>
        <v>7750885.2399999797</v>
      </c>
      <c r="M20" s="191">
        <f t="shared" si="2"/>
        <v>3.2160632442867376E-2</v>
      </c>
      <c r="N20" s="188">
        <f>+INDEX('2019'!$1:$1048576,MATCH('Analitika - 2019'!$A20,'2019'!$A:$A,0),MATCH('Analitika - 2019'!$N$6,'2019'!$6:$6,0))</f>
        <v>28563512.620000001</v>
      </c>
      <c r="O20" s="188">
        <f>+INDEX('2019'!$1:$1048576,MATCH(CONCATENATE('Analitika - 2019'!$A20,"p"),'2019'!$A:$A,0),MATCH('Analitika - 2019'!$O$6,'2019'!$101:$101,0))</f>
        <v>30509092.335605875</v>
      </c>
      <c r="P20" s="189">
        <f t="shared" si="3"/>
        <v>-1945579.7156058736</v>
      </c>
      <c r="Q20" s="190">
        <f t="shared" si="4"/>
        <v>-6.3770488292608785E-2</v>
      </c>
      <c r="R20" s="188">
        <f>+INDEX('2018'!$1:$1048576,MATCH('Analitika - 2019'!$A20,'2018'!$A:$A,0),MATCH('Analitika - 2019'!$R$6,'2018'!$6:$6,0))</f>
        <v>29472537.77</v>
      </c>
      <c r="S20" s="189">
        <f t="shared" si="5"/>
        <v>-909025.14999999851</v>
      </c>
      <c r="T20" s="191">
        <f t="shared" si="6"/>
        <v>-3.0843124439907998E-2</v>
      </c>
    </row>
    <row r="21" spans="1:20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f>+SUMPRODUCT(('2019'!$G21:$R21)*('2019'!$G$5:$R$5&lt;=Master!$B$3)*($A21='2019'!$A$10:$A$66))</f>
        <v>146082649.25</v>
      </c>
      <c r="H21" s="188">
        <f>+SUMPRODUCT(('2019'!$G116:$R116)*('2019'!$G$5:$R$5&lt;=Master!$B$3))</f>
        <v>140619469.19293359</v>
      </c>
      <c r="I21" s="189">
        <f t="shared" si="0"/>
        <v>5463180.0570664108</v>
      </c>
      <c r="J21" s="190">
        <f t="shared" si="1"/>
        <v>3.8850808415233029E-2</v>
      </c>
      <c r="K21" s="188">
        <f>+SUMPRODUCT(('2018'!$G21:$R21)*('2018'!$G$5:$R$5&lt;=Master!$B$3))</f>
        <v>138395746.62</v>
      </c>
      <c r="L21" s="189">
        <f t="shared" si="7"/>
        <v>7686902.6299999952</v>
      </c>
      <c r="M21" s="191">
        <f t="shared" si="2"/>
        <v>5.5542910947301793E-2</v>
      </c>
      <c r="N21" s="188">
        <f>+INDEX('2019'!$1:$1048576,MATCH('Analitika - 2019'!$A21,'2019'!$A:$A,0),MATCH('Analitika - 2019'!$N$6,'2019'!$6:$6,0))</f>
        <v>15344312.359999999</v>
      </c>
      <c r="O21" s="188">
        <f>+INDEX('2019'!$1:$1048576,MATCH(CONCATENATE('Analitika - 2019'!$A21,"p"),'2019'!$A:$A,0),MATCH('Analitika - 2019'!$O$6,'2019'!$101:$101,0))</f>
        <v>14130176.222576067</v>
      </c>
      <c r="P21" s="189">
        <f t="shared" si="3"/>
        <v>1214136.1374239326</v>
      </c>
      <c r="Q21" s="190">
        <f t="shared" si="4"/>
        <v>8.5925052759362019E-2</v>
      </c>
      <c r="R21" s="188">
        <f>+INDEX('2018'!$1:$1048576,MATCH('Analitika - 2019'!$A21,'2018'!$A:$A,0),MATCH('Analitika - 2019'!$R$6,'2018'!$6:$6,0))</f>
        <v>16132677.16</v>
      </c>
      <c r="S21" s="189">
        <f t="shared" si="5"/>
        <v>-788364.80000000075</v>
      </c>
      <c r="T21" s="191">
        <f t="shared" si="6"/>
        <v>-4.8867574313995688E-2</v>
      </c>
    </row>
    <row r="22" spans="1:20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f>+SUMPRODUCT(('2019'!$G22:$R22)*('2019'!$G$5:$R$5&lt;=Master!$B$3)*($A22='2019'!$A$10:$A$66))</f>
        <v>11508054.73</v>
      </c>
      <c r="H22" s="188">
        <f>+SUMPRODUCT(('2019'!$G117:$R117)*('2019'!$G$5:$R$5&lt;=Master!$B$3))</f>
        <v>11340571.073549554</v>
      </c>
      <c r="I22" s="189">
        <f t="shared" si="0"/>
        <v>167483.6564504467</v>
      </c>
      <c r="J22" s="190">
        <f t="shared" si="1"/>
        <v>1.4768538141882503E-2</v>
      </c>
      <c r="K22" s="188">
        <f>+SUMPRODUCT(('2018'!$G22:$R22)*('2018'!$G$5:$R$5&lt;=Master!$B$3))</f>
        <v>10284198.550000001</v>
      </c>
      <c r="L22" s="189">
        <f t="shared" si="7"/>
        <v>1223856.1799999997</v>
      </c>
      <c r="M22" s="191">
        <f t="shared" si="2"/>
        <v>0.11900355424390363</v>
      </c>
      <c r="N22" s="188">
        <f>+INDEX('2019'!$1:$1048576,MATCH('Analitika - 2019'!$A22,'2019'!$A:$A,0),MATCH('Analitika - 2019'!$N$6,'2019'!$6:$6,0))</f>
        <v>1311319.78</v>
      </c>
      <c r="O22" s="188">
        <f>+INDEX('2019'!$1:$1048576,MATCH(CONCATENATE('Analitika - 2019'!$A22,"p"),'2019'!$A:$A,0),MATCH('Analitika - 2019'!$O$6,'2019'!$101:$101,0))</f>
        <v>1329191.3701360417</v>
      </c>
      <c r="P22" s="189">
        <f t="shared" si="3"/>
        <v>-17871.590136041632</v>
      </c>
      <c r="Q22" s="190">
        <f t="shared" si="4"/>
        <v>-1.3445460554120547E-2</v>
      </c>
      <c r="R22" s="188">
        <f>+INDEX('2018'!$1:$1048576,MATCH('Analitika - 2019'!$A22,'2018'!$A:$A,0),MATCH('Analitika - 2019'!$R$6,'2018'!$6:$6,0))</f>
        <v>1217359.6499999999</v>
      </c>
      <c r="S22" s="189">
        <f t="shared" si="5"/>
        <v>93960.130000000121</v>
      </c>
      <c r="T22" s="191">
        <f t="shared" si="6"/>
        <v>7.7183542267069694E-2</v>
      </c>
    </row>
    <row r="23" spans="1:20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f>+SUMPRODUCT(('2019'!$G23:$R23)*('2019'!$G$5:$R$5&lt;=Master!$B$3)*($A23='2019'!$A$10:$A$66))</f>
        <v>10711727.109999999</v>
      </c>
      <c r="H23" s="188">
        <f>+SUMPRODUCT(('2019'!$G118:$R118)*('2019'!$G$5:$R$5&lt;=Master!$B$3))</f>
        <v>10271779.050532673</v>
      </c>
      <c r="I23" s="189">
        <f t="shared" si="0"/>
        <v>439948.05946732685</v>
      </c>
      <c r="J23" s="190">
        <f t="shared" si="1"/>
        <v>4.2830755734033499E-2</v>
      </c>
      <c r="K23" s="188">
        <f>+SUMPRODUCT(('2018'!$G23:$R23)*('2018'!$G$5:$R$5&lt;=Master!$B$3))</f>
        <v>9467418.7200000007</v>
      </c>
      <c r="L23" s="189">
        <f t="shared" si="7"/>
        <v>1244308.3899999987</v>
      </c>
      <c r="M23" s="191">
        <f t="shared" si="2"/>
        <v>0.13143058597074475</v>
      </c>
      <c r="N23" s="188">
        <f>+INDEX('2019'!$1:$1048576,MATCH('Analitika - 2019'!$A23,'2019'!$A:$A,0),MATCH('Analitika - 2019'!$N$6,'2019'!$6:$6,0))</f>
        <v>1268502.9099999999</v>
      </c>
      <c r="O23" s="188">
        <f>+INDEX('2019'!$1:$1048576,MATCH(CONCATENATE('Analitika - 2019'!$A23,"p"),'2019'!$A:$A,0),MATCH('Analitika - 2019'!$O$6,'2019'!$101:$101,0))</f>
        <v>960390.70758482651</v>
      </c>
      <c r="P23" s="189">
        <f t="shared" si="3"/>
        <v>308112.20241517341</v>
      </c>
      <c r="Q23" s="190">
        <f t="shared" si="4"/>
        <v>0.3208196414040787</v>
      </c>
      <c r="R23" s="188">
        <f>+INDEX('2018'!$1:$1048576,MATCH('Analitika - 2019'!$A23,'2018'!$A:$A,0),MATCH('Analitika - 2019'!$R$6,'2018'!$6:$6,0))</f>
        <v>998773.49</v>
      </c>
      <c r="S23" s="189">
        <f t="shared" si="5"/>
        <v>269729.41999999993</v>
      </c>
      <c r="T23" s="191">
        <f t="shared" si="6"/>
        <v>0.27006065209039543</v>
      </c>
    </row>
    <row r="24" spans="1:20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f>+SUMPRODUCT(('2019'!$G24:$R24)*('2019'!$G$5:$R$5&lt;=Master!$B$3)*($A24='2019'!$A$10:$A$66))</f>
        <v>13127353.759999998</v>
      </c>
      <c r="H24" s="200">
        <f>+SUMPRODUCT(('2019'!$G119:$R119)*('2019'!$G$5:$R$5&lt;=Master!$B$3))</f>
        <v>12937941.782346457</v>
      </c>
      <c r="I24" s="201">
        <f t="shared" si="0"/>
        <v>189411.97765354067</v>
      </c>
      <c r="J24" s="202">
        <f t="shared" si="1"/>
        <v>1.4640039415851236E-2</v>
      </c>
      <c r="K24" s="200">
        <f>+SUMPRODUCT(('2018'!$G24:$R24)*('2018'!$G$5:$R$5&lt;=Master!$B$3))</f>
        <v>14122179.120000001</v>
      </c>
      <c r="L24" s="201">
        <f t="shared" si="7"/>
        <v>-994825.36000000313</v>
      </c>
      <c r="M24" s="203">
        <f t="shared" si="2"/>
        <v>-7.0444182271496625E-2</v>
      </c>
      <c r="N24" s="200">
        <f>+INDEX('2019'!$1:$1048576,MATCH('Analitika - 2019'!$A24,'2019'!$A:$A,0),MATCH('Analitika - 2019'!$N$6,'2019'!$6:$6,0))</f>
        <v>1334131.8600000001</v>
      </c>
      <c r="O24" s="200">
        <f>+INDEX('2019'!$1:$1048576,MATCH(CONCATENATE('Analitika - 2019'!$A24,"p"),'2019'!$A:$A,0),MATCH('Analitika - 2019'!$O$6,'2019'!$101:$101,0))</f>
        <v>1341528.8515351652</v>
      </c>
      <c r="P24" s="201">
        <f t="shared" si="3"/>
        <v>-7396.9915351651143</v>
      </c>
      <c r="Q24" s="202">
        <f t="shared" si="4"/>
        <v>-5.5138519955798548E-3</v>
      </c>
      <c r="R24" s="200">
        <f>+INDEX('2018'!$1:$1048576,MATCH('Analitika - 2019'!$A24,'2018'!$A:$A,0),MATCH('Analitika - 2019'!$R$6,'2018'!$6:$6,0))</f>
        <v>1572482.29</v>
      </c>
      <c r="S24" s="201">
        <f t="shared" si="5"/>
        <v>-238350.42999999993</v>
      </c>
      <c r="T24" s="203">
        <f t="shared" si="6"/>
        <v>-0.1515759074145121</v>
      </c>
    </row>
    <row r="25" spans="1:20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f>+SUMPRODUCT(('2019'!$G25:$R25)*('2019'!$G$5:$R$5&lt;=Master!$B$3)*($A25='2019'!$A$10:$A$66))</f>
        <v>22961589.420000002</v>
      </c>
      <c r="H25" s="200">
        <f>+SUMPRODUCT(('2019'!$G120:$R120)*('2019'!$G$5:$R$5&lt;=Master!$B$3))</f>
        <v>25425316.730342463</v>
      </c>
      <c r="I25" s="201">
        <f t="shared" si="0"/>
        <v>-2463727.3103424609</v>
      </c>
      <c r="J25" s="202">
        <f t="shared" si="1"/>
        <v>-9.6900555319425319E-2</v>
      </c>
      <c r="K25" s="200">
        <f>+SUMPRODUCT(('2018'!$G25:$R25)*('2018'!$G$5:$R$5&lt;=Master!$B$3))</f>
        <v>21699377.060000002</v>
      </c>
      <c r="L25" s="201">
        <f t="shared" si="7"/>
        <v>1262212.3599999994</v>
      </c>
      <c r="M25" s="203">
        <f t="shared" si="2"/>
        <v>5.816813803041021E-2</v>
      </c>
      <c r="N25" s="200">
        <f>+INDEX('2019'!$1:$1048576,MATCH('Analitika - 2019'!$A25,'2019'!$A:$A,0),MATCH('Analitika - 2019'!$N$6,'2019'!$6:$6,0))</f>
        <v>2477150.35</v>
      </c>
      <c r="O25" s="200">
        <f>+INDEX('2019'!$1:$1048576,MATCH(CONCATENATE('Analitika - 2019'!$A25,"p"),'2019'!$A:$A,0),MATCH('Analitika - 2019'!$O$6,'2019'!$101:$101,0))</f>
        <v>3286740.3746407013</v>
      </c>
      <c r="P25" s="201">
        <f t="shared" si="3"/>
        <v>-809590.02464070125</v>
      </c>
      <c r="Q25" s="202">
        <f t="shared" si="4"/>
        <v>-0.24632004124426887</v>
      </c>
      <c r="R25" s="200">
        <f>+INDEX('2018'!$1:$1048576,MATCH('Analitika - 2019'!$A25,'2018'!$A:$A,0),MATCH('Analitika - 2019'!$R$6,'2018'!$6:$6,0))</f>
        <v>2347083.83</v>
      </c>
      <c r="S25" s="201">
        <f t="shared" si="5"/>
        <v>130066.52000000002</v>
      </c>
      <c r="T25" s="203">
        <f t="shared" si="6"/>
        <v>5.5416222606757159E-2</v>
      </c>
    </row>
    <row r="26" spans="1:20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f>+SUMPRODUCT(('2019'!$G26:$R26)*('2019'!$G$5:$R$5&lt;=Master!$B$3)*($A26='2019'!$A$10:$A$66))</f>
        <v>31207274.899999999</v>
      </c>
      <c r="H26" s="200">
        <f>+SUMPRODUCT(('2019'!$G121:$R121)*('2019'!$G$5:$R$5&lt;=Master!$B$3))</f>
        <v>66797404.874964178</v>
      </c>
      <c r="I26" s="201">
        <f t="shared" si="0"/>
        <v>-35590129.974964179</v>
      </c>
      <c r="J26" s="202">
        <f t="shared" si="1"/>
        <v>-0.53280707598722055</v>
      </c>
      <c r="K26" s="200">
        <f>+SUMPRODUCT(('2018'!$G26:$R26)*('2018'!$G$5:$R$5&lt;=Master!$B$3))</f>
        <v>63519334.240000002</v>
      </c>
      <c r="L26" s="201">
        <f t="shared" si="7"/>
        <v>-32312059.340000004</v>
      </c>
      <c r="M26" s="203">
        <f t="shared" si="2"/>
        <v>-0.50869644221888177</v>
      </c>
      <c r="N26" s="200">
        <f>+INDEX('2019'!$1:$1048576,MATCH('Analitika - 2019'!$A26,'2019'!$A:$A,0),MATCH('Analitika - 2019'!$N$6,'2019'!$6:$6,0))</f>
        <v>2505030.61</v>
      </c>
      <c r="O26" s="200">
        <f>+INDEX('2019'!$1:$1048576,MATCH(CONCATENATE('Analitika - 2019'!$A26,"p"),'2019'!$A:$A,0),MATCH('Analitika - 2019'!$O$6,'2019'!$101:$101,0))</f>
        <v>37215962.809770532</v>
      </c>
      <c r="P26" s="201">
        <f t="shared" si="3"/>
        <v>-34710932.199770533</v>
      </c>
      <c r="Q26" s="202">
        <f t="shared" si="4"/>
        <v>-0.93268935099692385</v>
      </c>
      <c r="R26" s="200">
        <f>+INDEX('2018'!$1:$1048576,MATCH('Analitika - 2019'!$A26,'2018'!$A:$A,0),MATCH('Analitika - 2019'!$R$6,'2018'!$6:$6,0))</f>
        <v>2268381.7599999998</v>
      </c>
      <c r="S26" s="201">
        <f t="shared" si="5"/>
        <v>236648.85000000009</v>
      </c>
      <c r="T26" s="203" t="s">
        <v>773</v>
      </c>
    </row>
    <row r="27" spans="1:20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f>+SUMPRODUCT(('2019'!$G27:$R27)*('2019'!$G$5:$R$5&lt;=Master!$B$3)*($A27='2019'!$A$10:$A$66))</f>
        <v>4998655.8099999996</v>
      </c>
      <c r="H27" s="200">
        <f>+SUMPRODUCT(('2019'!$G122:$R122)*('2019'!$G$5:$R$5&lt;=Master!$B$3))</f>
        <v>4563139.2865087902</v>
      </c>
      <c r="I27" s="201">
        <f t="shared" si="0"/>
        <v>435516.52349120937</v>
      </c>
      <c r="J27" s="202">
        <f t="shared" si="1"/>
        <v>9.544230323602898E-2</v>
      </c>
      <c r="K27" s="200">
        <f>+SUMPRODUCT(('2018'!$G27:$R27)*('2018'!$G$5:$R$5&lt;=Master!$B$3))</f>
        <v>6113279.2800000003</v>
      </c>
      <c r="L27" s="201">
        <f t="shared" si="7"/>
        <v>-1114623.4700000007</v>
      </c>
      <c r="M27" s="203">
        <f t="shared" si="2"/>
        <v>-0.1823282429851627</v>
      </c>
      <c r="N27" s="200">
        <f>+INDEX('2019'!$1:$1048576,MATCH('Analitika - 2019'!$A27,'2019'!$A:$A,0),MATCH('Analitika - 2019'!$N$6,'2019'!$6:$6,0))</f>
        <v>223272.51</v>
      </c>
      <c r="O27" s="200">
        <f>+INDEX('2019'!$1:$1048576,MATCH(CONCATENATE('Analitika - 2019'!$A27,"p"),'2019'!$A:$A,0),MATCH('Analitika - 2019'!$O$6,'2019'!$101:$101,0))</f>
        <v>419152.39381785714</v>
      </c>
      <c r="P27" s="201">
        <f t="shared" si="3"/>
        <v>-195879.88381785713</v>
      </c>
      <c r="Q27" s="202">
        <f t="shared" si="4"/>
        <v>-0.46732378654379536</v>
      </c>
      <c r="R27" s="200">
        <f>+INDEX('2018'!$1:$1048576,MATCH('Analitika - 2019'!$A27,'2018'!$A:$A,0),MATCH('Analitika - 2019'!$R$6,'2018'!$6:$6,0))</f>
        <v>525509.51</v>
      </c>
      <c r="S27" s="201">
        <f t="shared" si="5"/>
        <v>-302237</v>
      </c>
      <c r="T27" s="203" t="s">
        <v>773</v>
      </c>
    </row>
    <row r="28" spans="1:20" ht="15.7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f>+SUMPRODUCT(('2019'!$G28:$R28)*('2019'!$G$5:$R$5&lt;=Master!$B$3)*($A28='2019'!$A$10:$A$66))</f>
        <v>24937872.019999996</v>
      </c>
      <c r="H28" s="200">
        <f>+SUMPRODUCT(('2019'!$G123:$R123)*('2019'!$G$5:$R$5&lt;=Master!$B$3))</f>
        <v>25386407.503899463</v>
      </c>
      <c r="I28" s="201">
        <f t="shared" si="0"/>
        <v>-448535.48389946669</v>
      </c>
      <c r="J28" s="202">
        <f t="shared" si="1"/>
        <v>-1.7668332308561907E-2</v>
      </c>
      <c r="K28" s="200">
        <f>+SUMPRODUCT(('2018'!$G28:$R28)*('2018'!$G$5:$R$5&lt;=Master!$B$3))</f>
        <v>18439228.680000003</v>
      </c>
      <c r="L28" s="201">
        <f t="shared" si="7"/>
        <v>6498643.3399999924</v>
      </c>
      <c r="M28" s="203">
        <f t="shared" si="2"/>
        <v>0.352435747328667</v>
      </c>
      <c r="N28" s="200">
        <f>+INDEX('2019'!$1:$1048576,MATCH('Analitika - 2019'!$A28,'2019'!$A:$A,0),MATCH('Analitika - 2019'!$N$6,'2019'!$6:$6,0))</f>
        <v>1948775.66</v>
      </c>
      <c r="O28" s="200">
        <f>+INDEX('2019'!$1:$1048576,MATCH(CONCATENATE('Analitika - 2019'!$A28,"p"),'2019'!$A:$A,0),MATCH('Analitika - 2019'!$O$6,'2019'!$101:$101,0))</f>
        <v>2914661.9432842401</v>
      </c>
      <c r="P28" s="201">
        <f t="shared" si="3"/>
        <v>-965886.28328424017</v>
      </c>
      <c r="Q28" s="202">
        <f t="shared" si="4"/>
        <v>-0.33138878610254185</v>
      </c>
      <c r="R28" s="200">
        <f>+INDEX('2018'!$1:$1048576,MATCH('Analitika - 2019'!$A28,'2018'!$A:$A,0),MATCH('Analitika - 2019'!$R$6,'2018'!$6:$6,0))</f>
        <v>1526648.73</v>
      </c>
      <c r="S28" s="201">
        <f t="shared" si="5"/>
        <v>422126.92999999993</v>
      </c>
      <c r="T28" s="203">
        <f t="shared" si="6"/>
        <v>0.27650560453418782</v>
      </c>
    </row>
    <row r="29" spans="1:20" ht="15.7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+SUMPRODUCT(('2019'!$G29:$R29)*('2019'!$G$5:$R$5&lt;=Master!$B$3)*($A29='2019'!$A$10:$A$66))</f>
        <v>1530113895.8600001</v>
      </c>
      <c r="H29" s="176">
        <f>+SUMPRODUCT(('2019'!$G124:$R124)*('2019'!$G$5:$R$5&lt;=Master!$B$3))</f>
        <v>1678251234.0983334</v>
      </c>
      <c r="I29" s="177">
        <f t="shared" si="0"/>
        <v>-148137338.23833323</v>
      </c>
      <c r="J29" s="178">
        <f t="shared" si="1"/>
        <v>-8.8268868944358259E-2</v>
      </c>
      <c r="K29" s="176">
        <f>+SUMPRODUCT(('2018'!$G29:$R29)*('2018'!$G$5:$R$5&lt;=Master!$B$3))</f>
        <v>1471744715.1700001</v>
      </c>
      <c r="L29" s="177">
        <f t="shared" si="7"/>
        <v>58369180.690000057</v>
      </c>
      <c r="M29" s="179">
        <f t="shared" si="2"/>
        <v>3.9659854109452608E-2</v>
      </c>
      <c r="N29" s="176">
        <f>+INDEX('2019'!$1:$1048576,MATCH('Analitika - 2019'!$A29,'2019'!$A:$A,0),MATCH('Analitika - 2019'!$N$6,'2019'!$6:$6,0))</f>
        <v>153584886.19</v>
      </c>
      <c r="O29" s="176">
        <f>+INDEX('2019'!$1:$1048576,MATCH(CONCATENATE('Analitika - 2019'!$A29,"p"),'2019'!$A:$A,0),MATCH('Analitika - 2019'!$O$6,'2019'!$101:$101,0))</f>
        <v>158508019.66083336</v>
      </c>
      <c r="P29" s="177">
        <f t="shared" si="3"/>
        <v>-4923133.4708333611</v>
      </c>
      <c r="Q29" s="178">
        <f t="shared" si="4"/>
        <v>-3.1059207485953144E-2</v>
      </c>
      <c r="R29" s="176">
        <f>+INDEX('2018'!$1:$1048576,MATCH('Analitika - 2019'!$A29,'2018'!$A:$A,0),MATCH('Analitika - 2019'!$R$6,'2018'!$6:$6,0))</f>
        <v>158133326.80000001</v>
      </c>
      <c r="S29" s="177">
        <f t="shared" si="5"/>
        <v>-4548440.6100000143</v>
      </c>
      <c r="T29" s="179">
        <f t="shared" si="6"/>
        <v>-2.8763327136933525E-2</v>
      </c>
    </row>
    <row r="30" spans="1:20" ht="15.75" thickBot="1">
      <c r="A30" s="175">
        <v>40</v>
      </c>
      <c r="B30" s="480" t="str">
        <f>+VLOOKUP($A30,Master!$D$27:$G$225,4,FALSE)</f>
        <v>Tekuća budžetska potrošnja</v>
      </c>
      <c r="C30" s="481"/>
      <c r="D30" s="481"/>
      <c r="E30" s="481"/>
      <c r="F30" s="481"/>
      <c r="G30" s="342">
        <f>+SUMPRODUCT(('2019'!$G30:$R30)*('2019'!$G$5:$R$5&lt;=Master!$B$3)*($A30='2019'!$A$10:$A$66))</f>
        <v>1355686701.8800001</v>
      </c>
      <c r="H30" s="342">
        <f>+SUMPRODUCT(('2019'!$G125:$R125)*('2019'!$G$5:$R$5&lt;=Master!$B$3))</f>
        <v>1410813734.1983335</v>
      </c>
      <c r="I30" s="207">
        <f t="shared" si="0"/>
        <v>-55127032.318333387</v>
      </c>
      <c r="J30" s="208">
        <f t="shared" si="1"/>
        <v>-3.9074635426382676E-2</v>
      </c>
      <c r="K30" s="342">
        <f>+SUMPRODUCT(('2018'!$G30:$R30)*('2018'!$G$5:$R$5&lt;=Master!$B$3))</f>
        <v>1297652744.1000001</v>
      </c>
      <c r="L30" s="207">
        <f t="shared" si="7"/>
        <v>58033957.779999971</v>
      </c>
      <c r="M30" s="209">
        <f t="shared" si="2"/>
        <v>4.4722255660353927E-2</v>
      </c>
      <c r="N30" s="342">
        <f>+INDEX('2019'!$1:$1048576,MATCH('Analitika - 2019'!$A30,'2019'!$A:$A,0),MATCH('Analitika - 2019'!$N$6,'2019'!$6:$6,0))</f>
        <v>139144020.84999999</v>
      </c>
      <c r="O30" s="342">
        <f>+INDEX('2019'!$1:$1048576,MATCH(CONCATENATE('Analitika - 2019'!$A30,"p"),'2019'!$A:$A,0),MATCH('Analitika - 2019'!$O$6,'2019'!$101:$101,0))</f>
        <v>131764269.67083336</v>
      </c>
      <c r="P30" s="207">
        <f t="shared" si="3"/>
        <v>7379751.1791666299</v>
      </c>
      <c r="Q30" s="208">
        <f t="shared" si="4"/>
        <v>5.6007225612848988E-2</v>
      </c>
      <c r="R30" s="342">
        <f>+INDEX('2018'!$1:$1048576,MATCH('Analitika - 2019'!$A30,'2018'!$A:$A,0),MATCH('Analitika - 2019'!$R$6,'2018'!$6:$6,0))</f>
        <v>130847228.48000002</v>
      </c>
      <c r="S30" s="207">
        <f t="shared" si="5"/>
        <v>8296792.369999975</v>
      </c>
      <c r="T30" s="209">
        <f t="shared" si="6"/>
        <v>6.3408239260246413E-2</v>
      </c>
    </row>
    <row r="31" spans="1:20">
      <c r="A31" s="175">
        <v>41</v>
      </c>
      <c r="B31" s="482" t="str">
        <f>+VLOOKUP($A31,Master!$D$27:$G$225,4,FALSE)</f>
        <v>Tekući izdaci</v>
      </c>
      <c r="C31" s="483"/>
      <c r="D31" s="483"/>
      <c r="E31" s="483"/>
      <c r="F31" s="483"/>
      <c r="G31" s="389">
        <f>+SUMPRODUCT(('2019'!$G31:$R31)*('2019'!$G$5:$R$5&lt;=Master!$B$3)*($A31='2019'!$A$10:$A$66))</f>
        <v>677199353.99000001</v>
      </c>
      <c r="H31" s="389">
        <f>+SUMPRODUCT(('2019'!$G126:$R126)*('2019'!$G$5:$R$5&lt;=Master!$B$3))</f>
        <v>715324408.25500011</v>
      </c>
      <c r="I31" s="213">
        <f t="shared" si="0"/>
        <v>-38125054.265000105</v>
      </c>
      <c r="J31" s="214">
        <f t="shared" si="1"/>
        <v>-5.3297572157511519E-2</v>
      </c>
      <c r="K31" s="389">
        <f>+SUMPRODUCT(('2018'!$G31:$R31)*('2018'!$G$5:$R$5&lt;=Master!$B$3))</f>
        <v>657517934.26999986</v>
      </c>
      <c r="L31" s="213">
        <f t="shared" si="7"/>
        <v>19681419.720000148</v>
      </c>
      <c r="M31" s="215">
        <f t="shared" si="2"/>
        <v>2.9932901741837936E-2</v>
      </c>
      <c r="N31" s="389">
        <f>+INDEX('2019'!$1:$1048576,MATCH('Analitika - 2019'!$A31,'2019'!$A:$A,0),MATCH('Analitika - 2019'!$N$6,'2019'!$6:$6,0))</f>
        <v>73614713.349999994</v>
      </c>
      <c r="O31" s="389">
        <f>+INDEX('2019'!$1:$1048576,MATCH(CONCATENATE('Analitika - 2019'!$A31,"p"),'2019'!$A:$A,0),MATCH('Analitika - 2019'!$O$6,'2019'!$101:$101,0))</f>
        <v>62629581.782500006</v>
      </c>
      <c r="P31" s="213">
        <f t="shared" si="3"/>
        <v>10985131.567499988</v>
      </c>
      <c r="Q31" s="214">
        <f t="shared" si="4"/>
        <v>0.1753984499792629</v>
      </c>
      <c r="R31" s="389">
        <f>+INDEX('2018'!$1:$1048576,MATCH('Analitika - 2019'!$A31,'2018'!$A:$A,0),MATCH('Analitika - 2019'!$R$6,'2018'!$6:$6,0))</f>
        <v>65885930.929999992</v>
      </c>
      <c r="S31" s="213">
        <f t="shared" si="5"/>
        <v>7728782.4200000018</v>
      </c>
      <c r="T31" s="215">
        <f t="shared" si="6"/>
        <v>0.11730550530144868</v>
      </c>
    </row>
    <row r="32" spans="1:20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f>+SUMPRODUCT(('2019'!$G32:$R32)*('2019'!$G$5:$R$5&lt;=Master!$B$3)*($A32='2019'!$A$10:$A$66))</f>
        <v>389584862.09000003</v>
      </c>
      <c r="H32" s="188">
        <f>+SUMPRODUCT(('2019'!$G127:$R127)*('2019'!$G$5:$R$5&lt;=Master!$B$3))</f>
        <v>394088672.20666671</v>
      </c>
      <c r="I32" s="189">
        <f t="shared" si="0"/>
        <v>-4503810.1166666746</v>
      </c>
      <c r="J32" s="190">
        <f t="shared" si="1"/>
        <v>-1.1428418105620675E-2</v>
      </c>
      <c r="K32" s="188">
        <f>+SUMPRODUCT(('2018'!$G32:$R32)*('2018'!$G$5:$R$5&lt;=Master!$B$3))</f>
        <v>379670766.99000001</v>
      </c>
      <c r="L32" s="189">
        <f t="shared" si="7"/>
        <v>9914095.1000000238</v>
      </c>
      <c r="M32" s="191">
        <f t="shared" si="2"/>
        <v>2.611234775486726E-2</v>
      </c>
      <c r="N32" s="188">
        <f>+INDEX('2019'!$1:$1048576,MATCH('Analitika - 2019'!$A32,'2019'!$A:$A,0),MATCH('Analitika - 2019'!$N$6,'2019'!$6:$6,0))</f>
        <v>38895006.189999998</v>
      </c>
      <c r="O32" s="188">
        <f>+INDEX('2019'!$1:$1048576,MATCH(CONCATENATE('Analitika - 2019'!$A32,"p"),'2019'!$A:$A,0),MATCH('Analitika - 2019'!$O$6,'2019'!$101:$101,0))</f>
        <v>39107584.94166667</v>
      </c>
      <c r="P32" s="189">
        <f t="shared" si="3"/>
        <v>-212578.75166667253</v>
      </c>
      <c r="Q32" s="190">
        <f t="shared" si="4"/>
        <v>-5.4357422475398431E-3</v>
      </c>
      <c r="R32" s="188">
        <f>+INDEX('2018'!$1:$1048576,MATCH('Analitika - 2019'!$A32,'2018'!$A:$A,0),MATCH('Analitika - 2019'!$R$6,'2018'!$6:$6,0))</f>
        <v>39555048.049999997</v>
      </c>
      <c r="S32" s="189">
        <f t="shared" si="5"/>
        <v>-660041.8599999994</v>
      </c>
      <c r="T32" s="191">
        <f t="shared" si="6"/>
        <v>-1.6686665610054829E-2</v>
      </c>
    </row>
    <row r="33" spans="1:20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f>+SUMPRODUCT(('2019'!$G33:$R33)*('2019'!$G$5:$R$5&lt;=Master!$B$3)*($A33='2019'!$A$10:$A$66))</f>
        <v>10187345.27</v>
      </c>
      <c r="H33" s="188">
        <f>+SUMPRODUCT(('2019'!$G128:$R128)*('2019'!$G$5:$R$5&lt;=Master!$B$3))</f>
        <v>12598853.898333333</v>
      </c>
      <c r="I33" s="189">
        <f t="shared" si="0"/>
        <v>-2411508.6283333339</v>
      </c>
      <c r="J33" s="190">
        <f t="shared" si="1"/>
        <v>-0.19140698414260882</v>
      </c>
      <c r="K33" s="188">
        <f>+SUMPRODUCT(('2018'!$G33:$R33)*('2018'!$G$5:$R$5&lt;=Master!$B$3))</f>
        <v>8762759.75</v>
      </c>
      <c r="L33" s="189">
        <f t="shared" si="7"/>
        <v>1424585.5199999996</v>
      </c>
      <c r="M33" s="191">
        <f t="shared" si="2"/>
        <v>0.16257270091194731</v>
      </c>
      <c r="N33" s="188">
        <f>+INDEX('2019'!$1:$1048576,MATCH('Analitika - 2019'!$A33,'2019'!$A:$A,0),MATCH('Analitika - 2019'!$N$6,'2019'!$6:$6,0))</f>
        <v>1121431.44</v>
      </c>
      <c r="O33" s="188">
        <f>+INDEX('2019'!$1:$1048576,MATCH(CONCATENATE('Analitika - 2019'!$A33,"p"),'2019'!$A:$A,0),MATCH('Analitika - 2019'!$O$6,'2019'!$101:$101,0))</f>
        <v>1239658.6108333331</v>
      </c>
      <c r="P33" s="189">
        <f t="shared" si="3"/>
        <v>-118227.17083333316</v>
      </c>
      <c r="Q33" s="190">
        <f t="shared" si="4"/>
        <v>-9.5370749495183649E-2</v>
      </c>
      <c r="R33" s="188">
        <f>+INDEX('2018'!$1:$1048576,MATCH('Analitika - 2019'!$A33,'2018'!$A:$A,0),MATCH('Analitika - 2019'!$R$6,'2018'!$6:$6,0))</f>
        <v>1011368.26</v>
      </c>
      <c r="S33" s="189">
        <f t="shared" si="5"/>
        <v>110063.17999999993</v>
      </c>
      <c r="T33" s="191">
        <f t="shared" si="6"/>
        <v>0.10882601753786503</v>
      </c>
    </row>
    <row r="34" spans="1:20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f>+SUMPRODUCT(('2019'!$G34:$R34)*('2019'!$G$5:$R$5&lt;=Master!$B$3)*($A34='2019'!$A$10:$A$66))</f>
        <v>24534158.16</v>
      </c>
      <c r="H34" s="188">
        <f>+SUMPRODUCT(('2019'!$G129:$R129)*('2019'!$G$5:$R$5&lt;=Master!$B$3))</f>
        <v>30547104.028333336</v>
      </c>
      <c r="I34" s="189">
        <f t="shared" si="0"/>
        <v>-6012945.868333336</v>
      </c>
      <c r="J34" s="190">
        <f t="shared" si="1"/>
        <v>-0.19684176486111915</v>
      </c>
      <c r="K34" s="188">
        <f>+SUMPRODUCT(('2018'!$G34:$R34)*('2018'!$G$5:$R$5&lt;=Master!$B$3))</f>
        <v>24805075.480000004</v>
      </c>
      <c r="L34" s="189">
        <f t="shared" si="7"/>
        <v>-270917.32000000402</v>
      </c>
      <c r="M34" s="191">
        <f t="shared" si="2"/>
        <v>-1.0921850256752519E-2</v>
      </c>
      <c r="N34" s="188">
        <f>+INDEX('2019'!$1:$1048576,MATCH('Analitika - 2019'!$A34,'2019'!$A:$A,0),MATCH('Analitika - 2019'!$N$6,'2019'!$6:$6,0))</f>
        <v>3210622.86</v>
      </c>
      <c r="O34" s="188">
        <f>+INDEX('2019'!$1:$1048576,MATCH(CONCATENATE('Analitika - 2019'!$A34,"p"),'2019'!$A:$A,0),MATCH('Analitika - 2019'!$O$6,'2019'!$101:$101,0))</f>
        <v>3063161.8058333341</v>
      </c>
      <c r="P34" s="189">
        <f t="shared" si="3"/>
        <v>147461.05416666577</v>
      </c>
      <c r="Q34" s="190">
        <f t="shared" si="4"/>
        <v>4.8140145220487041E-2</v>
      </c>
      <c r="R34" s="188">
        <f>+INDEX('2018'!$1:$1048576,MATCH('Analitika - 2019'!$A34,'2018'!$A:$A,0),MATCH('Analitika - 2019'!$R$6,'2018'!$6:$6,0))</f>
        <v>2993464.74</v>
      </c>
      <c r="S34" s="189">
        <f t="shared" si="5"/>
        <v>217158.11999999965</v>
      </c>
      <c r="T34" s="191">
        <f t="shared" si="6"/>
        <v>7.254407145614139E-2</v>
      </c>
    </row>
    <row r="35" spans="1:20">
      <c r="A35" s="175">
        <v>414</v>
      </c>
      <c r="B35" s="470" t="str">
        <f>+VLOOKUP($A35,Master!$D$27:$G$225,4,FALSE)</f>
        <v>Rashodi za usluge</v>
      </c>
      <c r="C35" s="471"/>
      <c r="D35" s="471"/>
      <c r="E35" s="471"/>
      <c r="F35" s="471"/>
      <c r="G35" s="188">
        <f>+SUMPRODUCT(('2019'!$G35:$R35)*('2019'!$G$5:$R$5&lt;=Master!$B$3)*($A35='2019'!$A$10:$A$66))</f>
        <v>53997656.910000004</v>
      </c>
      <c r="H35" s="188">
        <f>+SUMPRODUCT(('2019'!$G130:$R130)*('2019'!$G$5:$R$5&lt;=Master!$B$3))</f>
        <v>53064713.304999992</v>
      </c>
      <c r="I35" s="189">
        <f t="shared" si="0"/>
        <v>932943.60500001162</v>
      </c>
      <c r="J35" s="190">
        <f t="shared" si="1"/>
        <v>1.7581242729753921E-2</v>
      </c>
      <c r="K35" s="188">
        <f>+SUMPRODUCT(('2018'!$G35:$R35)*('2018'!$G$5:$R$5&lt;=Master!$B$3))</f>
        <v>52525019.039999999</v>
      </c>
      <c r="L35" s="189">
        <f t="shared" si="7"/>
        <v>1472637.8700000048</v>
      </c>
      <c r="M35" s="191">
        <f t="shared" si="2"/>
        <v>2.8036884077634161E-2</v>
      </c>
      <c r="N35" s="188">
        <f>+INDEX('2019'!$1:$1048576,MATCH('Analitika - 2019'!$A35,'2019'!$A:$A,0),MATCH('Analitika - 2019'!$N$6,'2019'!$6:$6,0))</f>
        <v>6798582.2800000003</v>
      </c>
      <c r="O35" s="188">
        <f>+INDEX('2019'!$1:$1048576,MATCH(CONCATENATE('Analitika - 2019'!$A35,"p"),'2019'!$A:$A,0),MATCH('Analitika - 2019'!$O$6,'2019'!$101:$101,0))</f>
        <v>5062253.3274999987</v>
      </c>
      <c r="P35" s="189">
        <f t="shared" si="3"/>
        <v>1736328.9525000015</v>
      </c>
      <c r="Q35" s="190">
        <f t="shared" si="4"/>
        <v>0.34299527111131156</v>
      </c>
      <c r="R35" s="188">
        <f>+INDEX('2018'!$1:$1048576,MATCH('Analitika - 2019'!$A35,'2018'!$A:$A,0),MATCH('Analitika - 2019'!$R$6,'2018'!$6:$6,0))</f>
        <v>5584761.9900000002</v>
      </c>
      <c r="S35" s="189">
        <f t="shared" si="5"/>
        <v>1213820.29</v>
      </c>
      <c r="T35" s="191">
        <f t="shared" si="6"/>
        <v>0.21734503496719304</v>
      </c>
    </row>
    <row r="36" spans="1:20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f>+SUMPRODUCT(('2019'!$G36:$R36)*('2019'!$G$5:$R$5&lt;=Master!$B$3)*($A36='2019'!$A$10:$A$66))</f>
        <v>15548860.599999998</v>
      </c>
      <c r="H36" s="188">
        <f>+SUMPRODUCT(('2019'!$G131:$R131)*('2019'!$G$5:$R$5&lt;=Master!$B$3))</f>
        <v>19282333.526666667</v>
      </c>
      <c r="I36" s="189">
        <f t="shared" si="0"/>
        <v>-3733472.9266666695</v>
      </c>
      <c r="J36" s="190">
        <f t="shared" si="1"/>
        <v>-0.19362142665478899</v>
      </c>
      <c r="K36" s="188">
        <f>+SUMPRODUCT(('2018'!$G36:$R36)*('2018'!$G$5:$R$5&lt;=Master!$B$3))</f>
        <v>14980301.689999999</v>
      </c>
      <c r="L36" s="189">
        <f t="shared" si="7"/>
        <v>568558.90999999829</v>
      </c>
      <c r="M36" s="191">
        <f t="shared" si="2"/>
        <v>3.7953769007171401E-2</v>
      </c>
      <c r="N36" s="188">
        <f>+INDEX('2019'!$1:$1048576,MATCH('Analitika - 2019'!$A36,'2019'!$A:$A,0),MATCH('Analitika - 2019'!$N$6,'2019'!$6:$6,0))</f>
        <v>2761754.3</v>
      </c>
      <c r="O36" s="188">
        <f>+INDEX('2019'!$1:$1048576,MATCH(CONCATENATE('Analitika - 2019'!$A36,"p"),'2019'!$A:$A,0),MATCH('Analitika - 2019'!$O$6,'2019'!$101:$101,0))</f>
        <v>1926887.7016666669</v>
      </c>
      <c r="P36" s="189">
        <f t="shared" si="3"/>
        <v>834866.59833333292</v>
      </c>
      <c r="Q36" s="190">
        <f t="shared" si="4"/>
        <v>0.43327205711636063</v>
      </c>
      <c r="R36" s="188">
        <f>+INDEX('2018'!$1:$1048576,MATCH('Analitika - 2019'!$A36,'2018'!$A:$A,0),MATCH('Analitika - 2019'!$R$6,'2018'!$6:$6,0))</f>
        <v>1824056.36</v>
      </c>
      <c r="S36" s="189">
        <f t="shared" si="5"/>
        <v>937697.93999999971</v>
      </c>
      <c r="T36" s="191">
        <f t="shared" si="6"/>
        <v>0.51407289849311444</v>
      </c>
    </row>
    <row r="37" spans="1:20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f>+SUMPRODUCT(('2019'!$G37:$R37)*('2019'!$G$5:$R$5&lt;=Master!$B$3)*($A37='2019'!$A$10:$A$66))</f>
        <v>84681703.470000014</v>
      </c>
      <c r="H37" s="188">
        <f>+SUMPRODUCT(('2019'!$G132:$R132)*('2019'!$G$5:$R$5&lt;=Master!$B$3))</f>
        <v>86111614.899999991</v>
      </c>
      <c r="I37" s="189">
        <f t="shared" si="0"/>
        <v>-1429911.4299999774</v>
      </c>
      <c r="J37" s="190">
        <f t="shared" si="1"/>
        <v>-1.6605325909408553E-2</v>
      </c>
      <c r="K37" s="188">
        <f>+SUMPRODUCT(('2018'!$G37:$R37)*('2018'!$G$5:$R$5&lt;=Master!$B$3))</f>
        <v>87636411.619999975</v>
      </c>
      <c r="L37" s="189">
        <f t="shared" si="7"/>
        <v>-2954708.1499999613</v>
      </c>
      <c r="M37" s="191">
        <f t="shared" si="2"/>
        <v>-3.3715530969157692E-2</v>
      </c>
      <c r="N37" s="188">
        <f>+INDEX('2019'!$1:$1048576,MATCH('Analitika - 2019'!$A37,'2019'!$A:$A,0),MATCH('Analitika - 2019'!$N$6,'2019'!$6:$6,0))</f>
        <v>1628126.12</v>
      </c>
      <c r="O37" s="188">
        <f>+INDEX('2019'!$1:$1048576,MATCH(CONCATENATE('Analitika - 2019'!$A37,"p"),'2019'!$A:$A,0),MATCH('Analitika - 2019'!$O$6,'2019'!$101:$101,0))</f>
        <v>1321292.0800000008</v>
      </c>
      <c r="P37" s="189">
        <f t="shared" si="3"/>
        <v>306834.03999999934</v>
      </c>
      <c r="Q37" s="190">
        <f t="shared" si="4"/>
        <v>0.23222271944595252</v>
      </c>
      <c r="R37" s="188">
        <f>+INDEX('2018'!$1:$1048576,MATCH('Analitika - 2019'!$A37,'2018'!$A:$A,0),MATCH('Analitika - 2019'!$R$6,'2018'!$6:$6,0))</f>
        <v>1538688.3</v>
      </c>
      <c r="S37" s="189">
        <f t="shared" si="5"/>
        <v>89437.820000000065</v>
      </c>
      <c r="T37" s="191">
        <f t="shared" si="6"/>
        <v>5.8126015515943097E-2</v>
      </c>
    </row>
    <row r="38" spans="1:20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f>+SUMPRODUCT(('2019'!$G38:$R38)*('2019'!$G$5:$R$5&lt;=Master!$B$3)*($A38='2019'!$A$10:$A$66))</f>
        <v>8214469.4900000002</v>
      </c>
      <c r="H38" s="188">
        <f>+SUMPRODUCT(('2019'!$G133:$R133)*('2019'!$G$5:$R$5&lt;=Master!$B$3))</f>
        <v>8148960.9799999986</v>
      </c>
      <c r="I38" s="189">
        <f t="shared" si="0"/>
        <v>65508.510000001639</v>
      </c>
      <c r="J38" s="190">
        <f t="shared" si="1"/>
        <v>8.0388788412142365E-3</v>
      </c>
      <c r="K38" s="188">
        <f>+SUMPRODUCT(('2018'!$G38:$R38)*('2018'!$G$5:$R$5&lt;=Master!$B$3))</f>
        <v>7397249.0600000005</v>
      </c>
      <c r="L38" s="189">
        <f t="shared" si="7"/>
        <v>817220.4299999997</v>
      </c>
      <c r="M38" s="191">
        <f t="shared" si="2"/>
        <v>0.11047626264458899</v>
      </c>
      <c r="N38" s="188">
        <f>+INDEX('2019'!$1:$1048576,MATCH('Analitika - 2019'!$A38,'2019'!$A:$A,0),MATCH('Analitika - 2019'!$N$6,'2019'!$6:$6,0))</f>
        <v>807250.67</v>
      </c>
      <c r="O38" s="188">
        <f>+INDEX('2019'!$1:$1048576,MATCH(CONCATENATE('Analitika - 2019'!$A38,"p"),'2019'!$A:$A,0),MATCH('Analitika - 2019'!$O$6,'2019'!$101:$101,0))</f>
        <v>826570.39</v>
      </c>
      <c r="P38" s="189">
        <f t="shared" si="3"/>
        <v>-19319.719999999972</v>
      </c>
      <c r="Q38" s="190">
        <f t="shared" si="4"/>
        <v>-2.3373351179443946E-2</v>
      </c>
      <c r="R38" s="188">
        <f>+INDEX('2018'!$1:$1048576,MATCH('Analitika - 2019'!$A38,'2018'!$A:$A,0),MATCH('Analitika - 2019'!$R$6,'2018'!$6:$6,0))</f>
        <v>827176.94</v>
      </c>
      <c r="S38" s="189">
        <f t="shared" si="5"/>
        <v>-19926.269999999902</v>
      </c>
      <c r="T38" s="191">
        <f t="shared" si="6"/>
        <v>-2.4089489245190832E-2</v>
      </c>
    </row>
    <row r="39" spans="1:20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f>+SUMPRODUCT(('2019'!$G39:$R39)*('2019'!$G$5:$R$5&lt;=Master!$B$3)*($A39='2019'!$A$10:$A$66))</f>
        <v>23804788.5</v>
      </c>
      <c r="H39" s="188">
        <f>+SUMPRODUCT(('2019'!$G134:$R134)*('2019'!$G$5:$R$5&lt;=Master!$B$3))</f>
        <v>26742541.606666662</v>
      </c>
      <c r="I39" s="189">
        <f t="shared" si="0"/>
        <v>-2937753.1066666618</v>
      </c>
      <c r="J39" s="190">
        <f t="shared" si="1"/>
        <v>-0.10985317513479376</v>
      </c>
      <c r="K39" s="188">
        <f>+SUMPRODUCT(('2018'!$G39:$R39)*('2018'!$G$5:$R$5&lt;=Master!$B$3))</f>
        <v>21533573.569999997</v>
      </c>
      <c r="L39" s="189">
        <f t="shared" si="7"/>
        <v>2271214.9300000034</v>
      </c>
      <c r="M39" s="191">
        <f t="shared" si="2"/>
        <v>0.1054732008422512</v>
      </c>
      <c r="N39" s="188">
        <f>+INDEX('2019'!$1:$1048576,MATCH('Analitika - 2019'!$A39,'2019'!$A:$A,0),MATCH('Analitika - 2019'!$N$6,'2019'!$6:$6,0))</f>
        <v>4843530.18</v>
      </c>
      <c r="O39" s="188">
        <f>+INDEX('2019'!$1:$1048576,MATCH(CONCATENATE('Analitika - 2019'!$A39,"p"),'2019'!$A:$A,0),MATCH('Analitika - 2019'!$O$6,'2019'!$101:$101,0))</f>
        <v>2156704.1566666663</v>
      </c>
      <c r="P39" s="189">
        <f t="shared" si="3"/>
        <v>2686826.0233333334</v>
      </c>
      <c r="Q39" s="190">
        <f t="shared" si="4"/>
        <v>1.2458018477072939</v>
      </c>
      <c r="R39" s="188">
        <f>+INDEX('2018'!$1:$1048576,MATCH('Analitika - 2019'!$A39,'2018'!$A:$A,0),MATCH('Analitika - 2019'!$R$6,'2018'!$6:$6,0))</f>
        <v>3547724.18</v>
      </c>
      <c r="S39" s="189">
        <f t="shared" si="5"/>
        <v>1295805.9999999995</v>
      </c>
      <c r="T39" s="191">
        <f t="shared" si="6"/>
        <v>0.36524992763107056</v>
      </c>
    </row>
    <row r="40" spans="1:20">
      <c r="A40" s="175">
        <v>419</v>
      </c>
      <c r="B40" s="470" t="str">
        <f>+VLOOKUP($A40,Master!$D$27:$G$225,4,FALSE)</f>
        <v>Ostali izdaci</v>
      </c>
      <c r="C40" s="471"/>
      <c r="D40" s="471"/>
      <c r="E40" s="471"/>
      <c r="F40" s="471"/>
      <c r="G40" s="188">
        <f>+SUMPRODUCT(('2019'!$G40:$R40)*('2019'!$G$5:$R$5&lt;=Master!$B$3)*($A40='2019'!$A$10:$A$66))</f>
        <v>33317939.010000002</v>
      </c>
      <c r="H40" s="188">
        <f>+SUMPRODUCT(('2019'!$G135:$R135)*('2019'!$G$5:$R$5&lt;=Master!$B$3))</f>
        <v>35267206.00833334</v>
      </c>
      <c r="I40" s="189">
        <f t="shared" si="0"/>
        <v>-1949266.9983333386</v>
      </c>
      <c r="J40" s="190">
        <f t="shared" si="1"/>
        <v>-5.5271375846239201E-2</v>
      </c>
      <c r="K40" s="188">
        <f>+SUMPRODUCT(('2018'!$G40:$R40)*('2018'!$G$5:$R$5&lt;=Master!$B$3))</f>
        <v>27948863.069999997</v>
      </c>
      <c r="L40" s="189">
        <f t="shared" si="7"/>
        <v>5369075.9400000051</v>
      </c>
      <c r="M40" s="191">
        <f t="shared" si="2"/>
        <v>0.19210355450068772</v>
      </c>
      <c r="N40" s="188">
        <f>+INDEX('2019'!$1:$1048576,MATCH('Analitika - 2019'!$A40,'2019'!$A:$A,0),MATCH('Analitika - 2019'!$N$6,'2019'!$6:$6,0))</f>
        <v>3045009.82</v>
      </c>
      <c r="O40" s="188">
        <f>+INDEX('2019'!$1:$1048576,MATCH(CONCATENATE('Analitika - 2019'!$A40,"p"),'2019'!$A:$A,0),MATCH('Analitika - 2019'!$O$6,'2019'!$101:$101,0))</f>
        <v>2977759.6208333336</v>
      </c>
      <c r="P40" s="189">
        <f t="shared" si="3"/>
        <v>67250.199166666251</v>
      </c>
      <c r="Q40" s="190">
        <f t="shared" si="4"/>
        <v>2.2584159814701854E-2</v>
      </c>
      <c r="R40" s="188">
        <f>+INDEX('2018'!$1:$1048576,MATCH('Analitika - 2019'!$A40,'2018'!$A:$A,0),MATCH('Analitika - 2019'!$R$6,'2018'!$6:$6,0))</f>
        <v>3091262.43</v>
      </c>
      <c r="S40" s="189">
        <f t="shared" si="5"/>
        <v>-46252.610000000335</v>
      </c>
      <c r="T40" s="191">
        <f t="shared" si="6"/>
        <v>-1.4962369273837539E-2</v>
      </c>
    </row>
    <row r="41" spans="1:20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f>+SUMPRODUCT(('2019'!$G41:$R41)*('2019'!$G$5:$R$5&lt;=Master!$B$3)*($A41='2019'!$A$10:$A$66))</f>
        <v>33327570.490000002</v>
      </c>
      <c r="H41" s="188">
        <f>+SUMPRODUCT(('2019'!$G136:$R136)*('2019'!$G$5:$R$5&lt;=Master!$B$3))</f>
        <v>49472407.795000009</v>
      </c>
      <c r="I41" s="189">
        <f t="shared" si="0"/>
        <v>-16144837.305000007</v>
      </c>
      <c r="J41" s="190">
        <f t="shared" si="1"/>
        <v>-0.32634023740869356</v>
      </c>
      <c r="K41" s="188">
        <f>+SUMPRODUCT(('2018'!$G41:$R41)*('2018'!$G$5:$R$5&lt;=Master!$B$3))</f>
        <v>32257914.000000004</v>
      </c>
      <c r="L41" s="189">
        <f t="shared" si="7"/>
        <v>1069656.4899999984</v>
      </c>
      <c r="M41" s="191">
        <f t="shared" si="2"/>
        <v>3.3159505912254472E-2</v>
      </c>
      <c r="N41" s="188">
        <f>+INDEX('2019'!$1:$1048576,MATCH('Analitika - 2019'!$A41,'2019'!$A:$A,0),MATCH('Analitika - 2019'!$N$6,'2019'!$6:$6,0))</f>
        <v>10503399.49</v>
      </c>
      <c r="O41" s="188">
        <f>+INDEX('2019'!$1:$1048576,MATCH(CONCATENATE('Analitika - 2019'!$A41,"p"),'2019'!$A:$A,0),MATCH('Analitika - 2019'!$O$6,'2019'!$101:$101,0))</f>
        <v>4947709.1475000018</v>
      </c>
      <c r="P41" s="189">
        <f t="shared" si="3"/>
        <v>5555690.3424999984</v>
      </c>
      <c r="Q41" s="190">
        <f t="shared" si="4"/>
        <v>1.1228813531424335</v>
      </c>
      <c r="R41" s="188">
        <f>+INDEX('2018'!$1:$1048576,MATCH('Analitika - 2019'!$A41,'2018'!$A:$A,0),MATCH('Analitika - 2019'!$R$6,'2018'!$6:$6,0))</f>
        <v>5912379.6799999997</v>
      </c>
      <c r="S41" s="189">
        <f t="shared" si="5"/>
        <v>4591019.8100000005</v>
      </c>
      <c r="T41" s="191">
        <f t="shared" si="6"/>
        <v>0.77650963883970325</v>
      </c>
    </row>
    <row r="42" spans="1:20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00">
        <f>+SUMPRODUCT(('2019'!$G42:$R42)*('2019'!$G$5:$R$5&lt;=Master!$B$3)*($A42='2019'!$A$10:$A$66))</f>
        <v>456110654.27000004</v>
      </c>
      <c r="H42" s="200">
        <f>+SUMPRODUCT(('2019'!$G137:$R137)*('2019'!$G$5:$R$5&lt;=Master!$B$3))</f>
        <v>463183560.39999998</v>
      </c>
      <c r="I42" s="219">
        <f t="shared" si="0"/>
        <v>-7072906.1299999356</v>
      </c>
      <c r="J42" s="220">
        <f t="shared" si="1"/>
        <v>-1.5270201135575423E-2</v>
      </c>
      <c r="K42" s="200">
        <f>+SUMPRODUCT(('2018'!$G42:$R42)*('2018'!$G$5:$R$5&lt;=Master!$B$3))</f>
        <v>447159508.73000002</v>
      </c>
      <c r="L42" s="219">
        <f t="shared" si="7"/>
        <v>8951145.5400000215</v>
      </c>
      <c r="M42" s="221">
        <f t="shared" si="2"/>
        <v>2.0017790889480525E-2</v>
      </c>
      <c r="N42" s="200">
        <f>+INDEX('2019'!$1:$1048576,MATCH('Analitika - 2019'!$A42,'2019'!$A:$A,0),MATCH('Analitika - 2019'!$N$6,'2019'!$6:$6,0))</f>
        <v>46756374.820000008</v>
      </c>
      <c r="O42" s="200">
        <f>+INDEX('2019'!$1:$1048576,MATCH(CONCATENATE('Analitika - 2019'!$A42,"p"),'2019'!$A:$A,0),MATCH('Analitika - 2019'!$O$6,'2019'!$101:$101,0))</f>
        <v>47329512.010000005</v>
      </c>
      <c r="P42" s="219">
        <f t="shared" si="3"/>
        <v>-573137.18999999762</v>
      </c>
      <c r="Q42" s="220">
        <f t="shared" si="4"/>
        <v>-1.210950981026182E-2</v>
      </c>
      <c r="R42" s="200">
        <f>+INDEX('2018'!$1:$1048576,MATCH('Analitika - 2019'!$A42,'2018'!$A:$A,0),MATCH('Analitika - 2019'!$R$6,'2018'!$6:$6,0))</f>
        <v>45490648.009999998</v>
      </c>
      <c r="S42" s="219">
        <f t="shared" si="5"/>
        <v>1265726.8100000098</v>
      </c>
      <c r="T42" s="221">
        <f t="shared" si="6"/>
        <v>2.7823890521888606E-2</v>
      </c>
    </row>
    <row r="43" spans="1:20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+SUMPRODUCT(('2019'!$G43:$R43)*('2019'!$G$5:$R$5&lt;=Master!$B$3)*($A43='2019'!$A$10:$A$66))</f>
        <v>66115340.469999991</v>
      </c>
      <c r="H43" s="188">
        <f>+SUMPRODUCT(('2019'!$G138:$R138)*('2019'!$G$5:$R$5&lt;=Master!$B$3))</f>
        <v>67491450.000000015</v>
      </c>
      <c r="I43" s="189">
        <f t="shared" si="0"/>
        <v>-1376109.5300000235</v>
      </c>
      <c r="J43" s="190">
        <f t="shared" si="1"/>
        <v>-2.0389390507983163E-2</v>
      </c>
      <c r="K43" s="188">
        <f>+SUMPRODUCT(('2018'!$G43:$R43)*('2018'!$G$5:$R$5&lt;=Master!$B$3))</f>
        <v>64808568.329999998</v>
      </c>
      <c r="L43" s="189">
        <f t="shared" si="7"/>
        <v>1306772.1399999931</v>
      </c>
      <c r="M43" s="191">
        <f t="shared" si="2"/>
        <v>2.0163570553603627E-2</v>
      </c>
      <c r="N43" s="188">
        <f>+INDEX('2019'!$1:$1048576,MATCH('Analitika - 2019'!$A43,'2019'!$A:$A,0),MATCH('Analitika - 2019'!$N$6,'2019'!$6:$6,0))</f>
        <v>6933312.3200000003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184037.3199999975</v>
      </c>
      <c r="Q43" s="190">
        <f t="shared" si="4"/>
        <v>2.7267716902926287E-2</v>
      </c>
      <c r="R43" s="188">
        <f>+INDEX('2018'!$1:$1048576,MATCH('Analitika - 2019'!$A43,'2018'!$A:$A,0),MATCH('Analitika - 2019'!$R$6,'2018'!$6:$6,0))</f>
        <v>7143348.9900000002</v>
      </c>
      <c r="S43" s="189">
        <f t="shared" si="5"/>
        <v>-210036.66999999993</v>
      </c>
      <c r="T43" s="191">
        <f t="shared" si="6"/>
        <v>-2.9403109143068762E-2</v>
      </c>
    </row>
    <row r="44" spans="1:20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+SUMPRODUCT(('2019'!$G44:$R44)*('2019'!$G$5:$R$5&lt;=Master!$B$3)*($A44='2019'!$A$10:$A$66))</f>
        <v>12674038.429999998</v>
      </c>
      <c r="H44" s="188">
        <f>+SUMPRODUCT(('2019'!$G139:$R139)*('2019'!$G$5:$R$5&lt;=Master!$B$3))</f>
        <v>13483680.83</v>
      </c>
      <c r="I44" s="189">
        <f t="shared" si="0"/>
        <v>-809642.40000000224</v>
      </c>
      <c r="J44" s="190">
        <f t="shared" si="1"/>
        <v>-6.0046096478241995E-2</v>
      </c>
      <c r="K44" s="188">
        <f>+SUMPRODUCT(('2018'!$G44:$R44)*('2018'!$G$5:$R$5&lt;=Master!$B$3))</f>
        <v>10269444.299999999</v>
      </c>
      <c r="L44" s="189">
        <f t="shared" si="7"/>
        <v>2404594.129999999</v>
      </c>
      <c r="M44" s="191">
        <f t="shared" si="2"/>
        <v>0.23415036488391094</v>
      </c>
      <c r="N44" s="188">
        <f>+INDEX('2019'!$1:$1048576,MATCH('Analitika - 2019'!$A44,'2019'!$A:$A,0),MATCH('Analitika - 2019'!$N$6,'2019'!$6:$6,0))</f>
        <v>1710317.34</v>
      </c>
      <c r="O44" s="188">
        <f>+INDEX('2019'!$1:$1048576,MATCH(CONCATENATE('Analitika - 2019'!$A44,"p"),'2019'!$A:$A,0),MATCH('Analitika - 2019'!$O$6,'2019'!$101:$101,0))</f>
        <v>2359394.0699999998</v>
      </c>
      <c r="P44" s="189">
        <f t="shared" si="3"/>
        <v>-649076.72999999975</v>
      </c>
      <c r="Q44" s="190">
        <f t="shared" si="4"/>
        <v>-0.27510314544445713</v>
      </c>
      <c r="R44" s="188">
        <f>+INDEX('2018'!$1:$1048576,MATCH('Analitika - 2019'!$A44,'2018'!$A:$A,0),MATCH('Analitika - 2019'!$R$6,'2018'!$6:$6,0))</f>
        <v>1282662.6599999999</v>
      </c>
      <c r="S44" s="189">
        <f t="shared" si="5"/>
        <v>427654.68000000017</v>
      </c>
      <c r="T44" s="191">
        <f t="shared" si="6"/>
        <v>0.33341165478380752</v>
      </c>
    </row>
    <row r="45" spans="1:20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+SUMPRODUCT(('2019'!$G45:$R45)*('2019'!$G$5:$R$5&lt;=Master!$B$3)*($A45='2019'!$A$10:$A$66))</f>
        <v>350934442.38</v>
      </c>
      <c r="H45" s="188">
        <f>+SUMPRODUCT(('2019'!$G140:$R140)*('2019'!$G$5:$R$5&lt;=Master!$B$3))</f>
        <v>357520845.38999999</v>
      </c>
      <c r="I45" s="189">
        <f t="shared" si="0"/>
        <v>-6586403.0099999905</v>
      </c>
      <c r="J45" s="190">
        <f t="shared" si="1"/>
        <v>-1.8422430733556983E-2</v>
      </c>
      <c r="K45" s="188">
        <f>+SUMPRODUCT(('2018'!$G45:$R45)*('2018'!$G$5:$R$5&lt;=Master!$B$3))</f>
        <v>345575530.38</v>
      </c>
      <c r="L45" s="189">
        <f t="shared" si="7"/>
        <v>5358912</v>
      </c>
      <c r="M45" s="191">
        <f t="shared" si="2"/>
        <v>1.5507209072665784E-2</v>
      </c>
      <c r="N45" s="188">
        <f>+INDEX('2019'!$1:$1048576,MATCH('Analitika - 2019'!$A45,'2019'!$A:$A,0),MATCH('Analitika - 2019'!$N$6,'2019'!$6:$6,0))</f>
        <v>34922457.960000001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-829626.5700000003</v>
      </c>
      <c r="Q45" s="190">
        <f t="shared" si="4"/>
        <v>-2.3204984573804377E-2</v>
      </c>
      <c r="R45" s="188">
        <f>+INDEX('2018'!$1:$1048576,MATCH('Analitika - 2019'!$A45,'2018'!$A:$A,0),MATCH('Analitika - 2019'!$R$6,'2018'!$6:$6,0))</f>
        <v>34511618.530000001</v>
      </c>
      <c r="S45" s="189">
        <f t="shared" si="5"/>
        <v>410839.4299999997</v>
      </c>
      <c r="T45" s="191">
        <f t="shared" si="6"/>
        <v>1.1904380249302626E-2</v>
      </c>
    </row>
    <row r="46" spans="1:20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+SUMPRODUCT(('2019'!$G46:$R46)*('2019'!$G$5:$R$5&lt;=Master!$B$3)*($A46='2019'!$A$10:$A$66))</f>
        <v>17285745.990000002</v>
      </c>
      <c r="H46" s="188">
        <f>+SUMPRODUCT(('2019'!$G141:$R141)*('2019'!$G$5:$R$5&lt;=Master!$B$3))</f>
        <v>15833416.68</v>
      </c>
      <c r="I46" s="189">
        <f t="shared" si="0"/>
        <v>1452329.3100000024</v>
      </c>
      <c r="J46" s="190">
        <f t="shared" si="1"/>
        <v>9.17255788407636E-2</v>
      </c>
      <c r="K46" s="188">
        <f>+SUMPRODUCT(('2018'!$G46:$R46)*('2018'!$G$5:$R$5&lt;=Master!$B$3))</f>
        <v>15614601</v>
      </c>
      <c r="L46" s="189">
        <f t="shared" si="7"/>
        <v>1671144.9900000021</v>
      </c>
      <c r="M46" s="191">
        <f t="shared" si="2"/>
        <v>0.1070245080229717</v>
      </c>
      <c r="N46" s="188">
        <f>+INDEX('2019'!$1:$1048576,MATCH('Analitika - 2019'!$A46,'2019'!$A:$A,0),MATCH('Analitika - 2019'!$N$6,'2019'!$6:$6,0))</f>
        <v>2220320.35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636978.68999999994</v>
      </c>
      <c r="Q46" s="190">
        <f t="shared" si="4"/>
        <v>0.40230021485065959</v>
      </c>
      <c r="R46" s="188">
        <f>+INDEX('2018'!$1:$1048576,MATCH('Analitika - 2019'!$A46,'2018'!$A:$A,0),MATCH('Analitika - 2019'!$R$6,'2018'!$6:$6,0))</f>
        <v>1661059.04</v>
      </c>
      <c r="S46" s="189">
        <f t="shared" si="5"/>
        <v>559261.31000000006</v>
      </c>
      <c r="T46" s="191">
        <f t="shared" si="6"/>
        <v>0.33668960376026136</v>
      </c>
    </row>
    <row r="47" spans="1:20">
      <c r="A47" s="175">
        <v>425</v>
      </c>
      <c r="B47" s="470" t="str">
        <f>+VLOOKUP($A47,Master!$D$27:$G$225,4,FALSE)</f>
        <v>Ostala prava iz zdravstvenog osiguranja</v>
      </c>
      <c r="C47" s="471"/>
      <c r="D47" s="471"/>
      <c r="E47" s="471"/>
      <c r="F47" s="471"/>
      <c r="G47" s="188">
        <f>+SUMPRODUCT(('2019'!$G47:$R47)*('2019'!$G$5:$R$5&lt;=Master!$B$3)*($A47='2019'!$A$10:$A$66))</f>
        <v>9101087.0000000019</v>
      </c>
      <c r="H47" s="188">
        <f>+SUMPRODUCT(('2019'!$G142:$R142)*('2019'!$G$5:$R$5&lt;=Master!$B$3))</f>
        <v>8854167.5</v>
      </c>
      <c r="I47" s="189">
        <f t="shared" si="0"/>
        <v>246919.50000000186</v>
      </c>
      <c r="J47" s="190">
        <f t="shared" si="1"/>
        <v>2.7887376198835412E-2</v>
      </c>
      <c r="K47" s="188">
        <f>+SUMPRODUCT(('2018'!$G47:$R47)*('2018'!$G$5:$R$5&lt;=Master!$B$3))</f>
        <v>10891364.719999999</v>
      </c>
      <c r="L47" s="189">
        <f t="shared" si="7"/>
        <v>-1790277.7199999969</v>
      </c>
      <c r="M47" s="191">
        <f t="shared" si="2"/>
        <v>-0.16437588548590976</v>
      </c>
      <c r="N47" s="188">
        <f>+INDEX('2019'!$1:$1048576,MATCH('Analitika - 2019'!$A47,'2019'!$A:$A,0),MATCH('Analitika - 2019'!$N$6,'2019'!$6:$6,0))</f>
        <v>969966.85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84550.099999999977</v>
      </c>
      <c r="Q47" s="190">
        <f t="shared" si="4"/>
        <v>9.5491868659588697E-2</v>
      </c>
      <c r="R47" s="188">
        <f>+INDEX('2018'!$1:$1048576,MATCH('Analitika - 2019'!$A47,'2018'!$A:$A,0),MATCH('Analitika - 2019'!$R$6,'2018'!$6:$6,0))</f>
        <v>891958.79</v>
      </c>
      <c r="S47" s="189">
        <f t="shared" si="5"/>
        <v>78008.059999999939</v>
      </c>
      <c r="T47" s="191">
        <f t="shared" si="6"/>
        <v>8.7457022538003137E-2</v>
      </c>
    </row>
    <row r="48" spans="1:20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+SUMPRODUCT(('2019'!$G48:$R48)*('2019'!$G$5:$R$5&lt;=Master!$B$3)*($A48='2019'!$A$10:$A$66))</f>
        <v>178467676.83999997</v>
      </c>
      <c r="H48" s="200">
        <f>+SUMPRODUCT(('2019'!$G143:$R143)*('2019'!$G$5:$R$5&lt;=Master!$B$3))</f>
        <v>185056653.72999999</v>
      </c>
      <c r="I48" s="201">
        <f t="shared" si="0"/>
        <v>-6588976.8900000155</v>
      </c>
      <c r="J48" s="202">
        <f t="shared" si="1"/>
        <v>-3.5605187693566576E-2</v>
      </c>
      <c r="K48" s="200">
        <f>+SUMPRODUCT(('2018'!$G48:$R48)*('2018'!$G$5:$R$5&lt;=Master!$B$3))</f>
        <v>157726219.20999998</v>
      </c>
      <c r="L48" s="201">
        <f t="shared" si="7"/>
        <v>20741457.629999995</v>
      </c>
      <c r="M48" s="203">
        <f t="shared" si="2"/>
        <v>0.13150291520260415</v>
      </c>
      <c r="N48" s="200">
        <f>+INDEX('2019'!$1:$1048576,MATCH('Analitika - 2019'!$A48,'2019'!$A:$A,0),MATCH('Analitika - 2019'!$N$6,'2019'!$6:$6,0))</f>
        <v>17069504.329999998</v>
      </c>
      <c r="O48" s="200">
        <f>+INDEX('2019'!$1:$1048576,MATCH(CONCATENATE('Analitika - 2019'!$A48,"p"),'2019'!$A:$A,0),MATCH('Analitika - 2019'!$O$6,'2019'!$101:$101,0))</f>
        <v>17923875.184999999</v>
      </c>
      <c r="P48" s="201">
        <f t="shared" si="3"/>
        <v>-854370.85500000045</v>
      </c>
      <c r="Q48" s="202">
        <f t="shared" si="4"/>
        <v>-4.766663716309516E-2</v>
      </c>
      <c r="R48" s="200">
        <f>+INDEX('2018'!$1:$1048576,MATCH('Analitika - 2019'!$A48,'2018'!$A:$A,0),MATCH('Analitika - 2019'!$R$6,'2018'!$6:$6,0))</f>
        <v>16865388.859999999</v>
      </c>
      <c r="S48" s="201">
        <f t="shared" si="5"/>
        <v>204115.46999999881</v>
      </c>
      <c r="T48" s="203">
        <f t="shared" si="6"/>
        <v>1.2102624593738565E-2</v>
      </c>
    </row>
    <row r="49" spans="1:23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+SUMPRODUCT(('2019'!$G49:$R49)*('2019'!$G$5:$R$5&lt;=Master!$B$3)*($A49='2019'!$A$10:$A$66))</f>
        <v>174427193.98000002</v>
      </c>
      <c r="H49" s="200">
        <f>+SUMPRODUCT(('2019'!$G144:$R144)*('2019'!$G$5:$R$5&lt;=Master!$B$3))</f>
        <v>267437499.89999998</v>
      </c>
      <c r="I49" s="201">
        <f t="shared" si="0"/>
        <v>-93010305.919999957</v>
      </c>
      <c r="J49" s="202">
        <f t="shared" si="1"/>
        <v>-0.34778333612443391</v>
      </c>
      <c r="K49" s="200">
        <f>+SUMPRODUCT(('2018'!$G49:$R49)*('2018'!$G$5:$R$5&lt;=Master!$B$3))</f>
        <v>174091971.06999999</v>
      </c>
      <c r="L49" s="201">
        <f t="shared" si="7"/>
        <v>335222.91000002623</v>
      </c>
      <c r="M49" s="203">
        <f t="shared" si="2"/>
        <v>1.9255506611803863E-3</v>
      </c>
      <c r="N49" s="200">
        <f>+INDEX('2019'!$1:$1048576,MATCH('Analitika - 2019'!$A49,'2019'!$A:$A,0),MATCH('Analitika - 2019'!$N$6,'2019'!$6:$6,0))</f>
        <v>14440865.34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-12302884.649999995</v>
      </c>
      <c r="Q49" s="202">
        <f t="shared" si="4"/>
        <v>-0.46002840493948238</v>
      </c>
      <c r="R49" s="200">
        <f>+INDEX('2018'!$1:$1048576,MATCH('Analitika - 2019'!$A49,'2018'!$A:$A,0),MATCH('Analitika - 2019'!$R$6,'2018'!$6:$6,0))</f>
        <v>27286098.32</v>
      </c>
      <c r="S49" s="201">
        <f t="shared" si="5"/>
        <v>-12845232.98</v>
      </c>
      <c r="T49" s="203" t="s">
        <v>773</v>
      </c>
    </row>
    <row r="50" spans="1:23">
      <c r="A50" s="175">
        <v>451</v>
      </c>
      <c r="B50" s="488" t="str">
        <f>+VLOOKUP($A50,Master!$D$27:$G$225,4,FALSE)</f>
        <v>Pozajmice i krediti</v>
      </c>
      <c r="C50" s="489"/>
      <c r="D50" s="489"/>
      <c r="E50" s="489"/>
      <c r="F50" s="489"/>
      <c r="G50" s="188">
        <f>+SUMPRODUCT(('2019'!$G50:$R50)*('2019'!$G$5:$R$5&lt;=Master!$B$3)*($A50='2019'!$A$10:$A$66))</f>
        <v>2094501.98</v>
      </c>
      <c r="H50" s="188">
        <f>+SUMPRODUCT(('2019'!$G145:$R145)*('2019'!$G$5:$R$5&lt;=Master!$B$3))</f>
        <v>1900000.833333333</v>
      </c>
      <c r="I50" s="189">
        <f>G50-H50</f>
        <v>194501.14666666696</v>
      </c>
      <c r="J50" s="343">
        <f t="shared" si="1"/>
        <v>0.10236897966272829</v>
      </c>
      <c r="K50" s="188">
        <f>+SUMPRODUCT(('2018'!$G50:$R50)*('2018'!$G$5:$R$5&lt;=Master!$B$3))</f>
        <v>2024281</v>
      </c>
      <c r="L50" s="349">
        <f t="shared" si="7"/>
        <v>70220.979999999981</v>
      </c>
      <c r="M50" s="352">
        <f t="shared" si="2"/>
        <v>3.4689344018937973E-2</v>
      </c>
      <c r="N50" s="188">
        <f>+INDEX('2019'!$1:$1048576,MATCH('Analitika - 2019'!$A50,'2019'!$A:$A,0),MATCH('Analitika - 2019'!$N$6,'2019'!$6:$6,0))</f>
        <v>10000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-180000.08333333334</v>
      </c>
      <c r="Q50" s="343">
        <f t="shared" si="4"/>
        <v>-0.94736844413664734</v>
      </c>
      <c r="R50" s="188">
        <f>+INDEX('2018'!$1:$1048576,MATCH('Analitika - 2019'!$A50,'2018'!$A:$A,0),MATCH('Analitika - 2019'!$R$6,'2018'!$6:$6,0))</f>
        <v>80000</v>
      </c>
      <c r="S50" s="349">
        <f t="shared" si="5"/>
        <v>-70000</v>
      </c>
      <c r="T50" s="352" t="s">
        <v>773</v>
      </c>
    </row>
    <row r="51" spans="1:23">
      <c r="A51" s="175">
        <v>47</v>
      </c>
      <c r="B51" s="488" t="str">
        <f>+VLOOKUP($A51,Master!$D$27:$G$225,4,FALSE)</f>
        <v>Rezerve</v>
      </c>
      <c r="C51" s="489"/>
      <c r="D51" s="489"/>
      <c r="E51" s="489"/>
      <c r="F51" s="489"/>
      <c r="G51" s="188">
        <f>+SUMPRODUCT(('2019'!$G51:$R51)*('2019'!$G$5:$R$5&lt;=Master!$B$3)*($A51='2019'!$A$10:$A$66))</f>
        <v>14830580.08</v>
      </c>
      <c r="H51" s="188">
        <f>+SUMPRODUCT(('2019'!$G146:$R146)*('2019'!$G$5:$R$5&lt;=Master!$B$3))</f>
        <v>20365499.999999996</v>
      </c>
      <c r="I51" s="189">
        <f t="shared" ref="I51:I52" si="8">G51-H51</f>
        <v>-5534919.9199999962</v>
      </c>
      <c r="J51" s="344">
        <f t="shared" si="1"/>
        <v>-0.27177923056148867</v>
      </c>
      <c r="K51" s="188">
        <f>+SUMPRODUCT(('2018'!$G51:$R51)*('2018'!$G$5:$R$5&lt;=Master!$B$3))</f>
        <v>13234946.75</v>
      </c>
      <c r="L51" s="350">
        <f t="shared" si="7"/>
        <v>1595633.33</v>
      </c>
      <c r="M51" s="353">
        <f t="shared" si="2"/>
        <v>0.12056212693111146</v>
      </c>
      <c r="N51" s="188">
        <f>+INDEX('2019'!$1:$1048576,MATCH('Analitika - 2019'!$A51,'2019'!$A:$A,0),MATCH('Analitika - 2019'!$N$6,'2019'!$6:$6,0))</f>
        <v>424125.36</v>
      </c>
      <c r="O51" s="188">
        <f>+INDEX('2019'!$1:$1048576,MATCH(CONCATENATE('Analitika - 2019'!$A51,"p"),'2019'!$A:$A,0),MATCH('Analitika - 2019'!$O$6,'2019'!$101:$101,0))</f>
        <v>2317250</v>
      </c>
      <c r="P51" s="189">
        <f t="shared" si="3"/>
        <v>-1893124.6400000001</v>
      </c>
      <c r="Q51" s="344">
        <f t="shared" si="4"/>
        <v>-0.81697039162800733</v>
      </c>
      <c r="R51" s="188">
        <f>+INDEX('2018'!$1:$1048576,MATCH('Analitika - 2019'!$A51,'2018'!$A:$A,0),MATCH('Analitika - 2019'!$R$6,'2018'!$6:$6,0))</f>
        <v>559184.78</v>
      </c>
      <c r="S51" s="350">
        <f t="shared" si="5"/>
        <v>-135059.42000000004</v>
      </c>
      <c r="T51" s="353">
        <f t="shared" si="6"/>
        <v>-0.24152914176240636</v>
      </c>
      <c r="W51" s="441"/>
    </row>
    <row r="52" spans="1:23" ht="15.7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9434672.4100000001</v>
      </c>
      <c r="I52" s="189">
        <f t="shared" si="8"/>
        <v>27</v>
      </c>
      <c r="J52" s="345">
        <f t="shared" si="1"/>
        <v>2.8617845777567652E-6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0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90" t="str">
        <f>+VLOOKUP($A53,Master!$D$27:$G$225,4,FALSE)</f>
        <v>Otplata obaveza iz prethodnih godina</v>
      </c>
      <c r="C53" s="491"/>
      <c r="D53" s="491"/>
      <c r="E53" s="491"/>
      <c r="F53" s="491"/>
      <c r="G53" s="390">
        <f>+SUMPRODUCT(('2019'!$G53:$R53)*('2019'!$G$5:$R$5&lt;=Master!$B$3)*($A53='2019'!$A$10:$A$66))</f>
        <v>17549235.309999995</v>
      </c>
      <c r="H53" s="390">
        <f>+SUMPRODUCT(('2019'!$G148:$R148)*('2019'!$G$5:$R$5&lt;=Master!$B$3))</f>
        <v>15548938.57</v>
      </c>
      <c r="I53" s="351">
        <f>G53-H53</f>
        <v>2000296.7399999946</v>
      </c>
      <c r="J53" s="346">
        <f t="shared" si="1"/>
        <v>0.12864522751793173</v>
      </c>
      <c r="K53" s="390">
        <f>+SUMPRODUCT(('2018'!$G53:$R53)*('2018'!$G$5:$R$5&lt;=Master!$B$3))</f>
        <v>19989854.140000001</v>
      </c>
      <c r="L53" s="357">
        <f t="shared" si="7"/>
        <v>-2440618.8300000057</v>
      </c>
      <c r="M53" s="355">
        <f t="shared" si="2"/>
        <v>-0.12209287836254346</v>
      </c>
      <c r="N53" s="390">
        <f>+INDEX('2019'!$1:$1048576,MATCH('Analitika - 2019'!$A53,'2019'!$A:$A,0),MATCH('Analitika - 2019'!$N$6,'2019'!$6:$6,0))</f>
        <v>1269302.99</v>
      </c>
      <c r="O53" s="390">
        <f>+INDEX('2019'!$1:$1048576,MATCH(CONCATENATE('Analitika - 2019'!$A53,"p"),'2019'!$A:$A,0),MATCH('Analitika - 2019'!$O$6,'2019'!$101:$101,0))</f>
        <v>1374050.6099999999</v>
      </c>
      <c r="P53" s="351">
        <f>N53-O53</f>
        <v>-104747.61999999988</v>
      </c>
      <c r="Q53" s="346">
        <f t="shared" si="4"/>
        <v>-7.6232723334695773E-2</v>
      </c>
      <c r="R53" s="390">
        <f>+INDEX('2018'!$1:$1048576,MATCH('Analitika - 2019'!$A53,'2018'!$A:$A,0),MATCH('Analitika - 2019'!$R$6,'2018'!$6:$6,0))</f>
        <v>1966075.9</v>
      </c>
      <c r="S53" s="357">
        <f>+N53-R53</f>
        <v>-696772.90999999992</v>
      </c>
      <c r="T53" s="355">
        <f>+IF(ISNUMBER(N53/R53-1),N53/R53-1,"…")</f>
        <v>-0.35439776765484987</v>
      </c>
    </row>
    <row r="54" spans="1:23" ht="15.75" thickBot="1">
      <c r="A54" s="169">
        <v>1005</v>
      </c>
      <c r="B54" s="490" t="str">
        <f>+VLOOKUP($A54,Master!$D$27:$G$227,4,FALSE)</f>
        <v>Neto povećanje obaveza</v>
      </c>
      <c r="C54" s="491"/>
      <c r="D54" s="491"/>
      <c r="E54" s="491"/>
      <c r="F54" s="491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>+SUMPRODUCT(('2019'!$G55:$R55)*('2019'!$G$5:$R$5&lt;=Master!$B$3)*($A55='2019'!$A$10:$A$66))</f>
        <v>-35377007.350000039</v>
      </c>
      <c r="H55" s="176">
        <f>+SUMPRODUCT(('2019'!$G150:$R150)*('2019'!$G$5:$R$5&lt;=Master!$B$3))</f>
        <v>-186295756.47321835</v>
      </c>
      <c r="I55" s="397">
        <f>+G55-H55</f>
        <v>150918749.1232183</v>
      </c>
      <c r="J55" s="348">
        <f t="shared" si="1"/>
        <v>-0.81010298881882581</v>
      </c>
      <c r="K55" s="176">
        <f>+SUMPRODUCT(('2018'!$G55:$R55)*('2018'!$G$5:$R$5&lt;=Master!$B$3))</f>
        <v>-52972993.939999953</v>
      </c>
      <c r="L55" s="358">
        <f t="shared" si="7"/>
        <v>17595986.589999914</v>
      </c>
      <c r="M55" s="356">
        <f t="shared" si="2"/>
        <v>-0.33216900313261644</v>
      </c>
      <c r="N55" s="176">
        <f>+INDEX('2019'!$1:$1048576,MATCH('Analitika - 2019'!$A55,'2019'!$A:$A,0),MATCH('Analitika - 2019'!$N$6,'2019'!$6:$6,0))</f>
        <v>2992113.5800000131</v>
      </c>
      <c r="O55" s="176">
        <f>+INDEX('2019'!$1:$1048576,MATCH(CONCATENATE('Analitika - 2019'!$A55,"p"),'2019'!$A:$A,0),MATCH('Analitika - 2019'!$O$6,'2019'!$101:$101,0))</f>
        <v>29894513.576703846</v>
      </c>
      <c r="P55" s="397">
        <f>N55-O55</f>
        <v>-26902399.996703833</v>
      </c>
      <c r="Q55" s="348">
        <f t="shared" si="4"/>
        <v>-0.8999109461231809</v>
      </c>
      <c r="R55" s="176">
        <f>+INDEX('2018'!$1:$1048576,MATCH('Analitika - 2019'!$A55,'2018'!$A:$A,0),MATCH('Analitika - 2019'!$R$6,'2018'!$6:$6,0))</f>
        <v>-12364672.099999994</v>
      </c>
      <c r="S55" s="358">
        <f t="shared" si="5"/>
        <v>15356785.680000007</v>
      </c>
      <c r="T55" s="348">
        <f>+IF(ISNUMBER(N55/R55-1),N55/R55-1,"…")</f>
        <v>-1.2419889145301326</v>
      </c>
    </row>
    <row r="56" spans="1:23" ht="15.7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176">
        <f>+SUMPRODUCT(('2019'!$G56:$R56)*('2019'!$G$5:$R$5&lt;=Master!$B$3)*($A56='2019'!$A$10:$A$66))</f>
        <v>49304696.119999953</v>
      </c>
      <c r="H56" s="176">
        <f>+SUMPRODUCT(('2019'!$G151:$R151)*('2019'!$G$5:$R$5&lt;=Master!$B$3))</f>
        <v>-100184141.57321836</v>
      </c>
      <c r="I56" s="231">
        <f t="shared" si="0"/>
        <v>149488837.69321832</v>
      </c>
      <c r="J56" s="232">
        <f t="shared" si="1"/>
        <v>-1.4921407255255685</v>
      </c>
      <c r="K56" s="176">
        <f>+SUMPRODUCT(('2018'!$G57:$R57)*('2018'!$G$5:$R$5&lt;=Master!$B$3))</f>
        <v>34663417.680000052</v>
      </c>
      <c r="L56" s="231">
        <f t="shared" si="7"/>
        <v>14641278.439999901</v>
      </c>
      <c r="M56" s="233">
        <f t="shared" si="2"/>
        <v>0.42238415655267492</v>
      </c>
      <c r="N56" s="176">
        <f>+INDEX('2019'!$1:$1048576,MATCH('Analitika - 2019'!$A56,'2019'!$A:$A,0),MATCH('Analitika - 2019'!$N$6,'2019'!$6:$6,0))</f>
        <v>4620239.7000000132</v>
      </c>
      <c r="O56" s="176">
        <f>+INDEX('2019'!$1:$1048576,MATCH(CONCATENATE('Analitika - 2019'!$A56,"p"),'2019'!$A:$A,0),MATCH('Analitika - 2019'!$O$6,'2019'!$101:$101,0))</f>
        <v>31215805.656703848</v>
      </c>
      <c r="P56" s="231">
        <f t="shared" si="3"/>
        <v>-26595565.956703834</v>
      </c>
      <c r="Q56" s="232">
        <f t="shared" si="4"/>
        <v>-0.85199037465791694</v>
      </c>
      <c r="R56" s="176">
        <f>+INDEX('2018'!$1:$1048576,MATCH('Analitika - 2019'!$A56,'2018'!$A:$A,0),MATCH('Analitika - 2019'!$R$6,'2018'!$6:$6,0))</f>
        <v>-10825983.799999993</v>
      </c>
      <c r="S56" s="231">
        <f t="shared" si="5"/>
        <v>15446223.500000007</v>
      </c>
      <c r="T56" s="348">
        <f>+IF(ISNUMBER(N56/R56-1),N56/R56-1,"…")</f>
        <v>-1.4267731954300555</v>
      </c>
    </row>
    <row r="57" spans="1:23">
      <c r="A57" s="169">
        <v>46</v>
      </c>
      <c r="B57" s="486" t="str">
        <f>+VLOOKUP($A57,Master!$D$27:$G$225,4,FALSE)</f>
        <v>Otplata dugova</v>
      </c>
      <c r="C57" s="487"/>
      <c r="D57" s="487"/>
      <c r="E57" s="487"/>
      <c r="F57" s="487"/>
      <c r="G57" s="182">
        <f>+SUMPRODUCT(('2019'!$G57:$R57)*('2019'!$G$5:$R$5&lt;=Master!$B$3)*($A57='2019'!$A$10:$A$66))</f>
        <v>484958278.56999999</v>
      </c>
      <c r="H57" s="182">
        <f>+SUMPRODUCT(('2019'!$G152:$R152)*('2019'!$G$5:$R$5&lt;=Master!$B$3))</f>
        <v>341711780.17000002</v>
      </c>
      <c r="I57" s="219">
        <f t="shared" si="0"/>
        <v>143246498.39999998</v>
      </c>
      <c r="J57" s="220">
        <f t="shared" si="1"/>
        <v>0.41920269277440636</v>
      </c>
      <c r="K57" s="182">
        <f>+SUMPRODUCT(('2018'!$G58:$R58)*('2018'!$G$5:$R$5&lt;=Master!$B$3))</f>
        <v>675779449.32000005</v>
      </c>
      <c r="L57" s="219">
        <f t="shared" si="7"/>
        <v>-190821170.75000006</v>
      </c>
      <c r="M57" s="221">
        <f t="shared" si="2"/>
        <v>-0.28237196461362202</v>
      </c>
      <c r="N57" s="182">
        <f>+INDEX('2019'!$1:$1048576,MATCH('Analitika - 2019'!$A57,'2019'!$A:$A,0),MATCH('Analitika - 2019'!$N$6,'2019'!$6:$6,0))</f>
        <v>11092379.140000001</v>
      </c>
      <c r="O57" s="182">
        <f>+INDEX('2019'!$1:$1048576,MATCH(CONCATENATE('Analitika - 2019'!$A57,"p"),'2019'!$A:$A,0),MATCH('Analitika - 2019'!$O$6,'2019'!$101:$101,0))</f>
        <v>6151156.2299999995</v>
      </c>
      <c r="P57" s="219">
        <f t="shared" si="3"/>
        <v>4941222.9100000011</v>
      </c>
      <c r="Q57" s="220">
        <f t="shared" si="4"/>
        <v>0.80329985538344895</v>
      </c>
      <c r="R57" s="182">
        <f>+INDEX('2018'!$1:$1048576,MATCH('Analitika - 2019'!$A57,'2018'!$A:$A,0),MATCH('Analitika - 2019'!$R$6,'2018'!$6:$6,0))</f>
        <v>6031992.4700000007</v>
      </c>
      <c r="S57" s="219">
        <f t="shared" si="5"/>
        <v>5060386.67</v>
      </c>
      <c r="T57" s="221">
        <f t="shared" si="6"/>
        <v>0.83892456682725247</v>
      </c>
    </row>
    <row r="58" spans="1:23">
      <c r="A58" s="169">
        <v>4611</v>
      </c>
      <c r="B58" s="512" t="str">
        <f>+VLOOKUP($A58,Master!$D$27:$G$225,4,FALSE)</f>
        <v>Otplata hartija od vrijednosti i kredita rezidentima</v>
      </c>
      <c r="C58" s="513"/>
      <c r="D58" s="513"/>
      <c r="E58" s="513"/>
      <c r="F58" s="513"/>
      <c r="G58" s="188">
        <f>+SUMPRODUCT(('2019'!$G58:$R58)*('2019'!$G$5:$R$5&lt;=Master!$B$3)*($A58='2019'!$A$10:$A$66))</f>
        <v>175494134.59999999</v>
      </c>
      <c r="H58" s="188">
        <f>+SUMPRODUCT(('2019'!$G153:$R153)*('2019'!$G$5:$R$5&lt;=Master!$B$3))</f>
        <v>31494159.529999997</v>
      </c>
      <c r="I58" s="237">
        <f t="shared" si="0"/>
        <v>143999975.06999999</v>
      </c>
      <c r="J58" s="238">
        <f t="shared" si="1"/>
        <v>4.5722755335900214</v>
      </c>
      <c r="K58" s="188">
        <f>+SUMPRODUCT(('2018'!$G59:$R59)*('2018'!$G$5:$R$5&lt;=Master!$B$3))</f>
        <v>231787358.74000001</v>
      </c>
      <c r="L58" s="237">
        <f t="shared" si="7"/>
        <v>-56293224.140000015</v>
      </c>
      <c r="M58" s="239">
        <f t="shared" si="2"/>
        <v>-0.24286580789397205</v>
      </c>
      <c r="N58" s="188">
        <f>+INDEX('2019'!$1:$1048576,MATCH('Analitika - 2019'!$A58,'2019'!$A:$A,0),MATCH('Analitika - 2019'!$N$6,'2019'!$6:$6,0))</f>
        <v>6571880.8899999997</v>
      </c>
      <c r="O58" s="188">
        <f>+INDEX('2019'!$1:$1048576,MATCH(CONCATENATE('Analitika - 2019'!$A58,"p"),'2019'!$A:$A,0),MATCH('Analitika - 2019'!$O$6,'2019'!$101:$101,0))</f>
        <v>1571862.21</v>
      </c>
      <c r="P58" s="237">
        <f t="shared" si="3"/>
        <v>5000018.68</v>
      </c>
      <c r="Q58" s="238">
        <f t="shared" si="4"/>
        <v>3.1809522795258243</v>
      </c>
      <c r="R58" s="188">
        <f>+INDEX('2018'!$1:$1048576,MATCH('Analitika - 2019'!$A58,'2018'!$A:$A,0),MATCH('Analitika - 2019'!$R$6,'2018'!$6:$6,0))</f>
        <v>2260146.02</v>
      </c>
      <c r="S58" s="237">
        <f t="shared" si="5"/>
        <v>4311734.8699999992</v>
      </c>
      <c r="T58" s="239">
        <f t="shared" si="6"/>
        <v>1.9077240283793699</v>
      </c>
    </row>
    <row r="59" spans="1:23">
      <c r="A59" s="169">
        <v>4612</v>
      </c>
      <c r="B59" s="488" t="str">
        <f>+VLOOKUP($A59,Master!$D$27:$G$225,4,FALSE)</f>
        <v>Otplata hartija od vrijednosti i kredita nerezidentima</v>
      </c>
      <c r="C59" s="489"/>
      <c r="D59" s="489"/>
      <c r="E59" s="489"/>
      <c r="F59" s="489"/>
      <c r="G59" s="188">
        <f>+SUMPRODUCT(('2019'!$G59:$R59)*('2019'!$G$5:$R$5&lt;=Master!$B$3)*($A59='2019'!$A$10:$A$66))</f>
        <v>309464143.96999997</v>
      </c>
      <c r="H59" s="188">
        <f>+SUMPRODUCT(('2019'!$G154:$R154)*('2019'!$G$5:$R$5&lt;=Master!$B$3))</f>
        <v>310217620.63999999</v>
      </c>
      <c r="I59" s="237">
        <f t="shared" si="0"/>
        <v>-753476.67000001669</v>
      </c>
      <c r="J59" s="238">
        <f t="shared" si="1"/>
        <v>-2.4288648350971886E-3</v>
      </c>
      <c r="K59" s="188">
        <f>+SUMPRODUCT(('2018'!$G60:$R60)*('2018'!$G$5:$R$5&lt;=Master!$B$3))</f>
        <v>443992090.57999998</v>
      </c>
      <c r="L59" s="237">
        <f t="shared" si="7"/>
        <v>-134527946.61000001</v>
      </c>
      <c r="M59" s="239">
        <f t="shared" si="2"/>
        <v>-0.30299626832149684</v>
      </c>
      <c r="N59" s="188">
        <f>+INDEX('2019'!$1:$1048576,MATCH('Analitika - 2019'!$A59,'2019'!$A:$A,0),MATCH('Analitika - 2019'!$N$6,'2019'!$6:$6,0))</f>
        <v>4520498.25</v>
      </c>
      <c r="O59" s="188">
        <f>+INDEX('2019'!$1:$1048576,MATCH(CONCATENATE('Analitika - 2019'!$A59,"p"),'2019'!$A:$A,0),MATCH('Analitika - 2019'!$O$6,'2019'!$101:$101,0))</f>
        <v>4579294.0199999996</v>
      </c>
      <c r="P59" s="237">
        <f t="shared" si="3"/>
        <v>-58795.769999999553</v>
      </c>
      <c r="Q59" s="238">
        <f t="shared" si="4"/>
        <v>-1.2839483497501969E-2</v>
      </c>
      <c r="R59" s="188">
        <f>+INDEX('2018'!$1:$1048576,MATCH('Analitika - 2019'!$A59,'2018'!$A:$A,0),MATCH('Analitika - 2019'!$R$6,'2018'!$6:$6,0))</f>
        <v>3771846.45</v>
      </c>
      <c r="S59" s="237">
        <f t="shared" si="5"/>
        <v>748651.79999999981</v>
      </c>
      <c r="T59" s="239">
        <f t="shared" si="6"/>
        <v>0.19848416681967529</v>
      </c>
    </row>
    <row r="60" spans="1:23" ht="15.75" thickBot="1">
      <c r="A60" s="169">
        <v>4418</v>
      </c>
      <c r="B60" s="486" t="str">
        <f>+VLOOKUP($A60,Master!$D$27:$G$225,4,FALSE)</f>
        <v>Izdaci za kupovinu hartija od vrijednosti</v>
      </c>
      <c r="C60" s="487"/>
      <c r="D60" s="487"/>
      <c r="E60" s="487"/>
      <c r="F60" s="487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40166666.70000001</v>
      </c>
      <c r="I60" s="426">
        <f t="shared" ref="I60:I66" si="9">+G60-H60</f>
        <v>-182998.24000000954</v>
      </c>
      <c r="J60" s="427">
        <f>+IF(ISNUMBER(G60/H60-1),G60/H61-1,"…")</f>
        <v>-1.0703721996259781</v>
      </c>
      <c r="K60" s="425">
        <f>+SUMPRODUCT(('2018'!$G61:$R61)*('2018'!$G$5:$R$5&lt;=Master!$B$3))</f>
        <v>68939595.359999999</v>
      </c>
      <c r="L60" s="426">
        <f>+G60-K60</f>
        <v>-28955926.899999999</v>
      </c>
      <c r="M60" s="428">
        <f>+IF(ISNUMBER(G60/K60-1),G60/K61-1,"…")</f>
        <v>-1.050124191447581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0">+N60-O60</f>
        <v>0</v>
      </c>
      <c r="Q60" s="427" t="str">
        <f t="shared" ref="Q60:Q66" si="11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2">+N60-R60</f>
        <v>0</v>
      </c>
      <c r="T60" s="428" t="str">
        <f t="shared" ref="T60:T66" si="13">+IF(ISNUMBER(N60/R60-1),N60/R60-1,"…")</f>
        <v>…</v>
      </c>
    </row>
    <row r="61" spans="1:23" ht="15.75" thickBot="1">
      <c r="A61" s="169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396">
        <f>+SUMPRODUCT(('2019'!$G61:$R61)*('2019'!$G$5:$R$5&lt;=Master!$B$3)*($A61='2019'!$A$10:$A$66))</f>
        <v>-560318954.38</v>
      </c>
      <c r="H61" s="396">
        <f>+SUMPRODUCT(('2019'!$G156:$R156)*('2019'!$G$5:$R$5&lt;=Master!$B$3))</f>
        <v>-568174203.34321845</v>
      </c>
      <c r="I61" s="398">
        <f t="shared" si="9"/>
        <v>7855248.9632184505</v>
      </c>
      <c r="J61" s="399">
        <f t="shared" ref="J61:J66" si="14">+IF(ISNUMBER(G61/H61-1),G61/H61-1,"…")</f>
        <v>-1.3825423465192666E-2</v>
      </c>
      <c r="K61" s="396">
        <f>+SUMPRODUCT(('2018'!$G62:$R62)*('2018'!$G$5:$R$5&lt;=Master!$B$3))</f>
        <v>-797692038.61999965</v>
      </c>
      <c r="L61" s="398">
        <f>+G61-K62</f>
        <v>-1358010992.9999995</v>
      </c>
      <c r="M61" s="401">
        <f>+IF(ISNUMBER(G61/K62-1),G61/K62-1,"…")</f>
        <v>-1.7024251556394456</v>
      </c>
      <c r="N61" s="396">
        <f>+INDEX('2019'!$1:$1048576,MATCH('Analitika - 2019'!$A61,'2019'!$A:$A,0),MATCH('Analitika - 2019'!$N$6,'2019'!$6:$6,0))</f>
        <v>-8100265.5599999875</v>
      </c>
      <c r="O61" s="396">
        <f>+INDEX('2019'!$1:$1048576,MATCH(CONCATENATE('Analitika - 2019'!$A61,"p"),'2019'!$A:$A,0),MATCH('Analitika - 2019'!$O$6,'2019'!$101:$101,0))</f>
        <v>23716690.676703844</v>
      </c>
      <c r="P61" s="398">
        <f t="shared" si="10"/>
        <v>-31816956.236703832</v>
      </c>
      <c r="Q61" s="399">
        <f t="shared" si="11"/>
        <v>-1.341542826122728</v>
      </c>
      <c r="R61" s="396">
        <f>+INDEX('2018'!$1:$1048576,MATCH('Analitika - 2019'!$A61,'2018'!$A:$A,0),MATCH('Analitika - 2019'!$R$6,'2018'!$6:$6,0))</f>
        <v>-18396664.569999993</v>
      </c>
      <c r="S61" s="398">
        <f t="shared" si="12"/>
        <v>10296399.010000005</v>
      </c>
      <c r="T61" s="401">
        <f t="shared" si="13"/>
        <v>-0.55968835931219074</v>
      </c>
    </row>
    <row r="62" spans="1:23" ht="15.7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+SUMPRODUCT(('2019'!$G62:$R62)*('2019'!$G$5:$R$5&lt;=Master!$B$3)*($A62='2019'!$A$10:$A$66))</f>
        <v>560318954.38</v>
      </c>
      <c r="H62" s="176">
        <f>+SUMPRODUCT(('2019'!$G157:$R157)*('2019'!$G$5:$R$5&lt;=Master!$B$3))</f>
        <v>568174203.34321845</v>
      </c>
      <c r="I62" s="397">
        <f t="shared" si="9"/>
        <v>-7855248.9632184505</v>
      </c>
      <c r="J62" s="400">
        <f t="shared" si="14"/>
        <v>-1.3825423465192666E-2</v>
      </c>
      <c r="K62" s="176">
        <f>+SUMPRODUCT(('2018'!$G63:$R63)*('2018'!$G$5:$R$5&lt;=Master!$B$3))</f>
        <v>797692038.61999965</v>
      </c>
      <c r="L62" s="397">
        <f>+G62-K63</f>
        <v>346718954.38</v>
      </c>
      <c r="M62" s="402">
        <f>+IF(ISNUMBER(G62/K63-1),G62/K63-1,"…")</f>
        <v>1.6232160785580523</v>
      </c>
      <c r="N62" s="176">
        <f>+INDEX('2019'!$1:$1048576,MATCH('Analitika - 2019'!$A62,'2019'!$A:$A,0),MATCH('Analitika - 2019'!$N$6,'2019'!$6:$6,0))</f>
        <v>8100265.5599999875</v>
      </c>
      <c r="O62" s="176">
        <f>+INDEX('2019'!$1:$1048576,MATCH(CONCATENATE('Analitika - 2019'!$A62,"p"),'2019'!$A:$A,0),MATCH('Analitika - 2019'!$O$6,'2019'!$101:$101,0))</f>
        <v>-23716690.67670384</v>
      </c>
      <c r="P62" s="397">
        <f t="shared" si="10"/>
        <v>31816956.236703828</v>
      </c>
      <c r="Q62" s="400">
        <f t="shared" si="11"/>
        <v>-1.341542826122728</v>
      </c>
      <c r="R62" s="176">
        <f>+INDEX('2018'!$1:$1048576,MATCH('Analitika - 2019'!$A62,'2018'!$A:$A,0),MATCH('Analitika - 2019'!$R$6,'2018'!$6:$6,0))</f>
        <v>18396664.569999993</v>
      </c>
      <c r="S62" s="397">
        <f t="shared" si="12"/>
        <v>-10296399.010000005</v>
      </c>
      <c r="T62" s="402">
        <f t="shared" si="13"/>
        <v>-0.55968835931219074</v>
      </c>
    </row>
    <row r="63" spans="1:23">
      <c r="A63" s="169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188">
        <f>+SUMPRODUCT(('2019'!$G63:$R63)*('2019'!$G$5:$R$5&lt;=Master!$B$3)*($A63='2019'!$A$10:$A$66))</f>
        <v>286438000</v>
      </c>
      <c r="H63" s="188">
        <f>+SUMPRODUCT(('2019'!$G158:$R158)*('2019'!$G$5:$R$5&lt;=Master!$B$3))</f>
        <v>190000000</v>
      </c>
      <c r="I63" s="237">
        <f t="shared" si="9"/>
        <v>96438000</v>
      </c>
      <c r="J63" s="238">
        <f t="shared" si="14"/>
        <v>0.50756842105263167</v>
      </c>
      <c r="K63" s="188">
        <f>+SUMPRODUCT(('2018'!$G64:$R64)*('2018'!$G$5:$R$5&lt;=Master!$B$3))</f>
        <v>213600000</v>
      </c>
      <c r="L63" s="237">
        <f>+G63-K64</f>
        <v>-560069031.29000008</v>
      </c>
      <c r="M63" s="239">
        <f>+IF(ISNUMBER(G63/K63-1),G63/K63-1,"…")</f>
        <v>0.34100187265917592</v>
      </c>
      <c r="N63" s="188">
        <f>+INDEX('2019'!$1:$1048576,MATCH('Analitika - 2019'!$A63,'2019'!$A:$A,0),MATCH('Analitika - 2019'!$N$6,'2019'!$6:$6,0))</f>
        <v>0</v>
      </c>
      <c r="O63" s="188">
        <f>+INDEX('2019'!$1:$1048576,MATCH(CONCATENATE('Analitika - 2019'!$A63,"p"),'2019'!$A:$A,0),MATCH('Analitika - 2019'!$O$6,'2019'!$101:$101,0))</f>
        <v>0</v>
      </c>
      <c r="P63" s="237">
        <f t="shared" si="10"/>
        <v>0</v>
      </c>
      <c r="Q63" s="238" t="str">
        <f t="shared" si="11"/>
        <v>…</v>
      </c>
      <c r="R63" s="188">
        <f>+INDEX('2018'!$1:$1048576,MATCH('Analitika - 2019'!$A63,'2018'!$A:$A,0),MATCH('Analitika - 2019'!$R$6,'2018'!$6:$6,0))</f>
        <v>0</v>
      </c>
      <c r="S63" s="237">
        <f t="shared" si="12"/>
        <v>0</v>
      </c>
      <c r="T63" s="239" t="str">
        <f t="shared" si="13"/>
        <v>…</v>
      </c>
    </row>
    <row r="64" spans="1:23">
      <c r="A64" s="169">
        <v>7512</v>
      </c>
      <c r="B64" s="488" t="str">
        <f>+VLOOKUP($A64,Master!$D$27:$G$225,4,FALSE)</f>
        <v>Pozajmice i krediti od inostranih izvora</v>
      </c>
      <c r="C64" s="489"/>
      <c r="D64" s="489"/>
      <c r="E64" s="489"/>
      <c r="F64" s="489"/>
      <c r="G64" s="188">
        <f>+SUMPRODUCT(('2019'!$G64:$R64)*('2019'!$G$5:$R$5&lt;=Master!$B$3)*($A64='2019'!$A$10:$A$66))</f>
        <v>103789215.92</v>
      </c>
      <c r="H64" s="188">
        <f>+SUMPRODUCT(('2019'!$G159:$R159)*('2019'!$G$5:$R$5&lt;=Master!$B$3))</f>
        <v>151422181.24000001</v>
      </c>
      <c r="I64" s="237">
        <f t="shared" si="9"/>
        <v>-47632965.320000008</v>
      </c>
      <c r="J64" s="238">
        <f t="shared" si="14"/>
        <v>-0.3145705928281608</v>
      </c>
      <c r="K64" s="188">
        <f>+SUMPRODUCT(('2018'!$G65:$R65)*('2018'!$G$5:$R$5&lt;=Master!$B$3))</f>
        <v>846507031.29000008</v>
      </c>
      <c r="L64" s="237">
        <f>+G64-K65</f>
        <v>89353278.090000004</v>
      </c>
      <c r="M64" s="239" t="s">
        <v>773</v>
      </c>
      <c r="N64" s="188">
        <f>+INDEX('2019'!$1:$1048576,MATCH('Analitika - 2019'!$A64,'2019'!$A:$A,0),MATCH('Analitika - 2019'!$N$6,'2019'!$6:$6,0))</f>
        <v>0</v>
      </c>
      <c r="O64" s="188">
        <f>+INDEX('2019'!$1:$1048576,MATCH(CONCATENATE('Analitika - 2019'!$A64,"p"),'2019'!$A:$A,0),MATCH('Analitika - 2019'!$O$6,'2019'!$101:$101,0))</f>
        <v>17000000</v>
      </c>
      <c r="P64" s="237">
        <f t="shared" si="10"/>
        <v>-17000000</v>
      </c>
      <c r="Q64" s="238">
        <f t="shared" si="11"/>
        <v>-1</v>
      </c>
      <c r="R64" s="188">
        <f>+INDEX('2018'!$1:$1048576,MATCH('Analitika - 2019'!$A64,'2018'!$A:$A,0),MATCH('Analitika - 2019'!$R$6,'2018'!$6:$6,0))</f>
        <v>18813731.219999999</v>
      </c>
      <c r="S64" s="237">
        <f t="shared" si="12"/>
        <v>-18813731.219999999</v>
      </c>
      <c r="T64" s="239" t="s">
        <v>773</v>
      </c>
    </row>
    <row r="65" spans="1:20">
      <c r="A65" s="169">
        <v>72</v>
      </c>
      <c r="B65" s="488" t="str">
        <f>+VLOOKUP($A65,Master!$D$27:$G$225,4,FALSE)</f>
        <v>Primici od prodaje imovine</v>
      </c>
      <c r="C65" s="489"/>
      <c r="D65" s="489"/>
      <c r="E65" s="489"/>
      <c r="F65" s="489"/>
      <c r="G65" s="188">
        <f>+SUMPRODUCT(('2019'!$G65:$R65)*('2019'!$G$5:$R$5&lt;=Master!$B$3)*($A65='2019'!$A$10:$A$66))</f>
        <v>2941959.75</v>
      </c>
      <c r="H65" s="188">
        <f>+SUMPRODUCT(('2019'!$G160:$R160)*('2019'!$G$5:$R$5&lt;=Master!$B$3))</f>
        <v>5000000</v>
      </c>
      <c r="I65" s="237">
        <f t="shared" si="9"/>
        <v>-2058040.25</v>
      </c>
      <c r="J65" s="238">
        <f t="shared" si="14"/>
        <v>-0.41160805</v>
      </c>
      <c r="K65" s="188">
        <f>+SUMPRODUCT(('2018'!$G66:$R66)*('2018'!$G$5:$R$5&lt;=Master!$B$3))</f>
        <v>14435937.83</v>
      </c>
      <c r="L65" s="237">
        <f>+G65-K66</f>
        <v>279792890.25000006</v>
      </c>
      <c r="M65" s="239">
        <f>+IF(ISNUMBER(G65/K65-1),G65/K65-1,"…")</f>
        <v>-0.79620584511758041</v>
      </c>
      <c r="N65" s="188">
        <f>+INDEX('2019'!$1:$1048576,MATCH('Analitika - 2019'!$A65,'2019'!$A:$A,0),MATCH('Analitika - 2019'!$N$6,'2019'!$6:$6,0))</f>
        <v>679599.59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0"/>
        <v>179599.58999999997</v>
      </c>
      <c r="Q65" s="238">
        <f t="shared" si="11"/>
        <v>0.35919917999999984</v>
      </c>
      <c r="R65" s="188">
        <f>+INDEX('2018'!$1:$1048576,MATCH('Analitika - 2019'!$A65,'2018'!$A:$A,0),MATCH('Analitika - 2019'!$R$6,'2018'!$6:$6,0))</f>
        <v>158760.32999999999</v>
      </c>
      <c r="S65" s="237">
        <f t="shared" si="12"/>
        <v>520839.26</v>
      </c>
      <c r="T65" s="239">
        <f t="shared" si="13"/>
        <v>3.2806637527145481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167149778.71000007</v>
      </c>
      <c r="H66" s="394">
        <f>+SUMPRODUCT(('2019'!$G161:$R161)*('2019'!$G$5:$R$5&lt;=Master!$B$3))</f>
        <v>221752022.10321835</v>
      </c>
      <c r="I66" s="251">
        <f t="shared" si="9"/>
        <v>-54602243.393218279</v>
      </c>
      <c r="J66" s="252">
        <f t="shared" si="14"/>
        <v>-0.24623109577689761</v>
      </c>
      <c r="K66" s="394">
        <f>+SUMPRODUCT(('2018'!$G67:$R67)*('2018'!$G$5:$R$5&lt;=Master!$B$3))</f>
        <v>-276850930.50000006</v>
      </c>
      <c r="L66" s="251">
        <f>+G66-K66</f>
        <v>444000709.21000016</v>
      </c>
      <c r="M66" s="253" t="s">
        <v>773</v>
      </c>
      <c r="N66" s="394">
        <f>+INDEX('2019'!$1:$1048576,MATCH('Analitika - 2019'!$A66,'2019'!$A:$A,0),MATCH('Analitika - 2019'!$N$6,'2019'!$6:$6,0))</f>
        <v>7420665.9699999876</v>
      </c>
      <c r="O66" s="394">
        <f>+INDEX('2019'!$1:$1048576,MATCH(CONCATENATE('Analitika - 2019'!$A66,"p"),'2019'!$A:$A,0),MATCH('Analitika - 2019'!$O$6,'2019'!$101:$101,0))</f>
        <v>-41216690.67670384</v>
      </c>
      <c r="P66" s="251">
        <f t="shared" si="10"/>
        <v>48637356.646703824</v>
      </c>
      <c r="Q66" s="252">
        <f t="shared" si="11"/>
        <v>-1.1800403149347027</v>
      </c>
      <c r="R66" s="394">
        <f>+INDEX('2018'!$1:$1048576,MATCH('Analitika - 2019'!$A66,'2018'!$A:$A,0),MATCH('Analitika - 2019'!$R$6,'2018'!$6:$6,0))</f>
        <v>-575826.98000000417</v>
      </c>
      <c r="S66" s="251">
        <f t="shared" si="12"/>
        <v>7996492.9499999918</v>
      </c>
      <c r="T66" s="253">
        <f t="shared" si="13"/>
        <v>-13.886971655965015</v>
      </c>
    </row>
    <row r="68" spans="1:20">
      <c r="H68" s="391"/>
    </row>
    <row r="69" spans="1:20">
      <c r="H69" s="364"/>
    </row>
    <row r="71" spans="1:20">
      <c r="R71" s="442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S8" sqref="S8:T8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customWidth="1"/>
    <col min="23" max="23" width="13.85546875" style="303" bestFit="1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465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778</v>
      </c>
      <c r="H6" s="259" t="s">
        <v>779</v>
      </c>
      <c r="I6" s="259" t="s">
        <v>780</v>
      </c>
      <c r="J6" s="259" t="s">
        <v>781</v>
      </c>
      <c r="K6" s="259" t="s">
        <v>782</v>
      </c>
      <c r="L6" s="259" t="s">
        <v>783</v>
      </c>
      <c r="M6" s="259" t="s">
        <v>784</v>
      </c>
      <c r="N6" s="259" t="s">
        <v>785</v>
      </c>
      <c r="O6" s="259" t="s">
        <v>786</v>
      </c>
      <c r="P6" s="259" t="s">
        <v>787</v>
      </c>
      <c r="Q6" s="259" t="s">
        <v>788</v>
      </c>
      <c r="R6" s="259" t="s">
        <v>789</v>
      </c>
      <c r="S6" s="258"/>
      <c r="T6" s="258"/>
    </row>
    <row r="7" spans="1:20" ht="15" customHeight="1" thickBot="1">
      <c r="A7" s="169"/>
      <c r="B7" s="518" t="str">
        <f>+Master!G251</f>
        <v>Ostvarenje budžeta</v>
      </c>
      <c r="C7" s="499"/>
      <c r="D7" s="499"/>
      <c r="E7" s="499"/>
      <c r="F7" s="499"/>
      <c r="G7" s="507">
        <v>2019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+Master!G248</f>
        <v>BDP</v>
      </c>
      <c r="T7" s="261">
        <v>4817100000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tr">
        <f>+Master!G245</f>
        <v>Jan - Okt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 t="shared" ref="G10:R10" si="1">+G11+G19+SUM(G24:G28)</f>
        <v>107257794.96000001</v>
      </c>
      <c r="H10" s="176">
        <f t="shared" si="1"/>
        <v>116544625.95</v>
      </c>
      <c r="I10" s="176">
        <f t="shared" si="1"/>
        <v>147544399.37</v>
      </c>
      <c r="J10" s="176">
        <f t="shared" si="1"/>
        <v>165045275.70000002</v>
      </c>
      <c r="K10" s="176">
        <f t="shared" si="1"/>
        <v>144226472.26999998</v>
      </c>
      <c r="L10" s="176">
        <f t="shared" si="1"/>
        <v>143393460.84999999</v>
      </c>
      <c r="M10" s="176">
        <f t="shared" si="1"/>
        <v>174124444.44</v>
      </c>
      <c r="N10" s="176">
        <f t="shared" si="1"/>
        <v>174081434.25</v>
      </c>
      <c r="O10" s="176">
        <f t="shared" si="1"/>
        <v>165941980.95000002</v>
      </c>
      <c r="P10" s="176">
        <f t="shared" si="1"/>
        <v>156576999.77000001</v>
      </c>
      <c r="Q10" s="176">
        <f t="shared" si="1"/>
        <v>0</v>
      </c>
      <c r="R10" s="176">
        <f t="shared" si="1"/>
        <v>0</v>
      </c>
      <c r="S10" s="264">
        <f>+SUM(G10:R10)</f>
        <v>1494736888.51</v>
      </c>
      <c r="T10" s="265">
        <f>+S10/$T$7</f>
        <v>0.31029808152415356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115363471.45</v>
      </c>
      <c r="N11" s="182">
        <f t="shared" si="2"/>
        <v>118817091.44</v>
      </c>
      <c r="O11" s="182">
        <f t="shared" si="2"/>
        <v>114500270.97</v>
      </c>
      <c r="P11" s="182">
        <f t="shared" si="2"/>
        <v>101600991.11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980445452.58000004</v>
      </c>
      <c r="T11" s="268">
        <f t="shared" ref="T11:T66" si="4">+S11/$T$7</f>
        <v>0.20353437806564117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10986746.67</v>
      </c>
      <c r="N12" s="188">
        <f>+INDEX(DataEx!$1:$1048576,MATCH('2019'!$A12,DataEx!$D:$D,0),MATCH('2019'!N$6,DataEx!$7:$7,0))</f>
        <v>10477204.85</v>
      </c>
      <c r="O12" s="188">
        <f>+INDEX(DataEx!$1:$1048576,MATCH('2019'!$A12,DataEx!$D:$D,0),MATCH('2019'!O$6,DataEx!$7:$7,0))</f>
        <v>10332018.109999999</v>
      </c>
      <c r="P12" s="188">
        <f>+INDEX(DataEx!$1:$1048576,MATCH('2019'!$A12,DataEx!$D:$D,0),MATCH('2019'!P$6,DataEx!$7:$7,0))</f>
        <v>10824900.91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96372014.319999993</v>
      </c>
      <c r="T12" s="270">
        <f t="shared" si="4"/>
        <v>2.0006230786157646E-2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3890710.55</v>
      </c>
      <c r="N13" s="188">
        <f>+INDEX(DataEx!$1:$1048576,MATCH('2019'!$A13,DataEx!$D:$D,0),MATCH('2019'!N$6,DataEx!$7:$7,0))</f>
        <v>3092994.24</v>
      </c>
      <c r="O13" s="188">
        <f>+INDEX(DataEx!$1:$1048576,MATCH('2019'!$A13,DataEx!$D:$D,0),MATCH('2019'!O$6,DataEx!$7:$7,0))</f>
        <v>2242778.35</v>
      </c>
      <c r="P13" s="188">
        <f>+INDEX(DataEx!$1:$1048576,MATCH('2019'!$A13,DataEx!$D:$D,0),MATCH('2019'!P$6,DataEx!$7:$7,0))</f>
        <v>690017.25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64150550.75</v>
      </c>
      <c r="T13" s="270">
        <f t="shared" si="4"/>
        <v>1.3317255350729692E-2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152687.82</v>
      </c>
      <c r="N14" s="188">
        <f>+INDEX(DataEx!$1:$1048576,MATCH('2019'!$A14,DataEx!$D:$D,0),MATCH('2019'!N$6,DataEx!$7:$7,0))</f>
        <v>172408.19</v>
      </c>
      <c r="O14" s="188">
        <f>+INDEX(DataEx!$1:$1048576,MATCH('2019'!$A14,DataEx!$D:$D,0),MATCH('2019'!O$6,DataEx!$7:$7,0))</f>
        <v>131658.57</v>
      </c>
      <c r="P14" s="188">
        <f>+INDEX(DataEx!$1:$1048576,MATCH('2019'!$A14,DataEx!$D:$D,0),MATCH('2019'!P$6,DataEx!$7:$7,0))</f>
        <v>174049.01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1575091.19</v>
      </c>
      <c r="T14" s="270">
        <f t="shared" si="4"/>
        <v>3.2697913474912291E-4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71626480.939999998</v>
      </c>
      <c r="N15" s="188">
        <f>+INDEX(DataEx!$1:$1048576,MATCH('2019'!$A15,DataEx!$D:$D,0),MATCH('2019'!N$6,DataEx!$7:$7,0))</f>
        <v>71690318.180000007</v>
      </c>
      <c r="O15" s="188">
        <f>+INDEX(DataEx!$1:$1048576,MATCH('2019'!$A15,DataEx!$D:$D,0),MATCH('2019'!O$6,DataEx!$7:$7,0))</f>
        <v>70816309.909999996</v>
      </c>
      <c r="P15" s="188">
        <f>+INDEX(DataEx!$1:$1048576,MATCH('2019'!$A15,DataEx!$D:$D,0),MATCH('2019'!P$6,DataEx!$7:$7,0))</f>
        <v>65908952.759999998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583727136.10000002</v>
      </c>
      <c r="T15" s="270">
        <f t="shared" si="4"/>
        <v>0.12117812295779619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24612824.059999999</v>
      </c>
      <c r="N16" s="188">
        <f>+INDEX(DataEx!$1:$1048576,MATCH('2019'!$A16,DataEx!$D:$D,0),MATCH('2019'!N$6,DataEx!$7:$7,0))</f>
        <v>29562766.32</v>
      </c>
      <c r="O16" s="188">
        <f>+INDEX(DataEx!$1:$1048576,MATCH('2019'!$A16,DataEx!$D:$D,0),MATCH('2019'!O$6,DataEx!$7:$7,0))</f>
        <v>27417042.280000001</v>
      </c>
      <c r="P16" s="188">
        <f>+INDEX(DataEx!$1:$1048576,MATCH('2019'!$A16,DataEx!$D:$D,0),MATCH('2019'!P$6,DataEx!$7:$7,0))</f>
        <v>20585777.449999999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199295138.15000001</v>
      </c>
      <c r="T16" s="270">
        <f t="shared" si="4"/>
        <v>4.1372431161902389E-2</v>
      </c>
    </row>
    <row r="17" spans="1:25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3088089.4</v>
      </c>
      <c r="N17" s="188">
        <f>+INDEX(DataEx!$1:$1048576,MATCH('2019'!$A17,DataEx!$D:$D,0),MATCH('2019'!N$6,DataEx!$7:$7,0))</f>
        <v>2788700.72</v>
      </c>
      <c r="O17" s="188">
        <f>+INDEX(DataEx!$1:$1048576,MATCH('2019'!$A17,DataEx!$D:$D,0),MATCH('2019'!O$6,DataEx!$7:$7,0))</f>
        <v>2553125.85</v>
      </c>
      <c r="P17" s="188">
        <f>+INDEX(DataEx!$1:$1048576,MATCH('2019'!$A17,DataEx!$D:$D,0),MATCH('2019'!P$6,DataEx!$7:$7,0))</f>
        <v>2492699.6800000002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24063585.800000001</v>
      </c>
      <c r="T17" s="270">
        <f t="shared" si="4"/>
        <v>4.9954507483755788E-3</v>
      </c>
    </row>
    <row r="18" spans="1:25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1005932.01</v>
      </c>
      <c r="N18" s="188">
        <f>+INDEX(DataEx!$1:$1048576,MATCH('2019'!$A18,DataEx!$D:$D,0),MATCH('2019'!N$6,DataEx!$7:$7,0))</f>
        <v>1032698.94</v>
      </c>
      <c r="O18" s="188">
        <f>+INDEX(DataEx!$1:$1048576,MATCH('2019'!$A18,DataEx!$D:$D,0),MATCH('2019'!O$6,DataEx!$7:$7,0))</f>
        <v>1007337.9</v>
      </c>
      <c r="P18" s="188">
        <f>+INDEX(DataEx!$1:$1048576,MATCH('2019'!$A18,DataEx!$D:$D,0),MATCH('2019'!P$6,DataEx!$7:$7,0))</f>
        <v>924594.05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11261936.270000001</v>
      </c>
      <c r="T18" s="270">
        <f t="shared" si="4"/>
        <v>2.3379079259305395E-3</v>
      </c>
    </row>
    <row r="19" spans="1:25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41912269.38000001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50290988.940000005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45280786.510000005</v>
      </c>
      <c r="M19" s="194">
        <f>+INDEX(DataEx!$1:$1048576,MATCH('2019'!$A19,DataEx!$D:$D,0),MATCH('2019'!M$6,DataEx!$7:$7,0))</f>
        <v>48662139.43999999</v>
      </c>
      <c r="N19" s="194">
        <f>+INDEX(DataEx!$1:$1048576,MATCH('2019'!$A19,DataEx!$D:$D,0),MATCH('2019'!N$6,DataEx!$7:$7,0))</f>
        <v>45770745.839999996</v>
      </c>
      <c r="O19" s="194">
        <f>+INDEX(DataEx!$1:$1048576,MATCH('2019'!$A19,DataEx!$D:$D,0),MATCH('2019'!O$6,DataEx!$7:$7,0))</f>
        <v>43611346.450000003</v>
      </c>
      <c r="P19" s="194">
        <f>+INDEX(DataEx!$1:$1048576,MATCH('2019'!$A19,DataEx!$D:$D,0),MATCH('2019'!P$6,DataEx!$7:$7,0))</f>
        <v>46487647.670000002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417058690.01999998</v>
      </c>
      <c r="T19" s="273">
        <f t="shared" si="4"/>
        <v>8.6578790147599172E-2</v>
      </c>
    </row>
    <row r="20" spans="1:25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28964205.43</v>
      </c>
      <c r="N20" s="188">
        <f>+INDEX(DataEx!$1:$1048576,MATCH('2019'!$A20,DataEx!$D:$D,0),MATCH('2019'!N$6,DataEx!$7:$7,0))</f>
        <v>27519220.43</v>
      </c>
      <c r="O20" s="188">
        <f>+INDEX(DataEx!$1:$1048576,MATCH('2019'!$A20,DataEx!$D:$D,0),MATCH('2019'!O$6,DataEx!$7:$7,0))</f>
        <v>26730921.559999999</v>
      </c>
      <c r="P20" s="188">
        <f>+INDEX(DataEx!$1:$1048576,MATCH('2019'!$A20,DataEx!$D:$D,0),MATCH('2019'!P$6,DataEx!$7:$7,0))</f>
        <v>28563512.620000001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>+SUM(G20:R20)</f>
        <v>248756258.93000001</v>
      </c>
      <c r="T20" s="270">
        <f t="shared" si="4"/>
        <v>5.1640252211911736E-2</v>
      </c>
    </row>
    <row r="21" spans="1:25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17203285.449999999</v>
      </c>
      <c r="N21" s="188">
        <f>+INDEX(DataEx!$1:$1048576,MATCH('2019'!$A21,DataEx!$D:$D,0),MATCH('2019'!N$6,DataEx!$7:$7,0))</f>
        <v>15860674.26</v>
      </c>
      <c r="O21" s="188">
        <f>+INDEX(DataEx!$1:$1048576,MATCH('2019'!$A21,DataEx!$D:$D,0),MATCH('2019'!O$6,DataEx!$7:$7,0))</f>
        <v>14501660.91</v>
      </c>
      <c r="P21" s="188">
        <f>+INDEX(DataEx!$1:$1048576,MATCH('2019'!$A21,DataEx!$D:$D,0),MATCH('2019'!P$6,DataEx!$7:$7,0))</f>
        <v>15344312.359999999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146082649.25</v>
      </c>
      <c r="T21" s="270">
        <f t="shared" si="4"/>
        <v>3.032584942185132E-2</v>
      </c>
    </row>
    <row r="22" spans="1:25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1316999.83</v>
      </c>
      <c r="N22" s="188">
        <f>+INDEX(DataEx!$1:$1048576,MATCH('2019'!$A22,DataEx!$D:$D,0),MATCH('2019'!N$6,DataEx!$7:$7,0))</f>
        <v>1256512.28</v>
      </c>
      <c r="O22" s="188">
        <f>+INDEX(DataEx!$1:$1048576,MATCH('2019'!$A22,DataEx!$D:$D,0),MATCH('2019'!O$6,DataEx!$7:$7,0))</f>
        <v>1242677.57</v>
      </c>
      <c r="P22" s="188">
        <f>+INDEX(DataEx!$1:$1048576,MATCH('2019'!$A22,DataEx!$D:$D,0),MATCH('2019'!P$6,DataEx!$7:$7,0))</f>
        <v>1311319.78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11508054.73</v>
      </c>
      <c r="T22" s="270">
        <f t="shared" si="4"/>
        <v>2.3890005874903988E-3</v>
      </c>
    </row>
    <row r="23" spans="1:25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1177648.73</v>
      </c>
      <c r="N23" s="188">
        <f>+INDEX(DataEx!$1:$1048576,MATCH('2019'!$A23,DataEx!$D:$D,0),MATCH('2019'!N$6,DataEx!$7:$7,0))</f>
        <v>1134338.8700000001</v>
      </c>
      <c r="O23" s="188">
        <f>+INDEX(DataEx!$1:$1048576,MATCH('2019'!$A23,DataEx!$D:$D,0),MATCH('2019'!O$6,DataEx!$7:$7,0))</f>
        <v>1136086.4099999999</v>
      </c>
      <c r="P23" s="188">
        <f>+INDEX(DataEx!$1:$1048576,MATCH('2019'!$A23,DataEx!$D:$D,0),MATCH('2019'!P$6,DataEx!$7:$7,0))</f>
        <v>1268502.9099999999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10711727.109999999</v>
      </c>
      <c r="T23" s="270">
        <f t="shared" si="4"/>
        <v>2.2236879263457265E-3</v>
      </c>
      <c r="Y23" s="379"/>
    </row>
    <row r="24" spans="1:25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1041125.3899999999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1880947.5899999999</v>
      </c>
      <c r="N24" s="200">
        <f>+INDEX(DataEx!$1:$1048576,MATCH('2019'!$A24,DataEx!$D:$D,0),MATCH('2019'!N$6,DataEx!$7:$7,0))</f>
        <v>1630940.38</v>
      </c>
      <c r="O24" s="200">
        <f>+INDEX(DataEx!$1:$1048576,MATCH('2019'!$A24,DataEx!$D:$D,0),MATCH('2019'!O$6,DataEx!$7:$7,0))</f>
        <v>1570845.07</v>
      </c>
      <c r="P24" s="200">
        <f>+INDEX(DataEx!$1:$1048576,MATCH('2019'!$A24,DataEx!$D:$D,0),MATCH('2019'!P$6,DataEx!$7:$7,0))</f>
        <v>1334131.8600000001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13127353.759999998</v>
      </c>
      <c r="T24" s="273">
        <f t="shared" si="4"/>
        <v>2.725156994872433E-3</v>
      </c>
      <c r="Y24" s="379"/>
    </row>
    <row r="25" spans="1:25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2697450.35</v>
      </c>
      <c r="N25" s="200">
        <f>+INDEX(DataEx!$1:$1048576,MATCH('2019'!$A25,DataEx!$D:$D,0),MATCH('2019'!N$6,DataEx!$7:$7,0))</f>
        <v>1985377.1099999999</v>
      </c>
      <c r="O25" s="200">
        <f>+INDEX(DataEx!$1:$1048576,MATCH('2019'!$A25,DataEx!$D:$D,0),MATCH('2019'!O$6,DataEx!$7:$7,0))</f>
        <v>2352827.11</v>
      </c>
      <c r="P25" s="200">
        <f>+INDEX(DataEx!$1:$1048576,MATCH('2019'!$A25,DataEx!$D:$D,0),MATCH('2019'!P$6,DataEx!$7:$7,0))</f>
        <v>2477150.35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22961589.420000002</v>
      </c>
      <c r="T25" s="273">
        <f t="shared" si="4"/>
        <v>4.7666831537647135E-3</v>
      </c>
      <c r="W25" s="366"/>
    </row>
    <row r="26" spans="1:25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f>+INDEX(DataEx!$1:$1048576,MATCH('2019'!$A26,DataEx!$D:$D,0),MATCH('2019'!G$6,DataEx!$7:$7,0))</f>
        <v>1567147.41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3193816.55</v>
      </c>
      <c r="J26" s="200">
        <f>+INDEX(DataEx!$1:$1048576,MATCH('2019'!$A26,DataEx!$D:$D,0),MATCH('2019'!J$6,DataEx!$7:$7,0))</f>
        <v>2385570.52</v>
      </c>
      <c r="K26" s="200">
        <f>+INDEX(DataEx!$1:$1048576,MATCH('2019'!$A26,DataEx!$D:$D,0),MATCH('2019'!K$6,DataEx!$7:$7,0))</f>
        <v>7159071.0099999998</v>
      </c>
      <c r="L26" s="200">
        <f>+INDEX(DataEx!$1:$1048576,MATCH('2019'!$A26,DataEx!$D:$D,0),MATCH('2019'!L$6,DataEx!$7:$7,0))</f>
        <v>3262994.81</v>
      </c>
      <c r="M26" s="200">
        <f>+INDEX(DataEx!$1:$1048576,MATCH('2019'!$A26,DataEx!$D:$D,0),MATCH('2019'!M$6,DataEx!$7:$7,0))</f>
        <v>3734626.12</v>
      </c>
      <c r="N26" s="200">
        <f>+INDEX(DataEx!$1:$1048576,MATCH('2019'!$A26,DataEx!$D:$D,0),MATCH('2019'!N$6,DataEx!$7:$7,0))</f>
        <v>2985463.57</v>
      </c>
      <c r="O26" s="200">
        <f>+INDEX(DataEx!$1:$1048576,MATCH('2019'!$A26,DataEx!$D:$D,0),MATCH('2019'!O$6,DataEx!$7:$7,0))</f>
        <v>2214023.2000000002</v>
      </c>
      <c r="P26" s="200">
        <f>+INDEX(DataEx!$1:$1048576,MATCH('2019'!$A26,DataEx!$D:$D,0),MATCH('2019'!P$6,DataEx!$7:$7,0))</f>
        <v>2505030.61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31207274.899999999</v>
      </c>
      <c r="T26" s="273">
        <f t="shared" si="4"/>
        <v>6.4784361752921876E-3</v>
      </c>
      <c r="W26" s="385"/>
    </row>
    <row r="27" spans="1:25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134648.84</v>
      </c>
      <c r="N27" s="200">
        <f>+INDEX(DataEx!$1:$1048576,MATCH('2019'!$A27,DataEx!$D:$D,0),MATCH('2019'!N$6,DataEx!$7:$7,0))</f>
        <v>1295803.5900000001</v>
      </c>
      <c r="O27" s="200">
        <f>+INDEX(DataEx!$1:$1048576,MATCH('2019'!$A27,DataEx!$D:$D,0),MATCH('2019'!O$6,DataEx!$7:$7,0))</f>
        <v>183612.59</v>
      </c>
      <c r="P27" s="200">
        <f>+INDEX(DataEx!$1:$1048576,MATCH('2019'!$A27,DataEx!$D:$D,0),MATCH('2019'!P$6,DataEx!$7:$7,0))</f>
        <v>223272.51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4998655.8099999996</v>
      </c>
      <c r="T27" s="273">
        <f t="shared" si="4"/>
        <v>1.0376898569678852E-3</v>
      </c>
    </row>
    <row r="28" spans="1:25" ht="13.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1651160.65</v>
      </c>
      <c r="N28" s="200">
        <f>+INDEX(DataEx!$1:$1048576,MATCH('2019'!$A28,DataEx!$D:$D,0),MATCH('2019'!N$6,DataEx!$7:$7,0))</f>
        <v>1596012.32</v>
      </c>
      <c r="O28" s="200">
        <f>+INDEX(DataEx!$1:$1048576,MATCH('2019'!$A28,DataEx!$D:$D,0),MATCH('2019'!O$6,DataEx!$7:$7,0))</f>
        <v>1509055.56</v>
      </c>
      <c r="P28" s="200">
        <f>+INDEX(DataEx!$1:$1048576,MATCH('2019'!$A28,DataEx!$D:$D,0),MATCH('2019'!P$6,DataEx!$7:$7,0))</f>
        <v>1948775.66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24937872.019999996</v>
      </c>
      <c r="T28" s="276">
        <f t="shared" si="4"/>
        <v>5.1769471300159835E-3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139590114.27000004</v>
      </c>
      <c r="H29" s="176">
        <f t="shared" ref="H29:R29" si="5">+H31+H42+H48+SUM(H49:H53)</f>
        <v>130881199.91</v>
      </c>
      <c r="I29" s="176">
        <f t="shared" si="5"/>
        <v>172163990.72000003</v>
      </c>
      <c r="J29" s="176">
        <f t="shared" si="5"/>
        <v>154925194.25999996</v>
      </c>
      <c r="K29" s="176">
        <f t="shared" si="5"/>
        <v>146561714.36000001</v>
      </c>
      <c r="L29" s="176">
        <f t="shared" si="5"/>
        <v>144198984.44</v>
      </c>
      <c r="M29" s="176">
        <f t="shared" si="5"/>
        <v>179381305.58000001</v>
      </c>
      <c r="N29" s="176">
        <f t="shared" si="5"/>
        <v>159574505.02000001</v>
      </c>
      <c r="O29" s="176">
        <f t="shared" si="5"/>
        <v>149252001.11000001</v>
      </c>
      <c r="P29" s="176">
        <f t="shared" si="5"/>
        <v>153584886.19</v>
      </c>
      <c r="Q29" s="176">
        <f t="shared" si="5"/>
        <v>0</v>
      </c>
      <c r="R29" s="176">
        <f t="shared" si="5"/>
        <v>0</v>
      </c>
      <c r="S29" s="277">
        <f t="shared" si="3"/>
        <v>1530113895.8600001</v>
      </c>
      <c r="T29" s="278">
        <f t="shared" si="4"/>
        <v>0.31764212822237448</v>
      </c>
    </row>
    <row r="30" spans="1:25" ht="13.5" thickBot="1">
      <c r="A30" s="175">
        <v>40</v>
      </c>
      <c r="B30" s="480" t="str">
        <f>+VLOOKUP($A30,Master!$D$27:$G$225,4,FALSE)</f>
        <v>Tekuća budžetska potrošnja</v>
      </c>
      <c r="C30" s="481"/>
      <c r="D30" s="481"/>
      <c r="E30" s="481"/>
      <c r="F30" s="481"/>
      <c r="G30" s="206">
        <f>+G29-G49</f>
        <v>112761759.32000004</v>
      </c>
      <c r="H30" s="206">
        <f t="shared" ref="H30:R30" si="6">+H29-H49</f>
        <v>127190749.89999999</v>
      </c>
      <c r="I30" s="206">
        <f t="shared" si="6"/>
        <v>157233793.12000003</v>
      </c>
      <c r="J30" s="206">
        <f t="shared" si="6"/>
        <v>142829076.86999995</v>
      </c>
      <c r="K30" s="206">
        <f t="shared" si="6"/>
        <v>135097336.80000001</v>
      </c>
      <c r="L30" s="206">
        <f t="shared" si="6"/>
        <v>131356763.20999999</v>
      </c>
      <c r="M30" s="206">
        <f t="shared" si="6"/>
        <v>156175584.49000001</v>
      </c>
      <c r="N30" s="206">
        <f t="shared" si="6"/>
        <v>118700381.90000001</v>
      </c>
      <c r="O30" s="206">
        <f t="shared" si="6"/>
        <v>135197235.42000002</v>
      </c>
      <c r="P30" s="206">
        <f t="shared" si="6"/>
        <v>139144020.84999999</v>
      </c>
      <c r="Q30" s="206">
        <f t="shared" si="6"/>
        <v>0</v>
      </c>
      <c r="R30" s="206">
        <f t="shared" si="6"/>
        <v>0</v>
      </c>
      <c r="S30" s="431">
        <f t="shared" si="3"/>
        <v>1355686701.8800001</v>
      </c>
      <c r="T30" s="280">
        <f t="shared" si="4"/>
        <v>0.28143212760374503</v>
      </c>
    </row>
    <row r="31" spans="1:25">
      <c r="A31" s="175">
        <v>41</v>
      </c>
      <c r="B31" s="482" t="str">
        <f>+VLOOKUP($A31,Master!$D$27:$G$225,4,FALSE)</f>
        <v>Tekući izdaci</v>
      </c>
      <c r="C31" s="483"/>
      <c r="D31" s="483"/>
      <c r="E31" s="483"/>
      <c r="F31" s="483"/>
      <c r="G31" s="212">
        <f>+SUM(G32:G41)</f>
        <v>50999254.180000007</v>
      </c>
      <c r="H31" s="212">
        <f t="shared" ref="H31:R31" si="7">+SUM(H32:H41)</f>
        <v>58405644.539999999</v>
      </c>
      <c r="I31" s="212">
        <f t="shared" si="7"/>
        <v>85883180.63000001</v>
      </c>
      <c r="J31" s="212">
        <f t="shared" si="7"/>
        <v>77286244.589999974</v>
      </c>
      <c r="K31" s="212">
        <f t="shared" si="7"/>
        <v>68959329.459999993</v>
      </c>
      <c r="L31" s="212">
        <f t="shared" si="7"/>
        <v>68528249.039999992</v>
      </c>
      <c r="M31" s="212">
        <f t="shared" si="7"/>
        <v>73051651.219999999</v>
      </c>
      <c r="N31" s="212">
        <f t="shared" si="7"/>
        <v>56721578.990000002</v>
      </c>
      <c r="O31" s="212">
        <f t="shared" si="7"/>
        <v>63749507.99000001</v>
      </c>
      <c r="P31" s="212">
        <f t="shared" si="7"/>
        <v>73614713.349999994</v>
      </c>
      <c r="Q31" s="212">
        <f t="shared" si="7"/>
        <v>0</v>
      </c>
      <c r="R31" s="281">
        <f t="shared" si="7"/>
        <v>0</v>
      </c>
      <c r="S31" s="432">
        <f t="shared" si="3"/>
        <v>677199353.99000001</v>
      </c>
      <c r="T31" s="268">
        <f t="shared" si="4"/>
        <v>0.14058237404039775</v>
      </c>
    </row>
    <row r="32" spans="1:25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f>+INDEX(DataEx!$1:$1048576,MATCH('2019'!$A32,DataEx!$D:$D,0),MATCH('2019'!G$6,DataEx!$7:$7,0))</f>
        <v>38898615.609999999</v>
      </c>
      <c r="H32" s="188">
        <f>+INDEX(DataEx!$1:$1048576,MATCH('2019'!$A32,DataEx!$D:$D,0),MATCH('2019'!H$6,DataEx!$7:$7,0))</f>
        <v>38602776.109999999</v>
      </c>
      <c r="I32" s="188">
        <f>+INDEX(DataEx!$1:$1048576,MATCH('2019'!$A32,DataEx!$D:$D,0),MATCH('2019'!I$6,DataEx!$7:$7,0))</f>
        <v>39176968.049999997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41491994.170000002</v>
      </c>
      <c r="M32" s="188">
        <f>+INDEX(DataEx!$1:$1048576,MATCH('2019'!$A32,DataEx!$D:$D,0),MATCH('2019'!M$6,DataEx!$7:$7,0))</f>
        <v>38031107.149999999</v>
      </c>
      <c r="N32" s="188">
        <f>+INDEX(DataEx!$1:$1048576,MATCH('2019'!$A32,DataEx!$D:$D,0),MATCH('2019'!N$6,DataEx!$7:$7,0))</f>
        <v>37169894.039999999</v>
      </c>
      <c r="O32" s="188">
        <f>+INDEX(DataEx!$1:$1048576,MATCH('2019'!$A32,DataEx!$D:$D,0),MATCH('2019'!O$6,DataEx!$7:$7,0))</f>
        <v>38490166.549999997</v>
      </c>
      <c r="P32" s="188">
        <f>+INDEX(DataEx!$1:$1048576,MATCH('2019'!$A32,DataEx!$D:$D,0),MATCH('2019'!P$6,DataEx!$7:$7,0))</f>
        <v>38895006.189999998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389584862.09000003</v>
      </c>
      <c r="T32" s="270">
        <f t="shared" si="4"/>
        <v>8.0875394343069493E-2</v>
      </c>
    </row>
    <row r="33" spans="1:22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650585.03</v>
      </c>
      <c r="M33" s="188">
        <f>+INDEX(DataEx!$1:$1048576,MATCH('2019'!$A33,DataEx!$D:$D,0),MATCH('2019'!M$6,DataEx!$7:$7,0))</f>
        <v>1612572.32</v>
      </c>
      <c r="N33" s="188">
        <f>+INDEX(DataEx!$1:$1048576,MATCH('2019'!$A33,DataEx!$D:$D,0),MATCH('2019'!N$6,DataEx!$7:$7,0))</f>
        <v>864258.85</v>
      </c>
      <c r="O33" s="188">
        <f>+INDEX(DataEx!$1:$1048576,MATCH('2019'!$A33,DataEx!$D:$D,0),MATCH('2019'!O$6,DataEx!$7:$7,0))</f>
        <v>1075910.46</v>
      </c>
      <c r="P33" s="188">
        <f>+INDEX(DataEx!$1:$1048576,MATCH('2019'!$A33,DataEx!$D:$D,0),MATCH('2019'!P$6,DataEx!$7:$7,0))</f>
        <v>1121431.44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10187345.27</v>
      </c>
      <c r="T33" s="270">
        <f t="shared" si="4"/>
        <v>2.114829517759648E-3</v>
      </c>
      <c r="U33" s="367"/>
    </row>
    <row r="34" spans="1:22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3143597.69</v>
      </c>
      <c r="M34" s="188">
        <f>+INDEX(DataEx!$1:$1048576,MATCH('2019'!$A34,DataEx!$D:$D,0),MATCH('2019'!M$6,DataEx!$7:$7,0))</f>
        <v>2242317.38</v>
      </c>
      <c r="N34" s="188">
        <f>+INDEX(DataEx!$1:$1048576,MATCH('2019'!$A34,DataEx!$D:$D,0),MATCH('2019'!N$6,DataEx!$7:$7,0))</f>
        <v>2462726.48</v>
      </c>
      <c r="O34" s="188">
        <f>+INDEX(DataEx!$1:$1048576,MATCH('2019'!$A34,DataEx!$D:$D,0),MATCH('2019'!O$6,DataEx!$7:$7,0))</f>
        <v>2778192.64</v>
      </c>
      <c r="P34" s="188">
        <f>+INDEX(DataEx!$1:$1048576,MATCH('2019'!$A34,DataEx!$D:$D,0),MATCH('2019'!P$6,DataEx!$7:$7,0))</f>
        <v>3210622.86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24534158.16</v>
      </c>
      <c r="T34" s="270">
        <f t="shared" si="4"/>
        <v>5.0931386435822384E-3</v>
      </c>
      <c r="U34" s="385"/>
      <c r="V34" s="365"/>
    </row>
    <row r="35" spans="1:22" s="464" customFormat="1">
      <c r="A35" s="462">
        <v>414</v>
      </c>
      <c r="B35" s="519" t="str">
        <f>+VLOOKUP($A35,Master!$D$27:$G$225,4,FALSE)</f>
        <v>Rashodi za usluge</v>
      </c>
      <c r="C35" s="520"/>
      <c r="D35" s="520"/>
      <c r="E35" s="520"/>
      <c r="F35" s="520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4321003.6500000004</v>
      </c>
      <c r="I35" s="188">
        <f>+INDEX(DataEx!$1:$1048576,MATCH('2019'!$A35,DataEx!$D:$D,0),MATCH('2019'!I$6,DataEx!$7:$7,0))</f>
        <v>4690729.2300000004</v>
      </c>
      <c r="J35" s="188">
        <f>+INDEX(DataEx!$1:$1048576,MATCH('2019'!$A35,DataEx!$D:$D,0),MATCH('2019'!J$6,DataEx!$7:$7,0))</f>
        <v>4354180.1100000003</v>
      </c>
      <c r="K35" s="188">
        <f>+INDEX(DataEx!$1:$1048576,MATCH('2019'!$A35,DataEx!$D:$D,0),MATCH('2019'!K$6,DataEx!$7:$7,0))</f>
        <v>6607764.25</v>
      </c>
      <c r="L35" s="188">
        <f>+INDEX(DataEx!$1:$1048576,MATCH('2019'!$A35,DataEx!$D:$D,0),MATCH('2019'!L$6,DataEx!$7:$7,0))</f>
        <v>6806179.8200000003</v>
      </c>
      <c r="M35" s="188">
        <f>+INDEX(DataEx!$1:$1048576,MATCH('2019'!$A35,DataEx!$D:$D,0),MATCH('2019'!M$6,DataEx!$7:$7,0))</f>
        <v>8577720.9299999997</v>
      </c>
      <c r="N35" s="188">
        <f>+INDEX(DataEx!$1:$1048576,MATCH('2019'!$A35,DataEx!$D:$D,0),MATCH('2019'!N$6,DataEx!$7:$7,0))</f>
        <v>3301233.24</v>
      </c>
      <c r="O35" s="188">
        <f>+INDEX(DataEx!$1:$1048576,MATCH('2019'!$A35,DataEx!$D:$D,0),MATCH('2019'!O$6,DataEx!$7:$7,0))</f>
        <v>5726874.5800000001</v>
      </c>
      <c r="P35" s="188">
        <f>+INDEX(DataEx!$1:$1048576,MATCH('2019'!$A35,DataEx!$D:$D,0),MATCH('2019'!P$6,DataEx!$7:$7,0))</f>
        <v>6798582.2800000003</v>
      </c>
      <c r="Q35" s="460">
        <f>+INDEX(DataEx!$1:$1048576,MATCH('2019'!$A35,DataEx!$D:$D,0),MATCH('2019'!Q$6,DataEx!$7:$7,0))</f>
        <v>0</v>
      </c>
      <c r="R35" s="460">
        <f>+INDEX(DataEx!$1:$1048576,MATCH('2019'!$A35,DataEx!$D:$D,0),MATCH('2019'!R$6,DataEx!$7:$7,0))</f>
        <v>0</v>
      </c>
      <c r="S35" s="269">
        <f t="shared" si="3"/>
        <v>53997656.910000004</v>
      </c>
      <c r="T35" s="463">
        <f t="shared" si="4"/>
        <v>1.1209577735567043E-2</v>
      </c>
    </row>
    <row r="36" spans="1:22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1361111.43</v>
      </c>
      <c r="M36" s="188">
        <f>+INDEX(DataEx!$1:$1048576,MATCH('2019'!$A36,DataEx!$D:$D,0),MATCH('2019'!M$6,DataEx!$7:$7,0))</f>
        <v>2074263.46</v>
      </c>
      <c r="N36" s="188">
        <f>+INDEX(DataEx!$1:$1048576,MATCH('2019'!$A36,DataEx!$D:$D,0),MATCH('2019'!N$6,DataEx!$7:$7,0))</f>
        <v>1121425.77</v>
      </c>
      <c r="O36" s="188">
        <f>+INDEX(DataEx!$1:$1048576,MATCH('2019'!$A36,DataEx!$D:$D,0),MATCH('2019'!O$6,DataEx!$7:$7,0))</f>
        <v>1711631.24</v>
      </c>
      <c r="P36" s="188">
        <f>+INDEX(DataEx!$1:$1048576,MATCH('2019'!$A36,DataEx!$D:$D,0),MATCH('2019'!P$6,DataEx!$7:$7,0))</f>
        <v>2761754.3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15548860.599999998</v>
      </c>
      <c r="T36" s="270">
        <f t="shared" si="4"/>
        <v>3.2278467542712417E-3</v>
      </c>
    </row>
    <row r="37" spans="1:22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999341.54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9047333.1999999993</v>
      </c>
      <c r="N37" s="188">
        <f>+INDEX(DataEx!$1:$1048576,MATCH('2019'!$A37,DataEx!$D:$D,0),MATCH('2019'!N$6,DataEx!$7:$7,0))</f>
        <v>1051267.33</v>
      </c>
      <c r="O37" s="188">
        <f>+INDEX(DataEx!$1:$1048576,MATCH('2019'!$A37,DataEx!$D:$D,0),MATCH('2019'!O$6,DataEx!$7:$7,0))</f>
        <v>2999385.93</v>
      </c>
      <c r="P37" s="188">
        <f>+INDEX(DataEx!$1:$1048576,MATCH('2019'!$A37,DataEx!$D:$D,0),MATCH('2019'!P$6,DataEx!$7:$7,0))</f>
        <v>1628126.12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84681703.470000014</v>
      </c>
      <c r="T37" s="270">
        <f t="shared" si="4"/>
        <v>1.7579394961698951E-2</v>
      </c>
    </row>
    <row r="38" spans="1:22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608826.98</v>
      </c>
      <c r="M38" s="188">
        <f>+INDEX(DataEx!$1:$1048576,MATCH('2019'!$A38,DataEx!$D:$D,0),MATCH('2019'!M$6,DataEx!$7:$7,0))</f>
        <v>1399544.86</v>
      </c>
      <c r="N38" s="188">
        <f>+INDEX(DataEx!$1:$1048576,MATCH('2019'!$A38,DataEx!$D:$D,0),MATCH('2019'!N$6,DataEx!$7:$7,0))</f>
        <v>827493.89</v>
      </c>
      <c r="O38" s="188">
        <f>+INDEX(DataEx!$1:$1048576,MATCH('2019'!$A38,DataEx!$D:$D,0),MATCH('2019'!O$6,DataEx!$7:$7,0))</f>
        <v>656314.94999999995</v>
      </c>
      <c r="P38" s="188">
        <f>+INDEX(DataEx!$1:$1048576,MATCH('2019'!$A38,DataEx!$D:$D,0),MATCH('2019'!P$6,DataEx!$7:$7,0))</f>
        <v>807250.67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8214469.4900000002</v>
      </c>
      <c r="T38" s="270">
        <f t="shared" si="4"/>
        <v>1.7052727761516266E-3</v>
      </c>
    </row>
    <row r="39" spans="1:22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3695060.6</v>
      </c>
      <c r="N39" s="188">
        <f>+INDEX(DataEx!$1:$1048576,MATCH('2019'!$A39,DataEx!$D:$D,0),MATCH('2019'!N$6,DataEx!$7:$7,0))</f>
        <v>1069449</v>
      </c>
      <c r="O39" s="188">
        <f>+INDEX(DataEx!$1:$1048576,MATCH('2019'!$A39,DataEx!$D:$D,0),MATCH('2019'!O$6,DataEx!$7:$7,0))</f>
        <v>3742161.66</v>
      </c>
      <c r="P39" s="188">
        <f>+INDEX(DataEx!$1:$1048576,MATCH('2019'!$A39,DataEx!$D:$D,0),MATCH('2019'!P$6,DataEx!$7:$7,0))</f>
        <v>4843530.18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23804788.5</v>
      </c>
      <c r="T39" s="270">
        <f t="shared" si="4"/>
        <v>4.9417260384878869E-3</v>
      </c>
    </row>
    <row r="40" spans="1:22" s="464" customFormat="1">
      <c r="A40" s="462">
        <v>419</v>
      </c>
      <c r="B40" s="519" t="str">
        <f>+VLOOKUP($A40,Master!$D$27:$G$225,4,FALSE)</f>
        <v>Ostali izdaci</v>
      </c>
      <c r="C40" s="520"/>
      <c r="D40" s="520"/>
      <c r="E40" s="520"/>
      <c r="F40" s="520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3357222.63</v>
      </c>
      <c r="I40" s="188">
        <f>+INDEX(DataEx!$1:$1048576,MATCH('2019'!$A40,DataEx!$D:$D,0),MATCH('2019'!I$6,DataEx!$7:$7,0))</f>
        <v>2294447.6800000002</v>
      </c>
      <c r="J40" s="188">
        <f>+INDEX(DataEx!$1:$1048576,MATCH('2019'!$A40,DataEx!$D:$D,0),MATCH('2019'!J$6,DataEx!$7:$7,0))</f>
        <v>5380146.8200000003</v>
      </c>
      <c r="K40" s="188">
        <f>+INDEX(DataEx!$1:$1048576,MATCH('2019'!$A40,DataEx!$D:$D,0),MATCH('2019'!K$6,DataEx!$7:$7,0))</f>
        <v>2115854.34</v>
      </c>
      <c r="L40" s="188">
        <f>+INDEX(DataEx!$1:$1048576,MATCH('2019'!$A40,DataEx!$D:$D,0),MATCH('2019'!L$6,DataEx!$7:$7,0))</f>
        <v>4483087.37</v>
      </c>
      <c r="M40" s="188">
        <f>+INDEX(DataEx!$1:$1048576,MATCH('2019'!$A40,DataEx!$D:$D,0),MATCH('2019'!M$6,DataEx!$7:$7,0))</f>
        <v>3829539.86</v>
      </c>
      <c r="N40" s="188">
        <f>+INDEX(DataEx!$1:$1048576,MATCH('2019'!$A40,DataEx!$D:$D,0),MATCH('2019'!N$6,DataEx!$7:$7,0))</f>
        <v>4015195.5</v>
      </c>
      <c r="O40" s="188">
        <f>+INDEX(DataEx!$1:$1048576,MATCH('2019'!$A40,DataEx!$D:$D,0),MATCH('2019'!O$6,DataEx!$7:$7,0))</f>
        <v>4101848.07</v>
      </c>
      <c r="P40" s="188">
        <f>+INDEX(DataEx!$1:$1048576,MATCH('2019'!$A40,DataEx!$D:$D,0),MATCH('2019'!P$6,DataEx!$7:$7,0))</f>
        <v>3045009.82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33317939.010000002</v>
      </c>
      <c r="T40" s="463">
        <f t="shared" si="4"/>
        <v>6.9165969172323601E-3</v>
      </c>
    </row>
    <row r="41" spans="1:22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2542191.46</v>
      </c>
      <c r="N41" s="188">
        <f>+INDEX(DataEx!$1:$1048576,MATCH('2019'!$A41,DataEx!$D:$D,0),MATCH('2019'!N$6,DataEx!$7:$7,0))</f>
        <v>4838634.8899999997</v>
      </c>
      <c r="O41" s="188">
        <f>+INDEX(DataEx!$1:$1048576,MATCH('2019'!$A41,DataEx!$D:$D,0),MATCH('2019'!O$6,DataEx!$7:$7,0))</f>
        <v>2467021.91</v>
      </c>
      <c r="P41" s="188">
        <f>+INDEX(DataEx!$1:$1048576,MATCH('2019'!$A41,DataEx!$D:$D,0),MATCH('2019'!P$6,DataEx!$7:$7,0))</f>
        <v>10503399.49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33327570.490000002</v>
      </c>
      <c r="T41" s="270">
        <f t="shared" si="4"/>
        <v>6.9185963525772772E-3</v>
      </c>
    </row>
    <row r="42" spans="1:22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18">
        <f>+SUM(G43:G47)</f>
        <v>42563180.95000001</v>
      </c>
      <c r="H42" s="218">
        <f t="shared" ref="H42:R42" si="8">+SUM(H43:H47)</f>
        <v>46594709.649999999</v>
      </c>
      <c r="I42" s="218">
        <f t="shared" si="8"/>
        <v>45429673.470000006</v>
      </c>
      <c r="J42" s="200">
        <f t="shared" si="8"/>
        <v>45454458.559999995</v>
      </c>
      <c r="K42" s="218">
        <f t="shared" si="8"/>
        <v>45755730.580000006</v>
      </c>
      <c r="L42" s="218">
        <f t="shared" si="8"/>
        <v>45746699.100000001</v>
      </c>
      <c r="M42" s="218">
        <f t="shared" si="8"/>
        <v>46178760.68</v>
      </c>
      <c r="N42" s="218">
        <f t="shared" si="8"/>
        <v>45699224.809999995</v>
      </c>
      <c r="O42" s="218">
        <f t="shared" si="8"/>
        <v>45931841.649999999</v>
      </c>
      <c r="P42" s="218">
        <f t="shared" si="8"/>
        <v>46756374.820000008</v>
      </c>
      <c r="Q42" s="218">
        <f t="shared" si="8"/>
        <v>0</v>
      </c>
      <c r="R42" s="282">
        <f t="shared" si="8"/>
        <v>0</v>
      </c>
      <c r="S42" s="272">
        <f t="shared" si="3"/>
        <v>456110654.27000004</v>
      </c>
      <c r="T42" s="273">
        <f t="shared" si="4"/>
        <v>9.4685735041830157E-2</v>
      </c>
    </row>
    <row r="43" spans="1:22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6798455.0999999996</v>
      </c>
      <c r="N43" s="188">
        <f>+INDEX(DataEx!$1:$1048576,MATCH('2019'!$A43,DataEx!$D:$D,0),MATCH('2019'!N$6,DataEx!$7:$7,0))</f>
        <v>6916329.6100000003</v>
      </c>
      <c r="O43" s="188">
        <f>+INDEX(DataEx!$1:$1048576,MATCH('2019'!$A43,DataEx!$D:$D,0),MATCH('2019'!O$6,DataEx!$7:$7,0))</f>
        <v>6430517.1200000001</v>
      </c>
      <c r="P43" s="188">
        <f>+INDEX(DataEx!$1:$1048576,MATCH('2019'!$A43,DataEx!$D:$D,0),MATCH('2019'!P$6,DataEx!$7:$7,0))</f>
        <v>6933312.3200000003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66115340.469999991</v>
      </c>
      <c r="T43" s="270">
        <f t="shared" si="4"/>
        <v>1.372513347657304E-2</v>
      </c>
    </row>
    <row r="44" spans="1:22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1512829.9</v>
      </c>
      <c r="N44" s="188">
        <f>+INDEX(DataEx!$1:$1048576,MATCH('2019'!$A44,DataEx!$D:$D,0),MATCH('2019'!N$6,DataEx!$7:$7,0))</f>
        <v>1577705.79</v>
      </c>
      <c r="O44" s="188">
        <f>+INDEX(DataEx!$1:$1048576,MATCH('2019'!$A44,DataEx!$D:$D,0),MATCH('2019'!O$6,DataEx!$7:$7,0))</f>
        <v>1701766.69</v>
      </c>
      <c r="P44" s="188">
        <f>+INDEX(DataEx!$1:$1048576,MATCH('2019'!$A44,DataEx!$D:$D,0),MATCH('2019'!P$6,DataEx!$7:$7,0))</f>
        <v>1710317.34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12674038.429999998</v>
      </c>
      <c r="T44" s="270">
        <f t="shared" si="4"/>
        <v>2.6310515517635087E-3</v>
      </c>
    </row>
    <row r="45" spans="1:22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35081479.57</v>
      </c>
      <c r="N45" s="188">
        <f>+INDEX(DataEx!$1:$1048576,MATCH('2019'!$A45,DataEx!$D:$D,0),MATCH('2019'!N$6,DataEx!$7:$7,0))</f>
        <v>35015332.57</v>
      </c>
      <c r="O45" s="188">
        <f>+INDEX(DataEx!$1:$1048576,MATCH('2019'!$A45,DataEx!$D:$D,0),MATCH('2019'!O$6,DataEx!$7:$7,0))</f>
        <v>35022901.990000002</v>
      </c>
      <c r="P45" s="188">
        <f>+INDEX(DataEx!$1:$1048576,MATCH('2019'!$A45,DataEx!$D:$D,0),MATCH('2019'!P$6,DataEx!$7:$7,0))</f>
        <v>34922457.960000001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350934442.38</v>
      </c>
      <c r="T45" s="270">
        <f t="shared" si="4"/>
        <v>7.2851807597932361E-2</v>
      </c>
    </row>
    <row r="46" spans="1:22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1746404.92</v>
      </c>
      <c r="N46" s="188">
        <f>+INDEX(DataEx!$1:$1048576,MATCH('2019'!$A46,DataEx!$D:$D,0),MATCH('2019'!N$6,DataEx!$7:$7,0))</f>
        <v>1448048.69</v>
      </c>
      <c r="O46" s="188">
        <f>+INDEX(DataEx!$1:$1048576,MATCH('2019'!$A46,DataEx!$D:$D,0),MATCH('2019'!O$6,DataEx!$7:$7,0))</f>
        <v>1671066.3</v>
      </c>
      <c r="P46" s="188">
        <f>+INDEX(DataEx!$1:$1048576,MATCH('2019'!$A46,DataEx!$D:$D,0),MATCH('2019'!P$6,DataEx!$7:$7,0))</f>
        <v>2220320.35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17285745.990000002</v>
      </c>
      <c r="T46" s="270">
        <f t="shared" si="4"/>
        <v>3.588413358659775E-3</v>
      </c>
    </row>
    <row r="47" spans="1:22" s="464" customFormat="1">
      <c r="A47" s="462">
        <v>425</v>
      </c>
      <c r="B47" s="521" t="str">
        <f>+VLOOKUP($A47,Master!$D$27:$G$225,4,FALSE)</f>
        <v>Ostala prava iz zdravstvenog osiguranja</v>
      </c>
      <c r="C47" s="522"/>
      <c r="D47" s="522"/>
      <c r="E47" s="522"/>
      <c r="F47" s="522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1081000.8899999999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1039591.19</v>
      </c>
      <c r="N47" s="188">
        <f>+INDEX(DataEx!$1:$1048576,MATCH('2019'!$A47,DataEx!$D:$D,0),MATCH('2019'!N$6,DataEx!$7:$7,0))</f>
        <v>741808.15</v>
      </c>
      <c r="O47" s="188">
        <f>+INDEX(DataEx!$1:$1048576,MATCH('2019'!$A47,DataEx!$D:$D,0),MATCH('2019'!O$6,DataEx!$7:$7,0))</f>
        <v>1105589.55</v>
      </c>
      <c r="P47" s="188">
        <f>+INDEX(DataEx!$1:$1048576,MATCH('2019'!$A47,DataEx!$D:$D,0),MATCH('2019'!P$6,DataEx!$7:$7,0))</f>
        <v>969966.85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9101087.0000000019</v>
      </c>
      <c r="T47" s="463">
        <f t="shared" si="4"/>
        <v>1.8893290569014557E-3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16108536.07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13582731.800000001</v>
      </c>
      <c r="M48" s="200">
        <f>+INDEX(DataEx!$1:$1048576,MATCH('2019'!$A48,DataEx!$D:$D,0),MATCH('2019'!M$6,DataEx!$7:$7,0))</f>
        <v>25674739.879999999</v>
      </c>
      <c r="N48" s="200">
        <f>+INDEX(DataEx!$1:$1048576,MATCH('2019'!$A48,DataEx!$D:$D,0),MATCH('2019'!N$6,DataEx!$7:$7,0))</f>
        <v>14819789.789999999</v>
      </c>
      <c r="O48" s="200">
        <f>+INDEX(DataEx!$1:$1048576,MATCH('2019'!$A48,DataEx!$D:$D,0),MATCH('2019'!O$6,DataEx!$7:$7,0))</f>
        <v>22891347.969999999</v>
      </c>
      <c r="P48" s="200">
        <f>+INDEX(DataEx!$1:$1048576,MATCH('2019'!$A48,DataEx!$D:$D,0),MATCH('2019'!P$6,DataEx!$7:$7,0))</f>
        <v>17069504.329999998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178467676.83999997</v>
      </c>
      <c r="T48" s="273">
        <f t="shared" si="4"/>
        <v>3.7048779730543269E-2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23205721.09</v>
      </c>
      <c r="N49" s="200">
        <f>+INDEX(DataEx!$1:$1048576,MATCH('2019'!$A49,DataEx!$D:$D,0),MATCH('2019'!N$6,DataEx!$7:$7,0))</f>
        <v>40874123.119999997</v>
      </c>
      <c r="O49" s="200">
        <f>+INDEX(DataEx!$1:$1048576,MATCH('2019'!$A49,DataEx!$D:$D,0),MATCH('2019'!O$6,DataEx!$7:$7,0))</f>
        <v>14054765.689999999</v>
      </c>
      <c r="P49" s="200">
        <f>+INDEX(DataEx!$1:$1048576,MATCH('2019'!$A49,DataEx!$D:$D,0),MATCH('2019'!P$6,DataEx!$7:$7,0))</f>
        <v>14440865.34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174427193.98000002</v>
      </c>
      <c r="T49" s="273">
        <f t="shared" si="4"/>
        <v>3.6210000618629473E-2</v>
      </c>
    </row>
    <row r="50" spans="1:22">
      <c r="A50" s="175">
        <v>451</v>
      </c>
      <c r="B50" s="525" t="str">
        <f>+VLOOKUP($A50,Master!$D$27:$G$225,4,FALSE)</f>
        <v>Pozajmice i krediti</v>
      </c>
      <c r="C50" s="526"/>
      <c r="D50" s="526"/>
      <c r="E50" s="526"/>
      <c r="F50" s="526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358750</v>
      </c>
      <c r="M50" s="188">
        <f>+INDEX(DataEx!$1:$1048576,MATCH('2019'!$A50,DataEx!$D:$D,0),MATCH('2019'!M$6,DataEx!$7:$7,0))</f>
        <v>335000</v>
      </c>
      <c r="N50" s="188">
        <f>+INDEX(DataEx!$1:$1048576,MATCH('2019'!$A50,DataEx!$D:$D,0),MATCH('2019'!N$6,DataEx!$7:$7,0))</f>
        <v>145000</v>
      </c>
      <c r="O50" s="188">
        <f>+INDEX(DataEx!$1:$1048576,MATCH('2019'!$A50,DataEx!$D:$D,0),MATCH('2019'!O$6,DataEx!$7:$7,0))</f>
        <v>298894</v>
      </c>
      <c r="P50" s="188">
        <f>+INDEX(DataEx!$1:$1048576,MATCH('2019'!$A50,DataEx!$D:$D,0),MATCH('2019'!P$6,DataEx!$7:$7,0))</f>
        <v>10000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2094501.98</v>
      </c>
      <c r="T50" s="270">
        <f t="shared" si="4"/>
        <v>4.3480558427269519E-4</v>
      </c>
    </row>
    <row r="51" spans="1:22" s="464" customFormat="1">
      <c r="A51" s="462">
        <v>47</v>
      </c>
      <c r="B51" s="527" t="str">
        <f>+VLOOKUP($A51,Master!$D$27:$G$225,4,FALSE)</f>
        <v>Rezerve</v>
      </c>
      <c r="C51" s="528"/>
      <c r="D51" s="528"/>
      <c r="E51" s="528"/>
      <c r="F51" s="528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1407800</v>
      </c>
      <c r="L51" s="188">
        <f>+INDEX(DataEx!$1:$1048576,MATCH('2019'!$A51,DataEx!$D:$D,0),MATCH('2019'!L$6,DataEx!$7:$7,0))</f>
        <v>1291723.94</v>
      </c>
      <c r="M51" s="188">
        <f>+INDEX(DataEx!$1:$1048576,MATCH('2019'!$A51,DataEx!$D:$D,0),MATCH('2019'!M$6,DataEx!$7:$7,0))</f>
        <v>6488928.9000000004</v>
      </c>
      <c r="N51" s="188">
        <f>+INDEX(DataEx!$1:$1048576,MATCH('2019'!$A51,DataEx!$D:$D,0),MATCH('2019'!N$6,DataEx!$7:$7,0))</f>
        <v>433973.31</v>
      </c>
      <c r="O51" s="188">
        <f>+INDEX(DataEx!$1:$1048576,MATCH('2019'!$A51,DataEx!$D:$D,0),MATCH('2019'!O$6,DataEx!$7:$7,0))</f>
        <v>745665.27</v>
      </c>
      <c r="P51" s="188">
        <f>+INDEX(DataEx!$1:$1048576,MATCH('2019'!$A51,DataEx!$D:$D,0),MATCH('2019'!P$6,DataEx!$7:$7,0))</f>
        <v>424125.36</v>
      </c>
      <c r="Q51" s="188">
        <f>+INDEX(DataEx!$1:$1048576,MATCH('2019'!$A51,DataEx!$D:$D,0),MATCH('2019'!Q$6,DataEx!$7:$7,0))</f>
        <v>0</v>
      </c>
      <c r="R51" s="236">
        <f>+INDEX(DataEx!$1:$1048576,MATCH('2019'!$A51,DataEx!$D:$D,0),MATCH('2019'!R$6,DataEx!$7:$7,0))</f>
        <v>0</v>
      </c>
      <c r="S51" s="269">
        <f t="shared" si="3"/>
        <v>14830580.08</v>
      </c>
      <c r="T51" s="463">
        <f t="shared" si="4"/>
        <v>3.0787361856718775E-3</v>
      </c>
    </row>
    <row r="52" spans="1:22" ht="13.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1.9585849183118473E-3</v>
      </c>
      <c r="U52" s="366"/>
    </row>
    <row r="53" spans="1:22" ht="13.5" thickBot="1">
      <c r="A53" s="169">
        <v>4630</v>
      </c>
      <c r="B53" s="529" t="str">
        <f>+VLOOKUP($A53,Master!$D$27:$G$225,4,TRUE)</f>
        <v>Otplata obaveza iz prethodnih godina</v>
      </c>
      <c r="C53" s="530"/>
      <c r="D53" s="530"/>
      <c r="E53" s="530"/>
      <c r="F53" s="530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4446503.8099999996</v>
      </c>
      <c r="N53" s="224">
        <f>+INDEX(DataEx!$1:$1048576,MATCH('2019'!$A53,DataEx!$D:$D,0),MATCH('2019'!N$6,DataEx!$7:$7,0))</f>
        <v>880815</v>
      </c>
      <c r="O53" s="224">
        <f>+INDEX(DataEx!$1:$1048576,MATCH('2019'!$A53,DataEx!$D:$D,0),MATCH('2019'!O$6,DataEx!$7:$7,0))</f>
        <v>1579978.54</v>
      </c>
      <c r="P53" s="224">
        <f>+INDEX(DataEx!$1:$1048576,MATCH('2019'!$A53,DataEx!$D:$D,0),MATCH('2019'!P$6,DataEx!$7:$7,0))</f>
        <v>1269302.99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17549235.309999995</v>
      </c>
      <c r="T53" s="284">
        <f>+S53/$T$7</f>
        <v>3.6431121027174014E-3</v>
      </c>
    </row>
    <row r="54" spans="1:22" ht="13.5" thickBot="1">
      <c r="A54" s="71">
        <v>1005</v>
      </c>
      <c r="B54" s="531" t="str">
        <f>+VLOOKUP($A54,Master!$D$27:$G$227,4,FALSE)</f>
        <v>Neto povećanje obaveza</v>
      </c>
      <c r="C54" s="532"/>
      <c r="D54" s="532"/>
      <c r="E54" s="532"/>
      <c r="F54" s="532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-32332319.310000032</v>
      </c>
      <c r="H55" s="176">
        <f t="shared" si="9"/>
        <v>-14336573.959999993</v>
      </c>
      <c r="I55" s="176">
        <f t="shared" si="9"/>
        <v>-24619591.350000024</v>
      </c>
      <c r="J55" s="176">
        <f t="shared" si="9"/>
        <v>10120081.440000057</v>
      </c>
      <c r="K55" s="176">
        <f t="shared" si="9"/>
        <v>-2335242.0900000334</v>
      </c>
      <c r="L55" s="176">
        <f t="shared" si="9"/>
        <v>-805523.59000000358</v>
      </c>
      <c r="M55" s="176">
        <f t="shared" si="9"/>
        <v>-5256861.1400000155</v>
      </c>
      <c r="N55" s="176">
        <f t="shared" si="9"/>
        <v>14506929.229999989</v>
      </c>
      <c r="O55" s="176">
        <f t="shared" si="9"/>
        <v>16689979.840000004</v>
      </c>
      <c r="P55" s="176">
        <f t="shared" si="9"/>
        <v>2992113.5800000131</v>
      </c>
      <c r="Q55" s="176">
        <f t="shared" si="9"/>
        <v>0</v>
      </c>
      <c r="R55" s="176">
        <f t="shared" si="9"/>
        <v>0</v>
      </c>
      <c r="S55" s="285">
        <f t="shared" si="3"/>
        <v>-35377007.350000039</v>
      </c>
      <c r="T55" s="286">
        <f t="shared" si="4"/>
        <v>-7.3440466982209298E-3</v>
      </c>
    </row>
    <row r="56" spans="1:22" ht="13.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230">
        <f>+G55+G37</f>
        <v>-26177466.410000034</v>
      </c>
      <c r="H56" s="230">
        <f t="shared" ref="H56:R56" si="10">+H55+H37</f>
        <v>-13337232.419999994</v>
      </c>
      <c r="I56" s="230">
        <f t="shared" si="10"/>
        <v>4075922.2999999747</v>
      </c>
      <c r="J56" s="230">
        <f t="shared" si="10"/>
        <v>28555353.230000056</v>
      </c>
      <c r="K56" s="230">
        <f t="shared" si="10"/>
        <v>7923601.9799999669</v>
      </c>
      <c r="L56" s="230">
        <f t="shared" si="10"/>
        <v>4606243.3499999968</v>
      </c>
      <c r="M56" s="230">
        <f t="shared" si="10"/>
        <v>3790472.0599999838</v>
      </c>
      <c r="N56" s="230">
        <f t="shared" si="10"/>
        <v>15558196.559999989</v>
      </c>
      <c r="O56" s="230">
        <f t="shared" si="10"/>
        <v>19689365.770000003</v>
      </c>
      <c r="P56" s="230">
        <f t="shared" si="10"/>
        <v>4620239.7000000132</v>
      </c>
      <c r="Q56" s="230">
        <f t="shared" si="10"/>
        <v>0</v>
      </c>
      <c r="R56" s="230">
        <f t="shared" si="10"/>
        <v>0</v>
      </c>
      <c r="S56" s="285">
        <f t="shared" si="3"/>
        <v>49304696.119999953</v>
      </c>
      <c r="T56" s="286">
        <f t="shared" si="4"/>
        <v>1.0235348263478017E-2</v>
      </c>
    </row>
    <row r="57" spans="1:22">
      <c r="A57" s="169">
        <v>46</v>
      </c>
      <c r="B57" s="523" t="str">
        <f>+VLOOKUP($A57,Master!$D$27:$G$225,4,FALSE)</f>
        <v>Otplata dugova</v>
      </c>
      <c r="C57" s="524"/>
      <c r="D57" s="524"/>
      <c r="E57" s="524"/>
      <c r="F57" s="524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80471032.019999996</v>
      </c>
      <c r="N57" s="218">
        <f t="shared" si="11"/>
        <v>57755617.170000002</v>
      </c>
      <c r="O57" s="218">
        <f t="shared" si="11"/>
        <v>17889318.350000001</v>
      </c>
      <c r="P57" s="218">
        <f t="shared" si="11"/>
        <v>11092379.140000001</v>
      </c>
      <c r="Q57" s="218">
        <f t="shared" si="11"/>
        <v>0</v>
      </c>
      <c r="R57" s="218">
        <f t="shared" si="11"/>
        <v>0</v>
      </c>
      <c r="S57" s="287">
        <f t="shared" si="3"/>
        <v>484958278.56999999</v>
      </c>
      <c r="T57" s="288">
        <f t="shared" si="4"/>
        <v>0.10067432242843204</v>
      </c>
      <c r="V57" s="383"/>
    </row>
    <row r="58" spans="1:22">
      <c r="A58" s="169">
        <v>4611</v>
      </c>
      <c r="B58" s="512" t="str">
        <f>+VLOOKUP($A58,Master!$D$27:$G$225,4,FALSE)</f>
        <v>Otplata hartija od vrijednosti i kredita rezidentima</v>
      </c>
      <c r="C58" s="513"/>
      <c r="D58" s="513"/>
      <c r="E58" s="513"/>
      <c r="F58" s="513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18837613.199999999</v>
      </c>
      <c r="N58" s="236">
        <f>+INDEX(DataEx!$1:$1048576,MATCH('2019'!$A58,DataEx!$D:$D,0),MATCH('2019'!N$6,DataEx!$7:$7,0))</f>
        <v>54838105.140000001</v>
      </c>
      <c r="O58" s="236">
        <f>+INDEX(DataEx!$1:$1048576,MATCH('2019'!$A58,DataEx!$D:$D,0),MATCH('2019'!O$6,DataEx!$7:$7,0))</f>
        <v>1831381.37</v>
      </c>
      <c r="P58" s="236">
        <f>+INDEX(DataEx!$1:$1048576,MATCH('2019'!$A58,DataEx!$D:$D,0),MATCH('2019'!P$6,DataEx!$7:$7,0))</f>
        <v>6571880.8899999997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175494134.59999999</v>
      </c>
      <c r="T58" s="290">
        <f t="shared" si="4"/>
        <v>3.6431490855493971E-2</v>
      </c>
    </row>
    <row r="59" spans="1:22" ht="13.5" thickBot="1">
      <c r="A59" s="169">
        <v>4612</v>
      </c>
      <c r="B59" s="488" t="str">
        <f>+VLOOKUP($A59,Master!$D$27:$G$225,4,FALSE)</f>
        <v>Otplata hartija od vrijednosti i kredita nerezidentima</v>
      </c>
      <c r="C59" s="489"/>
      <c r="D59" s="489"/>
      <c r="E59" s="489"/>
      <c r="F59" s="489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61633418.82</v>
      </c>
      <c r="N59" s="236">
        <f>+INDEX(DataEx!$1:$1048576,MATCH('2019'!$A59,DataEx!$D:$D,0),MATCH('2019'!N$6,DataEx!$7:$7,0))</f>
        <v>2917512.03</v>
      </c>
      <c r="O59" s="236">
        <f>+INDEX(DataEx!$1:$1048576,MATCH('2019'!$A59,DataEx!$D:$D,0),MATCH('2019'!O$6,DataEx!$7:$7,0))</f>
        <v>16057936.98</v>
      </c>
      <c r="P59" s="236">
        <f>+INDEX(DataEx!$1:$1048576,MATCH('2019'!$A59,DataEx!$D:$D,0),MATCH('2019'!P$6,DataEx!$7:$7,0))</f>
        <v>4520498.25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309464143.96999997</v>
      </c>
      <c r="T59" s="290">
        <f t="shared" si="4"/>
        <v>6.4242831572938072E-2</v>
      </c>
      <c r="V59" s="395"/>
    </row>
    <row r="60" spans="1:22" ht="13.5" thickBot="1">
      <c r="A60" s="169">
        <v>4418</v>
      </c>
      <c r="B60" s="523" t="str">
        <f>+VLOOKUP($A60,Master!$D$27:$G$225,4,FALSE)</f>
        <v>Izdaci za kupovinu hartija od vrijednosti</v>
      </c>
      <c r="C60" s="524"/>
      <c r="D60" s="524"/>
      <c r="E60" s="524"/>
      <c r="F60" s="524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8.3003608934836322E-3</v>
      </c>
      <c r="V60" s="395"/>
    </row>
    <row r="61" spans="1:22" ht="13.5" thickBot="1">
      <c r="A61" s="169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242">
        <f>+G55-G57-G60</f>
        <v>-51850686.710000031</v>
      </c>
      <c r="H61" s="242">
        <f t="shared" ref="H61:R61" si="12">+H55-H57-H60</f>
        <v>-81737269.170000002</v>
      </c>
      <c r="I61" s="242">
        <f t="shared" si="12"/>
        <v>-42406175.820000023</v>
      </c>
      <c r="J61" s="242">
        <f t="shared" si="12"/>
        <v>-48130365.809999943</v>
      </c>
      <c r="K61" s="242">
        <f t="shared" si="12"/>
        <v>-186017973.91000003</v>
      </c>
      <c r="L61" s="242">
        <f t="shared" si="12"/>
        <v>-11900297.790000003</v>
      </c>
      <c r="M61" s="242">
        <f t="shared" si="12"/>
        <v>-85727893.160000011</v>
      </c>
      <c r="N61" s="242">
        <f t="shared" si="12"/>
        <v>-43248687.940000013</v>
      </c>
      <c r="O61" s="242">
        <f t="shared" si="12"/>
        <v>-1199338.5099999979</v>
      </c>
      <c r="P61" s="242">
        <f t="shared" si="12"/>
        <v>-8100265.5599999875</v>
      </c>
      <c r="Q61" s="242">
        <f t="shared" si="12"/>
        <v>0</v>
      </c>
      <c r="R61" s="242">
        <f t="shared" si="12"/>
        <v>0</v>
      </c>
      <c r="S61" s="291">
        <f t="shared" si="3"/>
        <v>-560318954.38</v>
      </c>
      <c r="T61" s="292">
        <f t="shared" si="4"/>
        <v>-0.1163187300201366</v>
      </c>
    </row>
    <row r="62" spans="1:22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51850686.710000031</v>
      </c>
      <c r="H62" s="176">
        <f t="shared" ref="H62:R62" si="13">+SUM(H63:H66)</f>
        <v>81737269.170000002</v>
      </c>
      <c r="I62" s="176">
        <f t="shared" si="13"/>
        <v>42406175.820000023</v>
      </c>
      <c r="J62" s="176">
        <f t="shared" si="13"/>
        <v>48130365.809999943</v>
      </c>
      <c r="K62" s="176">
        <f t="shared" si="13"/>
        <v>186017973.91000003</v>
      </c>
      <c r="L62" s="176">
        <f t="shared" si="13"/>
        <v>11900297.790000003</v>
      </c>
      <c r="M62" s="176">
        <f t="shared" si="13"/>
        <v>85727893.160000011</v>
      </c>
      <c r="N62" s="176">
        <f t="shared" si="13"/>
        <v>43248687.940000013</v>
      </c>
      <c r="O62" s="176">
        <f t="shared" si="13"/>
        <v>1199338.5099999979</v>
      </c>
      <c r="P62" s="176">
        <f t="shared" si="13"/>
        <v>8100265.5599999875</v>
      </c>
      <c r="Q62" s="176">
        <f t="shared" si="13"/>
        <v>0</v>
      </c>
      <c r="R62" s="176">
        <f t="shared" si="13"/>
        <v>0</v>
      </c>
      <c r="S62" s="293">
        <f t="shared" si="3"/>
        <v>560318954.38</v>
      </c>
      <c r="T62" s="294">
        <f t="shared" si="4"/>
        <v>0.1163187300201366</v>
      </c>
    </row>
    <row r="63" spans="1:22">
      <c r="A63" s="169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18000000</v>
      </c>
      <c r="N63" s="236">
        <f>+INDEX(DataEx!$1:$1048576,MATCH('2019'!$A63,DataEx!$D:$D,0),MATCH('2019'!N$6,DataEx!$7:$7,0))</f>
        <v>54000000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286438000</v>
      </c>
      <c r="T63" s="290">
        <f t="shared" si="4"/>
        <v>5.9462747296091009E-2</v>
      </c>
    </row>
    <row r="64" spans="1:22">
      <c r="A64" s="169">
        <v>7512</v>
      </c>
      <c r="B64" s="488" t="str">
        <f>+VLOOKUP($A64,Master!$D$27:$G$225,4,FALSE)</f>
        <v>Pozajmice i krediti od inostranih izvora</v>
      </c>
      <c r="C64" s="489"/>
      <c r="D64" s="489"/>
      <c r="E64" s="489"/>
      <c r="F64" s="489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2698966.86</v>
      </c>
      <c r="N64" s="236">
        <f>+INDEX(DataEx!$1:$1048576,MATCH('2019'!$A64,DataEx!$D:$D,0),MATCH('2019'!N$6,DataEx!$7:$7,0))</f>
        <v>32388565.289999999</v>
      </c>
      <c r="O64" s="236">
        <f>+INDEX(DataEx!$1:$1048576,MATCH('2019'!$A64,DataEx!$D:$D,0),MATCH('2019'!O$6,DataEx!$7:$7,0))</f>
        <v>1935839.29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103789215.92</v>
      </c>
      <c r="T64" s="290">
        <f t="shared" si="4"/>
        <v>2.154599570696062E-2</v>
      </c>
    </row>
    <row r="65" spans="1:20">
      <c r="A65" s="169">
        <v>72</v>
      </c>
      <c r="B65" s="488" t="str">
        <f>+VLOOKUP($A65,Master!$D$27:$G$225,4,FALSE)</f>
        <v>Primici od prodaje imovine</v>
      </c>
      <c r="C65" s="489"/>
      <c r="D65" s="489"/>
      <c r="E65" s="489"/>
      <c r="F65" s="489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359609.29</v>
      </c>
      <c r="N65" s="236">
        <f>+INDEX(DataEx!$1:$1048576,MATCH('2019'!$A65,DataEx!$D:$D,0),MATCH('2019'!N$6,DataEx!$7:$7,0))</f>
        <v>176786.46</v>
      </c>
      <c r="O65" s="236">
        <f>+INDEX(DataEx!$1:$1048576,MATCH('2019'!$A65,DataEx!$D:$D,0),MATCH('2019'!O$6,DataEx!$7:$7,0))</f>
        <v>225833.46</v>
      </c>
      <c r="P65" s="236">
        <f>+INDEX(DataEx!$1:$1048576,MATCH('2019'!$A65,DataEx!$D:$D,0),MATCH('2019'!P$6,DataEx!$7:$7,0))</f>
        <v>679599.59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2941959.75</v>
      </c>
      <c r="T65" s="290">
        <f t="shared" si="4"/>
        <v>6.1073254655290526E-4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8075162.4400000274</v>
      </c>
      <c r="H66" s="250">
        <f t="shared" ref="H66:R66" si="14">-H61-SUM(H63:H65)</f>
        <v>23740423.570000008</v>
      </c>
      <c r="I66" s="250">
        <f t="shared" si="14"/>
        <v>28165629.150000021</v>
      </c>
      <c r="J66" s="250">
        <f t="shared" si="14"/>
        <v>-33158556.120000049</v>
      </c>
      <c r="K66" s="250">
        <f t="shared" si="14"/>
        <v>110122849.57000002</v>
      </c>
      <c r="L66" s="250">
        <f t="shared" si="14"/>
        <v>2393285.1700000037</v>
      </c>
      <c r="M66" s="250">
        <f t="shared" si="14"/>
        <v>64669317.010000013</v>
      </c>
      <c r="N66" s="250">
        <f t="shared" si="14"/>
        <v>-43316663.809999973</v>
      </c>
      <c r="O66" s="250">
        <f t="shared" si="14"/>
        <v>-962334.24000000209</v>
      </c>
      <c r="P66" s="250">
        <f t="shared" si="14"/>
        <v>7420665.9699999876</v>
      </c>
      <c r="Q66" s="250">
        <f t="shared" si="14"/>
        <v>0</v>
      </c>
      <c r="R66" s="250">
        <f t="shared" si="14"/>
        <v>0</v>
      </c>
      <c r="S66" s="295">
        <f>+SUM(G66:R66)</f>
        <v>167149778.71000007</v>
      </c>
      <c r="T66" s="296">
        <f t="shared" si="4"/>
        <v>3.4699254470532077E-2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42" t="str">
        <f>+Master!G252</f>
        <v>Plan ostvarenja budžeta</v>
      </c>
      <c r="C102" s="543"/>
      <c r="D102" s="543"/>
      <c r="E102" s="543"/>
      <c r="F102" s="543"/>
      <c r="G102" s="533">
        <v>2019</v>
      </c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5"/>
      <c r="S102" s="115" t="str">
        <f>+S7</f>
        <v>BDP</v>
      </c>
      <c r="T102" s="116">
        <f>+T7</f>
        <v>4817100000</v>
      </c>
    </row>
    <row r="103" spans="1:21" ht="15.75" customHeight="1">
      <c r="B103" s="544"/>
      <c r="C103" s="545"/>
      <c r="D103" s="545"/>
      <c r="E103" s="545"/>
      <c r="F103" s="546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3" t="str">
        <f>+Master!G246</f>
        <v>Jan - Dec</v>
      </c>
      <c r="T103" s="535">
        <f>+T8</f>
        <v>0</v>
      </c>
    </row>
    <row r="104" spans="1:21" ht="13.5" thickBot="1">
      <c r="B104" s="547"/>
      <c r="C104" s="548"/>
      <c r="D104" s="548"/>
      <c r="E104" s="548"/>
      <c r="F104" s="549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6" t="str">
        <f>+VLOOKUP(LEFT($A105,LEN(A105)-1)*1,Master!$D$27:$G$225,4,FALSE)</f>
        <v>Prihodi budžeta</v>
      </c>
      <c r="C105" s="537"/>
      <c r="D105" s="537"/>
      <c r="E105" s="537"/>
      <c r="F105" s="537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121">
        <f>+SUM(G105:R105)</f>
        <v>1834032913.7635608</v>
      </c>
      <c r="T105" s="122">
        <f>+S105/$T$7</f>
        <v>0.38073382611188489</v>
      </c>
    </row>
    <row r="106" spans="1:21">
      <c r="A106" s="137" t="str">
        <f t="shared" si="17"/>
        <v>711p</v>
      </c>
      <c r="B106" s="538" t="str">
        <f>+VLOOKUP(LEFT($A106,LEN(A106)-1)*1,Master!$D$27:$G$225,4,FALSE)</f>
        <v>Porezi</v>
      </c>
      <c r="C106" s="539"/>
      <c r="D106" s="539"/>
      <c r="E106" s="539"/>
      <c r="F106" s="539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123">
        <f t="shared" ref="S106:S161" si="20">+SUM(G106:R106)</f>
        <v>1122669950.9867301</v>
      </c>
      <c r="T106" s="124">
        <f t="shared" ref="T106:T161" si="21">+S106/$T$7</f>
        <v>0.23305929936823611</v>
      </c>
      <c r="U106" s="302"/>
    </row>
    <row r="107" spans="1:21">
      <c r="A107" s="137" t="str">
        <f t="shared" si="17"/>
        <v>7111p</v>
      </c>
      <c r="B107" s="540" t="str">
        <f>+VLOOKUP(LEFT($A107,LEN(A107)-1)*1,Master!$D$27:$G$225,4,FALSE)</f>
        <v>Porez na dohodak fizičkih lica</v>
      </c>
      <c r="C107" s="541"/>
      <c r="D107" s="541"/>
      <c r="E107" s="541"/>
      <c r="F107" s="541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125">
        <f t="shared" si="20"/>
        <v>120237518.04497004</v>
      </c>
      <c r="T107" s="126">
        <f t="shared" si="21"/>
        <v>2.4960560927730385E-2</v>
      </c>
    </row>
    <row r="108" spans="1:21">
      <c r="A108" s="137" t="str">
        <f t="shared" si="17"/>
        <v>7112p</v>
      </c>
      <c r="B108" s="540" t="str">
        <f>+VLOOKUP(LEFT($A108,LEN(A108)-1)*1,Master!$D$27:$G$225,4,FALSE)</f>
        <v>Porez na dobit pravnih lica</v>
      </c>
      <c r="C108" s="541"/>
      <c r="D108" s="541"/>
      <c r="E108" s="541"/>
      <c r="F108" s="541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125">
        <f t="shared" si="20"/>
        <v>71194860.131909981</v>
      </c>
      <c r="T108" s="126">
        <f t="shared" si="21"/>
        <v>1.477961016626393E-2</v>
      </c>
    </row>
    <row r="109" spans="1:21">
      <c r="A109" s="137" t="str">
        <f t="shared" si="17"/>
        <v>7113p</v>
      </c>
      <c r="B109" s="540" t="str">
        <f>+VLOOKUP(LEFT($A109,LEN(A109)-1)*1,Master!$D$27:$G$225,4,FALSE)</f>
        <v>Porez na promet nepokretnosti</v>
      </c>
      <c r="C109" s="541"/>
      <c r="D109" s="541"/>
      <c r="E109" s="541"/>
      <c r="F109" s="541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125">
        <f t="shared" si="20"/>
        <v>1862816.4104000002</v>
      </c>
      <c r="T109" s="126">
        <f t="shared" si="21"/>
        <v>3.8670910099437427E-4</v>
      </c>
    </row>
    <row r="110" spans="1:21">
      <c r="A110" s="137" t="str">
        <f t="shared" si="17"/>
        <v>7114p</v>
      </c>
      <c r="B110" s="540" t="str">
        <f>+VLOOKUP(LEFT($A110,LEN(A110)-1)*1,Master!$D$27:$G$225,4,FALSE)</f>
        <v>Porez na dodatu vrijednost</v>
      </c>
      <c r="C110" s="541"/>
      <c r="D110" s="541"/>
      <c r="E110" s="541"/>
      <c r="F110" s="541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125">
        <f t="shared" si="20"/>
        <v>657905657.67184997</v>
      </c>
      <c r="T110" s="126">
        <f t="shared" si="21"/>
        <v>0.1365771226820805</v>
      </c>
    </row>
    <row r="111" spans="1:21">
      <c r="A111" s="137" t="str">
        <f t="shared" si="17"/>
        <v>7115p</v>
      </c>
      <c r="B111" s="540" t="str">
        <f>+VLOOKUP(LEFT($A111,LEN(A111)-1)*1,Master!$D$27:$G$225,4,FALSE)</f>
        <v>Akcize</v>
      </c>
      <c r="C111" s="541"/>
      <c r="D111" s="541"/>
      <c r="E111" s="541"/>
      <c r="F111" s="541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234801605.29820004</v>
      </c>
      <c r="T111" s="126">
        <f t="shared" si="21"/>
        <v>4.8743352909053177E-2</v>
      </c>
    </row>
    <row r="112" spans="1:21">
      <c r="A112" s="137" t="str">
        <f t="shared" si="17"/>
        <v>7116p</v>
      </c>
      <c r="B112" s="540" t="str">
        <f>+VLOOKUP(LEFT($A112,LEN(A112)-1)*1,Master!$D$27:$G$225,4,FALSE)</f>
        <v>Porez na međunarodnu trgovinu i transakcije</v>
      </c>
      <c r="C112" s="541"/>
      <c r="D112" s="541"/>
      <c r="E112" s="541"/>
      <c r="F112" s="541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125">
        <f t="shared" si="20"/>
        <v>27167589.829800002</v>
      </c>
      <c r="T112" s="126">
        <f t="shared" si="21"/>
        <v>5.6398226795789999E-3</v>
      </c>
    </row>
    <row r="113" spans="1:20">
      <c r="A113" s="137" t="str">
        <f t="shared" si="17"/>
        <v>7118p</v>
      </c>
      <c r="B113" s="540" t="str">
        <f>+VLOOKUP(LEFT($A113,LEN(A113)-1)*1,Master!$D$27:$G$225,4,FALSE)</f>
        <v>Ostali državni porezi</v>
      </c>
      <c r="C113" s="541"/>
      <c r="D113" s="541"/>
      <c r="E113" s="541"/>
      <c r="F113" s="541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125">
        <f t="shared" si="20"/>
        <v>9499903.5996000003</v>
      </c>
      <c r="T113" s="126">
        <f t="shared" si="21"/>
        <v>1.9721209025347201E-3</v>
      </c>
    </row>
    <row r="114" spans="1:20">
      <c r="A114" s="137" t="str">
        <f t="shared" si="17"/>
        <v>712p</v>
      </c>
      <c r="B114" s="552" t="str">
        <f>+VLOOKUP(LEFT($A114,LEN(A114)-1)*1,Master!$D$27:$G$225,4,FALSE)</f>
        <v>Doprinosi</v>
      </c>
      <c r="C114" s="553"/>
      <c r="D114" s="553"/>
      <c r="E114" s="553"/>
      <c r="F114" s="553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127">
        <f t="shared" si="20"/>
        <v>534213514.07533062</v>
      </c>
      <c r="T114" s="128">
        <f t="shared" si="21"/>
        <v>0.11089940297592547</v>
      </c>
    </row>
    <row r="115" spans="1:20">
      <c r="A115" s="137" t="str">
        <f t="shared" si="17"/>
        <v>7121p</v>
      </c>
      <c r="B115" s="540" t="str">
        <f>+VLOOKUP(LEFT($A115,LEN(A115)-1)*1,Master!$D$27:$G$225,4,FALSE)</f>
        <v>Doprinosi za penzijsko i invalidsko osiguranje</v>
      </c>
      <c r="C115" s="541"/>
      <c r="D115" s="541"/>
      <c r="E115" s="541"/>
      <c r="F115" s="541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125">
        <f t="shared" si="20"/>
        <v>327876749.17454183</v>
      </c>
      <c r="T115" s="126">
        <f t="shared" si="21"/>
        <v>6.8065173896024955E-2</v>
      </c>
    </row>
    <row r="116" spans="1:20">
      <c r="A116" s="137" t="str">
        <f t="shared" si="17"/>
        <v>7122p</v>
      </c>
      <c r="B116" s="540" t="str">
        <f>+VLOOKUP(LEFT($A116,LEN(A116)-1)*1,Master!$D$27:$G$225,4,FALSE)</f>
        <v>Doprinosi za zdravstveno osiguranje</v>
      </c>
      <c r="C116" s="541"/>
      <c r="D116" s="541"/>
      <c r="E116" s="541"/>
      <c r="F116" s="541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125">
        <f t="shared" si="20"/>
        <v>178851341.72447601</v>
      </c>
      <c r="T116" s="126">
        <f t="shared" si="21"/>
        <v>3.7128426174353038E-2</v>
      </c>
    </row>
    <row r="117" spans="1:20">
      <c r="A117" s="137" t="str">
        <f t="shared" si="17"/>
        <v>7123p</v>
      </c>
      <c r="B117" s="540" t="str">
        <f>+VLOOKUP(LEFT($A117,LEN(A117)-1)*1,Master!$D$27:$G$225,4,FALSE)</f>
        <v>Doprinosi za osiguranje od nezaposlenosti</v>
      </c>
      <c r="C117" s="541"/>
      <c r="D117" s="541"/>
      <c r="E117" s="541"/>
      <c r="F117" s="541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125">
        <f t="shared" si="20"/>
        <v>14950709.439620741</v>
      </c>
      <c r="T117" s="126">
        <f t="shared" si="21"/>
        <v>3.10367429358343E-3</v>
      </c>
    </row>
    <row r="118" spans="1:20">
      <c r="A118" s="137" t="str">
        <f t="shared" si="17"/>
        <v>7124p</v>
      </c>
      <c r="B118" s="540" t="str">
        <f>+VLOOKUP(LEFT($A118,LEN(A118)-1)*1,Master!$D$27:$G$225,4,FALSE)</f>
        <v>Ostali doprinosi</v>
      </c>
      <c r="C118" s="541"/>
      <c r="D118" s="541"/>
      <c r="E118" s="541"/>
      <c r="F118" s="541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125">
        <f t="shared" si="20"/>
        <v>12534713.736692008</v>
      </c>
      <c r="T118" s="126">
        <f t="shared" si="21"/>
        <v>2.6021286119640463E-3</v>
      </c>
    </row>
    <row r="119" spans="1:20">
      <c r="A119" s="137" t="str">
        <f t="shared" si="17"/>
        <v>713p</v>
      </c>
      <c r="B119" s="550" t="str">
        <f>+VLOOKUP(LEFT($A119,LEN(A119)-1)*1,Master!$D$27:$G$225,4,FALSE)</f>
        <v>Takse</v>
      </c>
      <c r="C119" s="551"/>
      <c r="D119" s="551"/>
      <c r="E119" s="551"/>
      <c r="F119" s="551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127">
        <f t="shared" si="20"/>
        <v>15318488.925500004</v>
      </c>
      <c r="T119" s="128">
        <f t="shared" si="21"/>
        <v>3.1800230274438984E-3</v>
      </c>
    </row>
    <row r="120" spans="1:20">
      <c r="A120" s="137" t="str">
        <f t="shared" si="17"/>
        <v>714p</v>
      </c>
      <c r="B120" s="550" t="str">
        <f>+VLOOKUP(LEFT($A120,LEN(A120)-1)*1,Master!$D$27:$G$225,4,FALSE)</f>
        <v>Naknade</v>
      </c>
      <c r="C120" s="551"/>
      <c r="D120" s="551"/>
      <c r="E120" s="551"/>
      <c r="F120" s="551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127">
        <f t="shared" si="20"/>
        <v>31390844.861600004</v>
      </c>
      <c r="T120" s="128">
        <f t="shared" si="21"/>
        <v>6.5165441576051988E-3</v>
      </c>
    </row>
    <row r="121" spans="1:20">
      <c r="A121" s="137" t="str">
        <f t="shared" si="17"/>
        <v>715p</v>
      </c>
      <c r="B121" s="550" t="str">
        <f>+VLOOKUP(LEFT($A121,LEN(A121)-1)*1,Master!$D$27:$G$225,4,FALSE)</f>
        <v>Ostali prihodi</v>
      </c>
      <c r="C121" s="551"/>
      <c r="D121" s="551"/>
      <c r="E121" s="551"/>
      <c r="F121" s="551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127">
        <f t="shared" si="20"/>
        <v>77448450.912399963</v>
      </c>
      <c r="T121" s="128">
        <f t="shared" si="21"/>
        <v>1.607781671802536E-2</v>
      </c>
    </row>
    <row r="122" spans="1:20">
      <c r="A122" s="137" t="str">
        <f t="shared" si="17"/>
        <v>73p</v>
      </c>
      <c r="B122" s="550" t="str">
        <f>+VLOOKUP(LEFT($A122,LEN(A122)-1)*1,Master!$D$27:$G$225,4,FALSE)</f>
        <v>Primici od otplate kredita i sredstva prenesena iz prethodne godine</v>
      </c>
      <c r="C122" s="551"/>
      <c r="D122" s="551"/>
      <c r="E122" s="551"/>
      <c r="F122" s="551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127">
        <f t="shared" si="20"/>
        <v>8511664.0019999985</v>
      </c>
      <c r="T122" s="128">
        <f t="shared" si="21"/>
        <v>1.7669685084386868E-3</v>
      </c>
    </row>
    <row r="123" spans="1:20" ht="13.5" thickBot="1">
      <c r="A123" s="137" t="str">
        <f t="shared" si="17"/>
        <v>74p</v>
      </c>
      <c r="B123" s="554" t="str">
        <f>+VLOOKUP(LEFT($A123,LEN(A123)-1)*1,Master!$D$27:$G$225,4,FALSE)</f>
        <v>Donacije i transferi</v>
      </c>
      <c r="C123" s="555"/>
      <c r="D123" s="555"/>
      <c r="E123" s="555"/>
      <c r="F123" s="555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129">
        <f t="shared" si="20"/>
        <v>44480000</v>
      </c>
      <c r="T123" s="130">
        <f t="shared" si="21"/>
        <v>9.2337713562101673E-3</v>
      </c>
    </row>
    <row r="124" spans="1:20" ht="13.5" thickBot="1">
      <c r="A124" s="137" t="str">
        <f t="shared" si="17"/>
        <v>4p</v>
      </c>
      <c r="B124" s="556" t="str">
        <f>+VLOOKUP(LEFT($A124,LEN(A124)-1)*1,Master!$D$27:$G$225,4,FALSE)</f>
        <v>Budžetski izdaci</v>
      </c>
      <c r="C124" s="557"/>
      <c r="D124" s="557"/>
      <c r="E124" s="557"/>
      <c r="F124" s="557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131">
        <f>+SUM(G124:R124)</f>
        <v>1976630978.4000001</v>
      </c>
      <c r="T124" s="132">
        <f t="shared" si="21"/>
        <v>0.4103362974403687</v>
      </c>
    </row>
    <row r="125" spans="1:20" ht="13.5" thickBot="1">
      <c r="A125" s="137" t="str">
        <f t="shared" si="17"/>
        <v>40p</v>
      </c>
      <c r="B125" s="558" t="str">
        <f>+VLOOKUP(LEFT($A125,LEN(A125)-1)*1,Master!$D$27:$G$225,4,FALSE)</f>
        <v>Tekuća budžetska potrošnja</v>
      </c>
      <c r="C125" s="559"/>
      <c r="D125" s="559"/>
      <c r="E125" s="559"/>
      <c r="F125" s="559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133">
        <f t="shared" si="20"/>
        <v>1680705978.4000001</v>
      </c>
      <c r="T125" s="134">
        <f t="shared" si="21"/>
        <v>0.34890410794876586</v>
      </c>
    </row>
    <row r="126" spans="1:20">
      <c r="A126" s="137" t="str">
        <f t="shared" si="17"/>
        <v>41p</v>
      </c>
      <c r="B126" s="560" t="str">
        <f>+VLOOKUP(LEFT($A126,LEN(A126)-1)*1,Master!$D$27:$G$225,4,FALSE)</f>
        <v>Tekući izdaci</v>
      </c>
      <c r="C126" s="561"/>
      <c r="D126" s="561"/>
      <c r="E126" s="561"/>
      <c r="F126" s="561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123">
        <f t="shared" si="20"/>
        <v>846670934.61000013</v>
      </c>
      <c r="T126" s="124">
        <f t="shared" si="21"/>
        <v>0.17576362014697641</v>
      </c>
    </row>
    <row r="127" spans="1:20">
      <c r="A127" s="137" t="str">
        <f t="shared" si="17"/>
        <v>411p</v>
      </c>
      <c r="B127" s="540" t="str">
        <f>+VLOOKUP(LEFT($A127,LEN(A127)-1)*1,Master!$D$27:$G$225,4,FALSE)</f>
        <v>Bruto zarade i doprinosi na teret poslodavca</v>
      </c>
      <c r="C127" s="541"/>
      <c r="D127" s="541"/>
      <c r="E127" s="541"/>
      <c r="F127" s="541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125">
        <f t="shared" si="20"/>
        <v>472054247.1500001</v>
      </c>
      <c r="T127" s="126">
        <f t="shared" si="21"/>
        <v>9.799552576238818E-2</v>
      </c>
    </row>
    <row r="128" spans="1:20">
      <c r="A128" s="137" t="str">
        <f t="shared" si="17"/>
        <v>412p</v>
      </c>
      <c r="B128" s="540" t="str">
        <f>+VLOOKUP(LEFT($A128,LEN(A128)-1)*1,Master!$D$27:$G$225,4,FALSE)</f>
        <v>Ostala lična primanja</v>
      </c>
      <c r="C128" s="541"/>
      <c r="D128" s="541"/>
      <c r="E128" s="541"/>
      <c r="F128" s="541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125">
        <f t="shared" si="20"/>
        <v>15077125.449999996</v>
      </c>
      <c r="T128" s="126">
        <f t="shared" si="21"/>
        <v>3.129917471092565E-3</v>
      </c>
    </row>
    <row r="129" spans="1:20">
      <c r="A129" s="137" t="str">
        <f t="shared" si="17"/>
        <v>413p</v>
      </c>
      <c r="B129" s="540" t="str">
        <f>+VLOOKUP(LEFT($A129,LEN(A129)-1)*1,Master!$D$27:$G$225,4,FALSE)</f>
        <v>Rashodi za materijal</v>
      </c>
      <c r="C129" s="541"/>
      <c r="D129" s="541"/>
      <c r="E129" s="541"/>
      <c r="F129" s="541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7.6088990596001752E-3</v>
      </c>
    </row>
    <row r="130" spans="1:20">
      <c r="A130" s="137" t="str">
        <f t="shared" si="17"/>
        <v>414p</v>
      </c>
      <c r="B130" s="540" t="str">
        <f>+VLOOKUP(LEFT($A130,LEN(A130)-1)*1,Master!$D$27:$G$225,4,FALSE)</f>
        <v>Rashodi za usluge</v>
      </c>
      <c r="C130" s="541"/>
      <c r="D130" s="541"/>
      <c r="E130" s="541"/>
      <c r="F130" s="541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125">
        <f t="shared" si="20"/>
        <v>63127045.969999991</v>
      </c>
      <c r="T130" s="126">
        <f t="shared" si="21"/>
        <v>1.3104782124099559E-2</v>
      </c>
    </row>
    <row r="131" spans="1:20">
      <c r="A131" s="137" t="str">
        <f t="shared" si="17"/>
        <v>415p</v>
      </c>
      <c r="B131" s="540" t="str">
        <f>+VLOOKUP(LEFT($A131,LEN(A131)-1)*1,Master!$D$27:$G$225,4,FALSE)</f>
        <v>Rashodi za tekuće održavanje</v>
      </c>
      <c r="C131" s="541"/>
      <c r="D131" s="541"/>
      <c r="E131" s="541"/>
      <c r="F131" s="541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4.7991330053351608E-3</v>
      </c>
    </row>
    <row r="132" spans="1:20">
      <c r="A132" s="137" t="str">
        <f t="shared" si="17"/>
        <v>416p</v>
      </c>
      <c r="B132" s="540" t="str">
        <f>+VLOOKUP(LEFT($A132,LEN(A132)-1)*1,Master!$D$27:$G$225,4,FALSE)</f>
        <v>Kamate</v>
      </c>
      <c r="C132" s="541"/>
      <c r="D132" s="541"/>
      <c r="E132" s="541"/>
      <c r="F132" s="541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1.9877664985157042E-2</v>
      </c>
    </row>
    <row r="133" spans="1:20">
      <c r="A133" s="137" t="str">
        <f t="shared" si="17"/>
        <v>417p</v>
      </c>
      <c r="B133" s="540" t="str">
        <f>+VLOOKUP(LEFT($A133,LEN(A133)-1)*1,Master!$D$27:$G$225,4,FALSE)</f>
        <v>Renta</v>
      </c>
      <c r="C133" s="541"/>
      <c r="D133" s="541"/>
      <c r="E133" s="541"/>
      <c r="F133" s="541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2.0387996429386975E-3</v>
      </c>
    </row>
    <row r="134" spans="1:20">
      <c r="A134" s="137" t="str">
        <f t="shared" si="17"/>
        <v>418p</v>
      </c>
      <c r="B134" s="540" t="str">
        <f>+VLOOKUP(LEFT($A134,LEN(A134)-1)*1,Master!$D$27:$G$225,4,FALSE)</f>
        <v>Subvencije</v>
      </c>
      <c r="C134" s="541"/>
      <c r="D134" s="541"/>
      <c r="E134" s="541"/>
      <c r="F134" s="541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6.3969193082975221E-3</v>
      </c>
    </row>
    <row r="135" spans="1:20">
      <c r="A135" s="137" t="str">
        <f t="shared" si="17"/>
        <v>419p</v>
      </c>
      <c r="B135" s="540" t="str">
        <f>+VLOOKUP(LEFT($A135,LEN(A135)-1)*1,Master!$D$27:$G$225,4,FALSE)</f>
        <v>Ostali izdaci</v>
      </c>
      <c r="C135" s="541"/>
      <c r="D135" s="541"/>
      <c r="E135" s="541"/>
      <c r="F135" s="541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125">
        <f t="shared" si="20"/>
        <v>41196323.400000006</v>
      </c>
      <c r="T135" s="126">
        <f t="shared" si="21"/>
        <v>8.5521005169085142E-3</v>
      </c>
    </row>
    <row r="136" spans="1:20">
      <c r="A136" s="137" t="str">
        <f t="shared" si="17"/>
        <v>440p</v>
      </c>
      <c r="B136" s="540" t="str">
        <f>+VLOOKUP(LEFT($A136,LEN(A136)-1)*1,Master!$D$27:$G$225,4,FALSE)</f>
        <v>Kapitalni izdaci u tekućem budžetu</v>
      </c>
      <c r="C136" s="541"/>
      <c r="D136" s="541"/>
      <c r="E136" s="541"/>
      <c r="F136" s="541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125">
        <f t="shared" si="20"/>
        <v>59057059.620000012</v>
      </c>
      <c r="T136" s="126">
        <f t="shared" si="21"/>
        <v>1.2259878271158998E-2</v>
      </c>
    </row>
    <row r="137" spans="1:20">
      <c r="A137" s="137" t="str">
        <f t="shared" si="17"/>
        <v>42p</v>
      </c>
      <c r="B137" s="564" t="str">
        <f>+VLOOKUP(LEFT($A137,LEN(A137)-1)*1,Master!$D$27:$G$225,4,FALSE)</f>
        <v>Transferi za socijalnu zaštitu</v>
      </c>
      <c r="C137" s="565"/>
      <c r="D137" s="565"/>
      <c r="E137" s="565"/>
      <c r="F137" s="565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127">
        <f t="shared" si="20"/>
        <v>557842584.41999996</v>
      </c>
      <c r="T137" s="128">
        <f t="shared" si="21"/>
        <v>0.11580465101824748</v>
      </c>
    </row>
    <row r="138" spans="1:20">
      <c r="A138" s="137" t="str">
        <f t="shared" si="17"/>
        <v>421p</v>
      </c>
      <c r="B138" s="540" t="str">
        <f>+VLOOKUP(LEFT($A138,LEN(A138)-1)*1,Master!$D$27:$G$225,4,FALSE)</f>
        <v>Prava iz oblasti socijalne zaštite</v>
      </c>
      <c r="C138" s="541"/>
      <c r="D138" s="541"/>
      <c r="E138" s="541"/>
      <c r="F138" s="541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1.6813020281912356E-2</v>
      </c>
    </row>
    <row r="139" spans="1:20">
      <c r="A139" s="137" t="str">
        <f t="shared" si="17"/>
        <v>422p</v>
      </c>
      <c r="B139" s="540" t="str">
        <f>+VLOOKUP(LEFT($A139,LEN(A139)-1)*1,Master!$D$27:$G$225,4,FALSE)</f>
        <v>Sredstva za tehnološke viškove</v>
      </c>
      <c r="C139" s="541"/>
      <c r="D139" s="541"/>
      <c r="E139" s="541"/>
      <c r="F139" s="541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125">
        <f t="shared" si="20"/>
        <v>18202468.969999999</v>
      </c>
      <c r="T139" s="126">
        <f t="shared" si="21"/>
        <v>3.7787193477403416E-3</v>
      </c>
    </row>
    <row r="140" spans="1:20">
      <c r="A140" s="137" t="str">
        <f t="shared" si="17"/>
        <v>423p</v>
      </c>
      <c r="B140" s="540" t="str">
        <f>+VLOOKUP(LEFT($A140,LEN(A140)-1)*1,Master!$D$27:$G$225,4,FALSE)</f>
        <v>Prava iz oblasti penzijskog i invalidskog osiguranja</v>
      </c>
      <c r="C140" s="541"/>
      <c r="D140" s="541"/>
      <c r="E140" s="541"/>
      <c r="F140" s="541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8.9062924674596727E-2</v>
      </c>
    </row>
    <row r="141" spans="1:20">
      <c r="A141" s="137" t="str">
        <f t="shared" si="17"/>
        <v>424p</v>
      </c>
      <c r="B141" s="540" t="str">
        <f>+VLOOKUP(LEFT($A141,LEN(A141)-1)*1,Master!$D$27:$G$225,4,FALSE)</f>
        <v>Ostala prava iz oblasti zdravstvene zaštite</v>
      </c>
      <c r="C141" s="541"/>
      <c r="D141" s="541"/>
      <c r="E141" s="541"/>
      <c r="F141" s="541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3.9443025886944424E-3</v>
      </c>
    </row>
    <row r="142" spans="1:20">
      <c r="A142" s="137" t="str">
        <f t="shared" si="17"/>
        <v>425p</v>
      </c>
      <c r="B142" s="540" t="str">
        <f>+VLOOKUP(LEFT($A142,LEN(A142)-1)*1,Master!$D$27:$G$225,4,FALSE)</f>
        <v>Ostala prava iz zdravstvenog osiguranja</v>
      </c>
      <c r="C142" s="541"/>
      <c r="D142" s="541"/>
      <c r="E142" s="541"/>
      <c r="F142" s="541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2.2056841253036059E-3</v>
      </c>
    </row>
    <row r="143" spans="1:20">
      <c r="A143" s="137" t="str">
        <f t="shared" si="17"/>
        <v>43p</v>
      </c>
      <c r="B143" s="562" t="str">
        <f>+VLOOKUP(LEFT($A143,LEN(A143)-1)*1,Master!$D$27:$G$225,4,FALSE)</f>
        <v xml:space="preserve">Transferi institucijama, pojedincima, nevladinom i javnom sektoru </v>
      </c>
      <c r="C143" s="563"/>
      <c r="D143" s="563"/>
      <c r="E143" s="563"/>
      <c r="F143" s="563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127">
        <f>+SUM(G143:R143)</f>
        <v>220947786.96000001</v>
      </c>
      <c r="T143" s="128">
        <f t="shared" si="21"/>
        <v>4.5867386385999874E-2</v>
      </c>
    </row>
    <row r="144" spans="1:20">
      <c r="A144" s="137" t="str">
        <f t="shared" si="17"/>
        <v>44p</v>
      </c>
      <c r="B144" s="562" t="str">
        <f>+VLOOKUP(LEFT($A144,LEN(A144)-1)*1,Master!$D$27:$G$225,4,FALSE)</f>
        <v>Kapitalni budžet</v>
      </c>
      <c r="C144" s="563"/>
      <c r="D144" s="563"/>
      <c r="E144" s="563"/>
      <c r="F144" s="563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127">
        <f t="shared" si="20"/>
        <v>295925000</v>
      </c>
      <c r="T144" s="128">
        <f t="shared" si="21"/>
        <v>6.1432189491602833E-2</v>
      </c>
    </row>
    <row r="145" spans="1:20">
      <c r="A145" s="137" t="str">
        <f t="shared" si="17"/>
        <v>451p</v>
      </c>
      <c r="B145" s="566" t="str">
        <f>+VLOOKUP(LEFT($A145,LEN(A145)-1)*1,Master!$D$27:$G$225,4,FALSE)</f>
        <v>Pozajmice i krediti</v>
      </c>
      <c r="C145" s="567"/>
      <c r="D145" s="567"/>
      <c r="E145" s="567"/>
      <c r="F145" s="567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4.7331402711174765E-4</v>
      </c>
    </row>
    <row r="146" spans="1:20">
      <c r="A146" s="137" t="str">
        <f t="shared" si="17"/>
        <v>47p</v>
      </c>
      <c r="B146" s="566" t="str">
        <f>+VLOOKUP(LEFT($A146,LEN(A146)-1)*1,Master!$D$27:$G$225,4,FALSE)</f>
        <v>Rezerve</v>
      </c>
      <c r="C146" s="567"/>
      <c r="D146" s="567"/>
      <c r="E146" s="567"/>
      <c r="F146" s="567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125">
        <f t="shared" si="20"/>
        <v>24999999.999999996</v>
      </c>
      <c r="T146" s="126">
        <f t="shared" si="21"/>
        <v>5.1898445122584118E-3</v>
      </c>
    </row>
    <row r="147" spans="1:20">
      <c r="A147" s="137" t="str">
        <f t="shared" si="17"/>
        <v>462p</v>
      </c>
      <c r="B147" s="566" t="str">
        <f>+VLOOKUP(LEFT($A147,LEN(A147)-1)*1,Master!$D$27:$G$225,4,FALSE)</f>
        <v>Otplata garancija</v>
      </c>
      <c r="C147" s="567"/>
      <c r="D147" s="567"/>
      <c r="E147" s="567"/>
      <c r="F147" s="567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125">
        <f t="shared" si="20"/>
        <v>9434672.4100000001</v>
      </c>
      <c r="T147" s="126">
        <f t="shared" si="21"/>
        <v>1.9585793132797743E-3</v>
      </c>
    </row>
    <row r="148" spans="1:20">
      <c r="A148" s="138" t="str">
        <f>+CONCATENATE(A53,"p")</f>
        <v>4630p</v>
      </c>
      <c r="B148" s="566" t="str">
        <f>+VLOOKUP(LEFT($A148,LEN(A148)-1)*1,Master!$D$27:$G$225,4,FALSE)</f>
        <v>Otplata obaveza iz prethodnih godina</v>
      </c>
      <c r="C148" s="567"/>
      <c r="D148" s="567"/>
      <c r="E148" s="567"/>
      <c r="F148" s="567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107">
        <f>+SUM(G148:R148)</f>
        <v>18529999</v>
      </c>
      <c r="T148" s="108">
        <f>+S148/$T$7</f>
        <v>3.8467125448921552E-3</v>
      </c>
    </row>
    <row r="149" spans="1:20" ht="13.5" thickBot="1">
      <c r="A149" s="137"/>
      <c r="B149" s="576" t="s">
        <v>695</v>
      </c>
      <c r="C149" s="577"/>
      <c r="D149" s="577"/>
      <c r="E149" s="577"/>
      <c r="F149" s="577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72" t="str">
        <f>+VLOOKUP(LEFT($A150,LEN(A150)-1)*1,Master!$D$27:$G$225,4,FALSE)</f>
        <v>Suficit / deficit</v>
      </c>
      <c r="C150" s="573"/>
      <c r="D150" s="573"/>
      <c r="E150" s="573"/>
      <c r="F150" s="573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113">
        <f t="shared" si="20"/>
        <v>-142598064.63643947</v>
      </c>
      <c r="T150" s="114">
        <f t="shared" si="21"/>
        <v>-2.9602471328483832E-2</v>
      </c>
    </row>
    <row r="151" spans="1:20" ht="13.5" thickBot="1">
      <c r="A151" s="138" t="str">
        <f>+CONCATENATE(A56,"p")</f>
        <v>1001p</v>
      </c>
      <c r="B151" s="574" t="str">
        <f>+VLOOKUP(LEFT($A151,LEN(A151)-1)*1,Master!$D$27:$G$225,4,FALSE)</f>
        <v>Primarni bilans</v>
      </c>
      <c r="C151" s="575"/>
      <c r="D151" s="575"/>
      <c r="E151" s="575"/>
      <c r="F151" s="575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113">
        <f t="shared" si="20"/>
        <v>-46845364.63643948</v>
      </c>
      <c r="T151" s="114">
        <f t="shared" si="21"/>
        <v>-9.7248063433267896E-3</v>
      </c>
    </row>
    <row r="152" spans="1:20">
      <c r="A152" s="138" t="str">
        <f>+CONCATENATE(A57,"p")</f>
        <v>46p</v>
      </c>
      <c r="B152" s="564" t="str">
        <f>+VLOOKUP(LEFT($A152,LEN(A152)-1)*1,Master!$D$27:$G$225,4,FALSE)</f>
        <v>Otplata dugova</v>
      </c>
      <c r="C152" s="565"/>
      <c r="D152" s="565"/>
      <c r="E152" s="565"/>
      <c r="F152" s="565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7.7557036391189715E-2</v>
      </c>
    </row>
    <row r="153" spans="1:20">
      <c r="A153" s="138" t="str">
        <f>+CONCATENATE(A58,"p")</f>
        <v>4611p</v>
      </c>
      <c r="B153" s="568" t="str">
        <f>+VLOOKUP(LEFT($A153,LEN(A153)-1)*1,Master!$D$27:$G$225,4,FALSE)</f>
        <v>Otplata hartija od vrijednosti i kredita rezidentima</v>
      </c>
      <c r="C153" s="569"/>
      <c r="D153" s="569"/>
      <c r="E153" s="569"/>
      <c r="F153" s="569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9.1548857279275912E-3</v>
      </c>
    </row>
    <row r="154" spans="1:20" ht="13.5" thickBot="1">
      <c r="A154" s="138" t="str">
        <f>+CONCATENATE(A59,"p")</f>
        <v>4612p</v>
      </c>
      <c r="B154" s="566" t="str">
        <f>+VLOOKUP(LEFT($A154,LEN(A154)-1)*1,Master!$D$27:$G$225,4,FALSE)</f>
        <v>Otplata hartija od vrijednosti i kredita nerezidentima</v>
      </c>
      <c r="C154" s="567"/>
      <c r="D154" s="567"/>
      <c r="E154" s="567"/>
      <c r="F154" s="567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6.8402150663262121E-2</v>
      </c>
    </row>
    <row r="155" spans="1:20" ht="13.5" thickBot="1">
      <c r="A155" s="138"/>
      <c r="B155" s="476" t="s">
        <v>790</v>
      </c>
      <c r="C155" s="477"/>
      <c r="D155" s="477"/>
      <c r="E155" s="477"/>
      <c r="F155" s="477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8.3494218513213373E-3</v>
      </c>
    </row>
    <row r="156" spans="1:20" ht="13.5" thickBot="1">
      <c r="A156" s="138" t="str">
        <f t="shared" ref="A156:A161" si="30">+CONCATENATE(A61,"p")</f>
        <v>1002p</v>
      </c>
      <c r="B156" s="570" t="str">
        <f>+VLOOKUP(LEFT($A156,LEN(A156)-1)*1,Master!$D$27:$G$225,4,FALSE)</f>
        <v>Nedostajuća sredstva</v>
      </c>
      <c r="C156" s="571"/>
      <c r="D156" s="571"/>
      <c r="E156" s="571"/>
      <c r="F156" s="571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117">
        <f t="shared" si="20"/>
        <v>-556418064.63643956</v>
      </c>
      <c r="T156" s="118">
        <f t="shared" si="21"/>
        <v>-0.1155089295709949</v>
      </c>
    </row>
    <row r="157" spans="1:20" ht="13.5" thickBot="1">
      <c r="A157" s="138" t="str">
        <f t="shared" si="30"/>
        <v>1003p</v>
      </c>
      <c r="B157" s="556" t="str">
        <f>+VLOOKUP(LEFT($A157,LEN(A157)-1)*1,Master!$D$27:$G$225,4,FALSE)</f>
        <v>Finansiranje</v>
      </c>
      <c r="C157" s="557"/>
      <c r="D157" s="557"/>
      <c r="E157" s="557"/>
      <c r="F157" s="557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119">
        <f t="shared" si="20"/>
        <v>556418064.63643956</v>
      </c>
      <c r="T157" s="120">
        <f t="shared" si="21"/>
        <v>0.1155089295709949</v>
      </c>
    </row>
    <row r="158" spans="1:20">
      <c r="A158" s="138" t="str">
        <f t="shared" si="30"/>
        <v>7511p</v>
      </c>
      <c r="B158" s="568" t="str">
        <f>+VLOOKUP(LEFT($A158,LEN(A158)-1)*1,Master!$D$27:$G$225,4,FALSE)</f>
        <v>Pozajmice i krediti od domaćih izvora</v>
      </c>
      <c r="C158" s="569"/>
      <c r="D158" s="569"/>
      <c r="E158" s="569"/>
      <c r="F158" s="569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3.9442818293163935E-2</v>
      </c>
    </row>
    <row r="159" spans="1:20">
      <c r="A159" s="138" t="str">
        <f t="shared" si="30"/>
        <v>7512p</v>
      </c>
      <c r="B159" s="566" t="str">
        <f>+VLOOKUP(LEFT($A159,LEN(A159)-1)*1,Master!$D$27:$G$225,4,FALSE)</f>
        <v>Pozajmice i krediti od inostranih izvora</v>
      </c>
      <c r="C159" s="567"/>
      <c r="D159" s="567"/>
      <c r="E159" s="567"/>
      <c r="F159" s="567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107">
        <f t="shared" si="20"/>
        <v>180405268.74155378</v>
      </c>
      <c r="T159" s="108">
        <f t="shared" si="21"/>
        <v>3.745101175843428E-2</v>
      </c>
    </row>
    <row r="160" spans="1:20">
      <c r="A160" s="138" t="str">
        <f t="shared" si="30"/>
        <v>72p</v>
      </c>
      <c r="B160" s="566" t="str">
        <f>+VLOOKUP(LEFT($A160,LEN(A160)-1)*1,Master!$D$27:$G$225,4,FALSE)</f>
        <v>Primici od prodaje imovine</v>
      </c>
      <c r="C160" s="567"/>
      <c r="D160" s="567"/>
      <c r="E160" s="567"/>
      <c r="F160" s="567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1.2455626829420191E-3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111">
        <f t="shared" si="20"/>
        <v>180012795.89488566</v>
      </c>
      <c r="T161" s="112">
        <f t="shared" si="21"/>
        <v>3.7369536836454643E-2</v>
      </c>
    </row>
  </sheetData>
  <mergeCells count="118"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2"/>
  <sheetViews>
    <sheetView zoomScaleNormal="100" workbookViewId="0">
      <pane ySplit="1" topLeftCell="A2" activePane="bottomLeft" state="frozen"/>
      <selection pane="bottomLeft" activeCell="G65" sqref="G6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18" t="str">
        <f>+Master!G251</f>
        <v>Ostvarenje budžeta</v>
      </c>
      <c r="C7" s="499"/>
      <c r="D7" s="499"/>
      <c r="E7" s="499"/>
      <c r="F7" s="499"/>
      <c r="G7" s="507">
        <v>2018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+Master!G248</f>
        <v>BDP</v>
      </c>
      <c r="T7" s="261">
        <v>4663000000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tr">
        <f>+Master!G245</f>
        <v>Jan - Okt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 t="shared" ref="G10:R10" si="1">+G11+G19+SUM(G24:G28)</f>
        <v>81573046.349999994</v>
      </c>
      <c r="H10" s="176">
        <f t="shared" si="1"/>
        <v>107080107.34</v>
      </c>
      <c r="I10" s="176">
        <f t="shared" si="1"/>
        <v>138824742.16</v>
      </c>
      <c r="J10" s="176">
        <f t="shared" si="1"/>
        <v>156838196.73000002</v>
      </c>
      <c r="K10" s="176">
        <f t="shared" si="1"/>
        <v>138843146.69</v>
      </c>
      <c r="L10" s="176">
        <f t="shared" si="1"/>
        <v>140712902.74000001</v>
      </c>
      <c r="M10" s="176">
        <f t="shared" si="1"/>
        <v>160533597.69999999</v>
      </c>
      <c r="N10" s="176">
        <f t="shared" si="1"/>
        <v>161264030.17000002</v>
      </c>
      <c r="O10" s="176">
        <f t="shared" si="1"/>
        <v>187333296.65000001</v>
      </c>
      <c r="P10" s="176">
        <f t="shared" si="1"/>
        <v>145768654.70000002</v>
      </c>
      <c r="Q10" s="176">
        <f t="shared" si="1"/>
        <v>142235974.88999999</v>
      </c>
      <c r="R10" s="176">
        <f t="shared" si="1"/>
        <v>185010591.01999998</v>
      </c>
      <c r="S10" s="264">
        <f>+SUM(G10:R10)</f>
        <v>1746018287.1400003</v>
      </c>
      <c r="T10" s="265">
        <f>+S10/$T$7</f>
        <v>0.37444097944241911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6" si="3">+SUM(G11:R11)</f>
        <v>1068947201.3</v>
      </c>
      <c r="T11" s="268">
        <f t="shared" ref="T11:T67" si="4">+S11/$T$7</f>
        <v>0.22924023188934162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2.6784984357709634E-2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1.4619875279862748E-2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3.9375820716277074E-4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0.13229973813210383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4.7432563673600686E-2</v>
      </c>
    </row>
    <row r="17" spans="1:25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5.7119648273643575E-3</v>
      </c>
    </row>
    <row r="18" spans="1:25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1.9973474115376364E-3</v>
      </c>
    </row>
    <row r="19" spans="1:25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0.11246839253699335</v>
      </c>
    </row>
    <row r="20" spans="1:25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6.7978331177353635E-2</v>
      </c>
    </row>
    <row r="21" spans="1:25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3.9040481524769459E-2</v>
      </c>
    </row>
    <row r="22" spans="1:25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2.9145608771177357E-3</v>
      </c>
    </row>
    <row r="23" spans="1:25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2.5350189577525201E-3</v>
      </c>
      <c r="Y23" s="379"/>
    </row>
    <row r="24" spans="1:25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f>+INDEX(DataEx!$1:$1048576,MATCH('2018'!$A24,DataEx!$D:$D,0),MATCH('2018'!G$6,DataEx!$7:$7,0))</f>
        <v>814937.81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1111103.6599999999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1616613.01</v>
      </c>
      <c r="M24" s="200">
        <f>+INDEX(DataEx!$1:$1048576,MATCH('2018'!$A24,DataEx!$D:$D,0),MATCH('2018'!M$6,DataEx!$7:$7,0))</f>
        <v>2005608.26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1572482.29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1446961.78</v>
      </c>
      <c r="S24" s="272">
        <f t="shared" si="3"/>
        <v>16901007.650000002</v>
      </c>
      <c r="T24" s="273">
        <f t="shared" si="4"/>
        <v>3.6244923118164277E-3</v>
      </c>
      <c r="Y24" s="379"/>
    </row>
    <row r="25" spans="1:25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5.6657814883122456E-3</v>
      </c>
      <c r="W25" s="366"/>
    </row>
    <row r="26" spans="1:25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f>+INDEX(DataEx!$1:$1048576,MATCH('2018'!$A26,DataEx!$D:$D,0),MATCH('2018'!G$6,DataEx!$7:$7,0))</f>
        <v>2425522.83</v>
      </c>
      <c r="H26" s="200">
        <f>+INDEX(DataEx!$1:$1048576,MATCH('2018'!$A26,DataEx!$D:$D,0),MATCH('2018'!H$6,DataEx!$7:$7,0))</f>
        <v>1609741.15</v>
      </c>
      <c r="I26" s="200">
        <f>+INDEX(DataEx!$1:$1048576,MATCH('2018'!$A26,DataEx!$D:$D,0),MATCH('2018'!I$6,DataEx!$7:$7,0))</f>
        <v>1991465.56</v>
      </c>
      <c r="J26" s="200">
        <f>+INDEX(DataEx!$1:$1048576,MATCH('2018'!$A26,DataEx!$D:$D,0),MATCH('2018'!J$6,DataEx!$7:$7,0))</f>
        <v>5482661.4299999997</v>
      </c>
      <c r="K26" s="200">
        <f>+INDEX(DataEx!$1:$1048576,MATCH('2018'!$A26,DataEx!$D:$D,0),MATCH('2018'!K$6,DataEx!$7:$7,0))</f>
        <v>2151496.35</v>
      </c>
      <c r="L26" s="200">
        <f>+INDEX(DataEx!$1:$1048576,MATCH('2018'!$A26,DataEx!$D:$D,0),MATCH('2018'!L$6,DataEx!$7:$7,0))</f>
        <v>2746748.26</v>
      </c>
      <c r="M26" s="200">
        <f>+INDEX(DataEx!$1:$1048576,MATCH('2018'!$A26,DataEx!$D:$D,0),MATCH('2018'!M$6,DataEx!$7:$7,0))</f>
        <v>3904620.91</v>
      </c>
      <c r="N26" s="200">
        <f>+INDEX(DataEx!$1:$1048576,MATCH('2018'!$A26,DataEx!$D:$D,0),MATCH('2018'!N$6,DataEx!$7:$7,0))</f>
        <v>3453591.6</v>
      </c>
      <c r="O26" s="200">
        <f>+INDEX(DataEx!$1:$1048576,MATCH('2018'!$A26,DataEx!$D:$D,0),MATCH('2018'!O$6,DataEx!$7:$7,0))</f>
        <v>37485104.390000001</v>
      </c>
      <c r="P26" s="200">
        <f>+INDEX(DataEx!$1:$1048576,MATCH('2018'!$A26,DataEx!$D:$D,0),MATCH('2018'!P$6,DataEx!$7:$7,0))</f>
        <v>2268381.7599999998</v>
      </c>
      <c r="Q26" s="200">
        <f>+INDEX(DataEx!$1:$1048576,MATCH('2018'!$A26,DataEx!$D:$D,0),MATCH('2018'!Q$6,DataEx!$7:$7,0))</f>
        <v>3459602.91</v>
      </c>
      <c r="R26" s="274">
        <f>+INDEX(DataEx!$1:$1048576,MATCH('2018'!$A26,DataEx!$D:$D,0),MATCH('2018'!R$6,DataEx!$7:$7,0))</f>
        <v>4336127.47</v>
      </c>
      <c r="S26" s="272">
        <f t="shared" si="3"/>
        <v>71315064.620000005</v>
      </c>
      <c r="T26" s="273">
        <f t="shared" si="4"/>
        <v>1.5293816131245979E-2</v>
      </c>
    </row>
    <row r="27" spans="1:25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2374596.09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942551.18</v>
      </c>
      <c r="S27" s="272">
        <f t="shared" si="3"/>
        <v>11285945.1</v>
      </c>
      <c r="T27" s="273">
        <f t="shared" si="4"/>
        <v>2.4203184859532489E-3</v>
      </c>
    </row>
    <row r="28" spans="1:25" ht="13.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716886.96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1526648.73</v>
      </c>
      <c r="Q28" s="200">
        <f>+INDEX(DataEx!$1:$1048576,MATCH('2018'!$A28,DataEx!$D:$D,0),MATCH('2018'!Q$6,DataEx!$7:$7,0))</f>
        <v>4414865.1500000004</v>
      </c>
      <c r="R28" s="274">
        <f>+INDEX(DataEx!$1:$1048576,MATCH('2018'!$A28,DataEx!$D:$D,0),MATCH('2018'!R$6,DataEx!$7:$7,0))</f>
        <v>3855321.16</v>
      </c>
      <c r="S28" s="272">
        <f t="shared" si="3"/>
        <v>26709414.990000006</v>
      </c>
      <c r="T28" s="276">
        <f t="shared" si="4"/>
        <v>5.7279465987561664E-3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106111880.91999999</v>
      </c>
      <c r="H29" s="176">
        <f t="shared" ref="H29:R29" si="5">+H31+H42+H48+SUM(H49:H53)</f>
        <v>118973047.13999999</v>
      </c>
      <c r="I29" s="176">
        <f t="shared" si="5"/>
        <v>172441842.06000003</v>
      </c>
      <c r="J29" s="176">
        <f t="shared" si="5"/>
        <v>163080353.41</v>
      </c>
      <c r="K29" s="176">
        <f t="shared" si="5"/>
        <v>141760488.21000001</v>
      </c>
      <c r="L29" s="176">
        <f t="shared" si="5"/>
        <v>162100744.01999998</v>
      </c>
      <c r="M29" s="176">
        <f t="shared" si="5"/>
        <v>155869732.34999999</v>
      </c>
      <c r="N29" s="176">
        <f t="shared" si="5"/>
        <v>127160004.33</v>
      </c>
      <c r="O29" s="176">
        <f t="shared" si="5"/>
        <v>166113295.93000001</v>
      </c>
      <c r="P29" s="176">
        <f t="shared" si="5"/>
        <v>158133326.80000001</v>
      </c>
      <c r="Q29" s="176">
        <f t="shared" si="5"/>
        <v>187133728.62</v>
      </c>
      <c r="R29" s="176">
        <f t="shared" si="5"/>
        <v>256047363.06999999</v>
      </c>
      <c r="S29" s="277">
        <f t="shared" si="3"/>
        <v>1914925806.8599999</v>
      </c>
      <c r="T29" s="278">
        <f t="shared" si="4"/>
        <v>0.41066390882693543</v>
      </c>
    </row>
    <row r="30" spans="1:25" ht="13.5" thickBot="1">
      <c r="A30" s="175">
        <v>40</v>
      </c>
      <c r="B30" s="480" t="str">
        <f>+VLOOKUP($A30,Master!$D$27:$G$225,4,FALSE)</f>
        <v>Tekuća budžetska potrošnja</v>
      </c>
      <c r="C30" s="481"/>
      <c r="D30" s="481"/>
      <c r="E30" s="481"/>
      <c r="F30" s="481"/>
      <c r="G30" s="206">
        <f>+G29-G49</f>
        <v>104051306.64999999</v>
      </c>
      <c r="H30" s="206">
        <f t="shared" ref="H30:R30" si="6">+H29-H49</f>
        <v>116014651.64999999</v>
      </c>
      <c r="I30" s="206">
        <f t="shared" si="6"/>
        <v>161635336.39000005</v>
      </c>
      <c r="J30" s="206">
        <f t="shared" si="6"/>
        <v>134304861.93000001</v>
      </c>
      <c r="K30" s="206">
        <f t="shared" si="6"/>
        <v>129446129.29000001</v>
      </c>
      <c r="L30" s="206">
        <f t="shared" si="6"/>
        <v>139850147.45999998</v>
      </c>
      <c r="M30" s="206">
        <f t="shared" si="6"/>
        <v>133650268.63</v>
      </c>
      <c r="N30" s="206">
        <f t="shared" si="6"/>
        <v>120092933.75999999</v>
      </c>
      <c r="O30" s="206">
        <f t="shared" si="6"/>
        <v>127759879.86000001</v>
      </c>
      <c r="P30" s="206">
        <f t="shared" si="6"/>
        <v>130847228.48000002</v>
      </c>
      <c r="Q30" s="206">
        <f t="shared" si="6"/>
        <v>162421720.44</v>
      </c>
      <c r="R30" s="206">
        <f t="shared" si="6"/>
        <v>211488892.13999999</v>
      </c>
      <c r="S30" s="431">
        <f t="shared" si="3"/>
        <v>1671563356.6800003</v>
      </c>
      <c r="T30" s="280">
        <f t="shared" si="4"/>
        <v>0.35847380585031102</v>
      </c>
    </row>
    <row r="31" spans="1:25">
      <c r="A31" s="175">
        <v>41</v>
      </c>
      <c r="B31" s="482" t="str">
        <f>+VLOOKUP($A31,Master!$D$27:$G$225,4,FALSE)</f>
        <v>Tekući izdaci</v>
      </c>
      <c r="C31" s="483"/>
      <c r="D31" s="483"/>
      <c r="E31" s="483"/>
      <c r="F31" s="483"/>
      <c r="G31" s="212">
        <f>+SUM(G32:G41)</f>
        <v>48875827.799999997</v>
      </c>
      <c r="H31" s="212">
        <f t="shared" ref="H31:R31" si="7">+SUM(H32:H41)</f>
        <v>54703640.709999993</v>
      </c>
      <c r="I31" s="212">
        <f t="shared" si="7"/>
        <v>95706627.480000019</v>
      </c>
      <c r="J31" s="212">
        <f t="shared" si="7"/>
        <v>72361165.059999987</v>
      </c>
      <c r="K31" s="212">
        <f t="shared" si="7"/>
        <v>66899583.370000005</v>
      </c>
      <c r="L31" s="212">
        <f t="shared" si="7"/>
        <v>72162166.459999993</v>
      </c>
      <c r="M31" s="212">
        <f t="shared" si="7"/>
        <v>62873678.450000003</v>
      </c>
      <c r="N31" s="212">
        <f t="shared" si="7"/>
        <v>54571129.889999993</v>
      </c>
      <c r="O31" s="212">
        <f t="shared" si="7"/>
        <v>63478184.120000005</v>
      </c>
      <c r="P31" s="212">
        <f t="shared" si="7"/>
        <v>65885930.929999992</v>
      </c>
      <c r="Q31" s="212">
        <f t="shared" si="7"/>
        <v>94991094.110000014</v>
      </c>
      <c r="R31" s="281">
        <f t="shared" si="7"/>
        <v>114128464.19999999</v>
      </c>
      <c r="S31" s="432">
        <f t="shared" si="3"/>
        <v>866637492.57999992</v>
      </c>
      <c r="T31" s="268">
        <f t="shared" si="4"/>
        <v>0.18585406231610549</v>
      </c>
    </row>
    <row r="32" spans="1:25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9.8605240092215315E-2</v>
      </c>
    </row>
    <row r="33" spans="1:22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2.8335707076989061E-3</v>
      </c>
      <c r="U33" s="367"/>
    </row>
    <row r="34" spans="1:22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f>+INDEX(DataEx!$1:$1048576,MATCH('2018'!$A34,DataEx!$D:$D,0),MATCH('2018'!G$6,DataEx!$7:$7,0))</f>
        <v>1028193.82</v>
      </c>
      <c r="H34" s="188">
        <f>+INDEX(DataEx!$1:$1048576,MATCH('2018'!$A34,DataEx!$D:$D,0),MATCH('2018'!H$6,DataEx!$7:$7,0))</f>
        <v>2319006.39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2444213.75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2858658.74</v>
      </c>
      <c r="N34" s="188">
        <f>+INDEX(DataEx!$1:$1048576,MATCH('2018'!$A34,DataEx!$D:$D,0),MATCH('2018'!N$6,DataEx!$7:$7,0))</f>
        <v>2380224.89</v>
      </c>
      <c r="O34" s="188">
        <f>+INDEX(DataEx!$1:$1048576,MATCH('2018'!$A34,DataEx!$D:$D,0),MATCH('2018'!O$6,DataEx!$7:$7,0))</f>
        <v>1933588.85</v>
      </c>
      <c r="P34" s="188">
        <f>+INDEX(DataEx!$1:$1048576,MATCH('2018'!$A34,DataEx!$D:$D,0),MATCH('2018'!P$6,DataEx!$7:$7,0))</f>
        <v>2993464.74</v>
      </c>
      <c r="Q34" s="188">
        <f>+INDEX(DataEx!$1:$1048576,MATCH('2018'!$A34,DataEx!$D:$D,0),MATCH('2018'!Q$6,DataEx!$7:$7,0))</f>
        <v>3031428.93</v>
      </c>
      <c r="R34" s="188">
        <f>+INDEX(DataEx!$1:$1048576,MATCH('2018'!$A34,DataEx!$D:$D,0),MATCH('2018'!R$6,DataEx!$7:$7,0))</f>
        <v>8894630.3100000005</v>
      </c>
      <c r="S34" s="269">
        <f t="shared" si="3"/>
        <v>36731134.720000006</v>
      </c>
      <c r="T34" s="270">
        <f t="shared" si="4"/>
        <v>7.877146626635214E-3</v>
      </c>
      <c r="U34" s="385"/>
      <c r="V34" s="365"/>
    </row>
    <row r="35" spans="1:22">
      <c r="A35" s="175">
        <v>414</v>
      </c>
      <c r="B35" s="470" t="str">
        <f>+VLOOKUP($A35,Master!$D$27:$G$225,4,FALSE)</f>
        <v>Rashodi za usluge</v>
      </c>
      <c r="C35" s="471"/>
      <c r="D35" s="471"/>
      <c r="E35" s="471"/>
      <c r="F35" s="471"/>
      <c r="G35" s="188">
        <f>+INDEX(DataEx!$1:$1048576,MATCH('2018'!$A35,DataEx!$D:$D,0),MATCH('2018'!G$6,DataEx!$7:$7,0))</f>
        <v>1680235.02</v>
      </c>
      <c r="H35" s="188">
        <f>+INDEX(DataEx!$1:$1048576,MATCH('2018'!$A35,DataEx!$D:$D,0),MATCH('2018'!H$6,DataEx!$7:$7,0))</f>
        <v>3138627.78</v>
      </c>
      <c r="I35" s="188">
        <f>+INDEX(DataEx!$1:$1048576,MATCH('2018'!$A35,DataEx!$D:$D,0),MATCH('2018'!I$6,DataEx!$7:$7,0))</f>
        <v>4224659.0199999996</v>
      </c>
      <c r="J35" s="188">
        <f>+INDEX(DataEx!$1:$1048576,MATCH('2018'!$A35,DataEx!$D:$D,0),MATCH('2018'!J$6,DataEx!$7:$7,0))</f>
        <v>4569774.72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14378872.84</v>
      </c>
      <c r="M35" s="188">
        <f>+INDEX(DataEx!$1:$1048576,MATCH('2018'!$A35,DataEx!$D:$D,0),MATCH('2018'!M$6,DataEx!$7:$7,0))</f>
        <v>4934074.01</v>
      </c>
      <c r="N35" s="188">
        <f>+INDEX(DataEx!$1:$1048576,MATCH('2018'!$A35,DataEx!$D:$D,0),MATCH('2018'!N$6,DataEx!$7:$7,0))</f>
        <v>3590546.61</v>
      </c>
      <c r="O35" s="188">
        <f>+INDEX(DataEx!$1:$1048576,MATCH('2018'!$A35,DataEx!$D:$D,0),MATCH('2018'!O$6,DataEx!$7:$7,0))</f>
        <v>5520674.5999999996</v>
      </c>
      <c r="P35" s="188">
        <f>+INDEX(DataEx!$1:$1048576,MATCH('2018'!$A35,DataEx!$D:$D,0),MATCH('2018'!P$6,DataEx!$7:$7,0))</f>
        <v>5584761.9900000002</v>
      </c>
      <c r="Q35" s="188">
        <f>+INDEX(DataEx!$1:$1048576,MATCH('2018'!$A35,DataEx!$D:$D,0),MATCH('2018'!Q$6,DataEx!$7:$7,0))</f>
        <v>5166021.46</v>
      </c>
      <c r="R35" s="188">
        <f>+INDEX(DataEx!$1:$1048576,MATCH('2018'!$A35,DataEx!$D:$D,0),MATCH('2018'!R$6,DataEx!$7:$7,0))</f>
        <v>17447882.190000001</v>
      </c>
      <c r="S35" s="269">
        <f t="shared" si="3"/>
        <v>75138922.689999998</v>
      </c>
      <c r="T35" s="270">
        <f t="shared" si="4"/>
        <v>1.6113858608192151E-2</v>
      </c>
    </row>
    <row r="36" spans="1:22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1250394.3700000001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1701228.15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1595157.28</v>
      </c>
      <c r="M36" s="188">
        <f>+INDEX(DataEx!$1:$1048576,MATCH('2018'!$A36,DataEx!$D:$D,0),MATCH('2018'!M$6,DataEx!$7:$7,0))</f>
        <v>1764069.48</v>
      </c>
      <c r="N36" s="188">
        <f>+INDEX(DataEx!$1:$1048576,MATCH('2018'!$A36,DataEx!$D:$D,0),MATCH('2018'!N$6,DataEx!$7:$7,0))</f>
        <v>822546.3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1824056.36</v>
      </c>
      <c r="Q36" s="188">
        <f>+INDEX(DataEx!$1:$1048576,MATCH('2018'!$A36,DataEx!$D:$D,0),MATCH('2018'!Q$6,DataEx!$7:$7,0))</f>
        <v>1126241.5900000001</v>
      </c>
      <c r="R36" s="188">
        <f>+INDEX(DataEx!$1:$1048576,MATCH('2018'!$A36,DataEx!$D:$D,0),MATCH('2018'!R$6,DataEx!$7:$7,0))</f>
        <v>4866689.49</v>
      </c>
      <c r="S36" s="269">
        <f t="shared" si="3"/>
        <v>20973232.77</v>
      </c>
      <c r="T36" s="270">
        <f t="shared" si="4"/>
        <v>4.4977981492601328E-3</v>
      </c>
    </row>
    <row r="37" spans="1:22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17000784.449999999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7518062.3499999996</v>
      </c>
      <c r="N37" s="188">
        <f>+INDEX(DataEx!$1:$1048576,MATCH('2018'!$A37,DataEx!$D:$D,0),MATCH('2018'!N$6,DataEx!$7:$7,0))</f>
        <v>1168435.74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5677848.6699999999</v>
      </c>
      <c r="S37" s="269">
        <f>+SUM(G37:R37)</f>
        <v>97597309.48999998</v>
      </c>
      <c r="T37" s="270">
        <f t="shared" si="4"/>
        <v>2.0930154297662446E-2</v>
      </c>
    </row>
    <row r="38" spans="1:22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939048.68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824828.88</v>
      </c>
      <c r="N38" s="188">
        <f>+INDEX(DataEx!$1:$1048576,MATCH('2018'!$A38,DataEx!$D:$D,0),MATCH('2018'!N$6,DataEx!$7:$7,0))</f>
        <v>555711.06999999995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827176.94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2717616.81</v>
      </c>
      <c r="S38" s="269">
        <f t="shared" si="3"/>
        <v>10699128.550000001</v>
      </c>
      <c r="T38" s="270">
        <f t="shared" si="4"/>
        <v>2.2944732039459578E-3</v>
      </c>
    </row>
    <row r="39" spans="1:22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6.5539105661591244E-3</v>
      </c>
    </row>
    <row r="40" spans="1:22">
      <c r="A40" s="175">
        <v>419</v>
      </c>
      <c r="B40" s="470" t="str">
        <f>+VLOOKUP($A40,Master!$D$27:$G$225,4,FALSE)</f>
        <v>Ostali izdaci</v>
      </c>
      <c r="C40" s="471"/>
      <c r="D40" s="471"/>
      <c r="E40" s="471"/>
      <c r="F40" s="471"/>
      <c r="G40" s="188">
        <f>+INDEX(DataEx!$1:$1048576,MATCH('2018'!$A40,DataEx!$D:$D,0),MATCH('2018'!G$6,DataEx!$7:$7,0))</f>
        <v>586002.18999999994</v>
      </c>
      <c r="H40" s="188">
        <f>+INDEX(DataEx!$1:$1048576,MATCH('2018'!$A40,DataEx!$D:$D,0),MATCH('2018'!H$6,DataEx!$7:$7,0))</f>
        <v>3384331.52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2882966.63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3635960.61</v>
      </c>
      <c r="M40" s="188">
        <f>+INDEX(DataEx!$1:$1048576,MATCH('2018'!$A40,DataEx!$D:$D,0),MATCH('2018'!M$6,DataEx!$7:$7,0))</f>
        <v>2919935.46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3201193.66</v>
      </c>
      <c r="P40" s="188">
        <f>+INDEX(DataEx!$1:$1048576,MATCH('2018'!$A40,DataEx!$D:$D,0),MATCH('2018'!P$6,DataEx!$7:$7,0))</f>
        <v>3091262.43</v>
      </c>
      <c r="Q40" s="188">
        <f>+INDEX(DataEx!$1:$1048576,MATCH('2018'!$A40,DataEx!$D:$D,0),MATCH('2018'!Q$6,DataEx!$7:$7,0))</f>
        <v>3357403.41</v>
      </c>
      <c r="R40" s="188">
        <f>+INDEX(DataEx!$1:$1048576,MATCH('2018'!$A40,DataEx!$D:$D,0),MATCH('2018'!R$6,DataEx!$7:$7,0))</f>
        <v>12250161.189999999</v>
      </c>
      <c r="S40" s="269">
        <f t="shared" si="3"/>
        <v>43556427.669999994</v>
      </c>
      <c r="T40" s="270">
        <f t="shared" si="4"/>
        <v>9.3408594617199209E-3</v>
      </c>
    </row>
    <row r="41" spans="1:22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</v>
      </c>
      <c r="L41" s="188">
        <f>+INDEX(DataEx!$1:$1048576,MATCH('2018'!$A41,DataEx!$D:$D,0),MATCH('2018'!L$6,DataEx!$7:$7,0))</f>
        <v>5031700.74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5912379.6799999997</v>
      </c>
      <c r="Q41" s="188">
        <f>+INDEX(DataEx!$1:$1048576,MATCH('2018'!$A41,DataEx!$D:$D,0),MATCH('2018'!Q$6,DataEx!$7:$7,0))</f>
        <v>28699706.960000001</v>
      </c>
      <c r="R41" s="188">
        <f>+INDEX(DataEx!$1:$1048576,MATCH('2018'!$A41,DataEx!$D:$D,0),MATCH('2018'!R$6,DataEx!$7:$7,0))</f>
        <v>17413656</v>
      </c>
      <c r="S41" s="269">
        <f t="shared" si="3"/>
        <v>78371276.960000008</v>
      </c>
      <c r="T41" s="270">
        <f t="shared" si="4"/>
        <v>1.6807050602616343E-2</v>
      </c>
    </row>
    <row r="42" spans="1:22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0.11676722527986276</v>
      </c>
    </row>
    <row r="43" spans="1:22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1.7648463324040319E-2</v>
      </c>
    </row>
    <row r="44" spans="1:22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3.0445618571734931E-3</v>
      </c>
    </row>
    <row r="45" spans="1:22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8.8944942268925589E-2</v>
      </c>
    </row>
    <row r="46" spans="1:22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4.2901199399528207E-3</v>
      </c>
    </row>
    <row r="47" spans="1:22">
      <c r="A47" s="175">
        <v>425</v>
      </c>
      <c r="B47" s="578" t="str">
        <f>+VLOOKUP($A47,Master!$D$27:$G$225,4,FALSE)</f>
        <v>Ostala prava iz zdravstvenog osiguranja</v>
      </c>
      <c r="C47" s="579"/>
      <c r="D47" s="579"/>
      <c r="E47" s="579"/>
      <c r="F47" s="579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2.839137889770534E-3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15696656.369999999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16865388.859999999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208728055.53999996</v>
      </c>
      <c r="T48" s="273">
        <f t="shared" si="4"/>
        <v>4.4762611095861028E-2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22250596.559999999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24712008.18</v>
      </c>
      <c r="R49" s="200">
        <f>+INDEX(DataEx!$1:$1048576,MATCH('2018'!$A49,DataEx!$D:$D,0),MATCH('2018'!R$6,DataEx!$7:$7,0))</f>
        <v>44558470.93</v>
      </c>
      <c r="S49" s="272">
        <f t="shared" si="3"/>
        <v>243362450.18000001</v>
      </c>
      <c r="T49" s="273">
        <f t="shared" si="4"/>
        <v>5.2190102976624492E-2</v>
      </c>
    </row>
    <row r="50" spans="1:22">
      <c r="A50" s="175">
        <v>451</v>
      </c>
      <c r="B50" s="525" t="str">
        <f>+VLOOKUP($A50,Master!$D$27:$G$225,4,FALSE)</f>
        <v>Pozajmice i krediti</v>
      </c>
      <c r="C50" s="526"/>
      <c r="D50" s="526"/>
      <c r="E50" s="526"/>
      <c r="F50" s="526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9.8571070126527989E-4</v>
      </c>
    </row>
    <row r="51" spans="1:22">
      <c r="A51" s="175">
        <v>47</v>
      </c>
      <c r="B51" s="488" t="str">
        <f>+VLOOKUP($A51,Master!$D$27:$G$225,4,FALSE)</f>
        <v>Rezerve</v>
      </c>
      <c r="C51" s="489"/>
      <c r="D51" s="489"/>
      <c r="E51" s="489"/>
      <c r="F51" s="489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5.1227750482521987E-3</v>
      </c>
      <c r="U51" s="454"/>
    </row>
    <row r="52" spans="1:22" ht="13.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29" t="str">
        <f>+VLOOKUP($A53,Master!$D$27:$G$225,4,TRUE)</f>
        <v>Otplata obaveza iz prethodnih godina</v>
      </c>
      <c r="C53" s="530"/>
      <c r="D53" s="530"/>
      <c r="E53" s="530"/>
      <c r="F53" s="530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4562283.55</v>
      </c>
      <c r="N53" s="224">
        <f>+INDEX(DataEx!$1:$1048576,MATCH('2018'!$A53,DataEx!$D:$D,0),MATCH('2018'!N$6,DataEx!$7:$7,0))</f>
        <v>924617.69</v>
      </c>
      <c r="O53" s="224">
        <f>+INDEX(DataEx!$1:$1048576,MATCH('2018'!$A53,DataEx!$D:$D,0),MATCH('2018'!O$6,DataEx!$7:$7,0))</f>
        <v>872755.39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1578931.59</v>
      </c>
      <c r="S53" s="433">
        <f>+SUM(G53:R53)</f>
        <v>23228368.030000001</v>
      </c>
      <c r="T53" s="284">
        <f>+S53/$T$7</f>
        <v>4.9814214089641861E-3</v>
      </c>
    </row>
    <row r="54" spans="1:22" ht="13.5" thickBot="1">
      <c r="A54" s="71">
        <v>1005</v>
      </c>
      <c r="B54" s="531" t="str">
        <f>+VLOOKUP($A54,Master!$D$27:$G$227,4,FALSE)</f>
        <v>Neto povećanje obaveza</v>
      </c>
      <c r="C54" s="532"/>
      <c r="D54" s="532"/>
      <c r="E54" s="532"/>
      <c r="F54" s="53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28097590.27</v>
      </c>
      <c r="S54" s="135">
        <f>+SUM(G54:R54)</f>
        <v>28097590.27</v>
      </c>
      <c r="T54" s="136">
        <f>+S54/$T$7</f>
        <v>6.0256466373579242E-3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-24538834.569999993</v>
      </c>
      <c r="H55" s="176">
        <f t="shared" si="9"/>
        <v>-11892939.799999982</v>
      </c>
      <c r="I55" s="176">
        <f t="shared" si="9"/>
        <v>-33617099.900000036</v>
      </c>
      <c r="J55" s="176">
        <f t="shared" si="9"/>
        <v>-6242156.6799999774</v>
      </c>
      <c r="K55" s="176">
        <f t="shared" si="9"/>
        <v>-2917341.5200000107</v>
      </c>
      <c r="L55" s="176">
        <f t="shared" si="9"/>
        <v>-21387841.279999971</v>
      </c>
      <c r="M55" s="176">
        <f t="shared" si="9"/>
        <v>4663865.349999994</v>
      </c>
      <c r="N55" s="176">
        <f t="shared" si="9"/>
        <v>34104025.840000018</v>
      </c>
      <c r="O55" s="176">
        <f t="shared" si="9"/>
        <v>21220000.719999999</v>
      </c>
      <c r="P55" s="176">
        <f t="shared" si="9"/>
        <v>-12364672.099999994</v>
      </c>
      <c r="Q55" s="176">
        <f t="shared" si="9"/>
        <v>-44897753.730000019</v>
      </c>
      <c r="R55" s="176">
        <f t="shared" si="9"/>
        <v>-71036772.050000012</v>
      </c>
      <c r="S55" s="285">
        <f t="shared" si="3"/>
        <v>-168907519.71999997</v>
      </c>
      <c r="T55" s="286">
        <f t="shared" si="4"/>
        <v>-3.6222929384516399E-2</v>
      </c>
    </row>
    <row r="56" spans="1:22" ht="13.5" thickBot="1">
      <c r="A56" s="169"/>
      <c r="B56" s="452" t="s">
        <v>798</v>
      </c>
      <c r="C56" s="453"/>
      <c r="D56" s="453"/>
      <c r="E56" s="453"/>
      <c r="F56" s="453"/>
      <c r="G56" s="176">
        <f>G55-G54</f>
        <v>-24538834.569999993</v>
      </c>
      <c r="H56" s="176">
        <f t="shared" ref="H56:R56" si="10">H55-H54</f>
        <v>-11892939.799999982</v>
      </c>
      <c r="I56" s="176">
        <f t="shared" si="10"/>
        <v>-33617099.900000036</v>
      </c>
      <c r="J56" s="176">
        <f t="shared" si="10"/>
        <v>-6242156.6799999774</v>
      </c>
      <c r="K56" s="176">
        <f t="shared" si="10"/>
        <v>-2917341.5200000107</v>
      </c>
      <c r="L56" s="176">
        <f t="shared" si="10"/>
        <v>-21387841.279999971</v>
      </c>
      <c r="M56" s="176">
        <f t="shared" si="10"/>
        <v>4663865.349999994</v>
      </c>
      <c r="N56" s="176">
        <f t="shared" si="10"/>
        <v>34104025.840000018</v>
      </c>
      <c r="O56" s="176">
        <f t="shared" si="10"/>
        <v>21220000.719999999</v>
      </c>
      <c r="P56" s="176">
        <f t="shared" si="10"/>
        <v>-12364672.099999994</v>
      </c>
      <c r="Q56" s="176">
        <f t="shared" si="10"/>
        <v>-44897753.730000019</v>
      </c>
      <c r="R56" s="176">
        <f t="shared" si="10"/>
        <v>-99134362.320000008</v>
      </c>
      <c r="S56" s="285">
        <f t="shared" si="3"/>
        <v>-197005109.98999998</v>
      </c>
      <c r="T56" s="286">
        <f t="shared" si="4"/>
        <v>-4.2248576021874325E-2</v>
      </c>
    </row>
    <row r="57" spans="1:22" ht="13.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f>+G56+G37</f>
        <v>-20214757.019999992</v>
      </c>
      <c r="H57" s="230">
        <f t="shared" ref="H57:R57" si="11">+H56+H37</f>
        <v>-10842138.569999982</v>
      </c>
      <c r="I57" s="230">
        <f t="shared" si="11"/>
        <v>5897576.8099999651</v>
      </c>
      <c r="J57" s="230">
        <f t="shared" si="11"/>
        <v>10758627.770000022</v>
      </c>
      <c r="K57" s="230">
        <f t="shared" si="11"/>
        <v>7147467.5399999898</v>
      </c>
      <c r="L57" s="230">
        <f t="shared" si="11"/>
        <v>-19549120.649999972</v>
      </c>
      <c r="M57" s="230">
        <f t="shared" si="11"/>
        <v>12181927.699999994</v>
      </c>
      <c r="N57" s="230">
        <f t="shared" si="11"/>
        <v>35272461.580000021</v>
      </c>
      <c r="O57" s="230">
        <f t="shared" si="11"/>
        <v>24837356.32</v>
      </c>
      <c r="P57" s="230">
        <f t="shared" si="11"/>
        <v>-10825983.799999993</v>
      </c>
      <c r="Q57" s="230">
        <f t="shared" si="11"/>
        <v>-40614704.530000016</v>
      </c>
      <c r="R57" s="230">
        <f t="shared" si="11"/>
        <v>-93456513.650000006</v>
      </c>
      <c r="S57" s="285">
        <f t="shared" si="3"/>
        <v>-99407800.49999997</v>
      </c>
      <c r="T57" s="286">
        <f t="shared" si="4"/>
        <v>-2.1318421724211875E-2</v>
      </c>
    </row>
    <row r="58" spans="1:22">
      <c r="A58" s="169">
        <v>46</v>
      </c>
      <c r="B58" s="523" t="str">
        <f>+VLOOKUP($A58,Master!$D$27:$G$225,4,FALSE)</f>
        <v>Otplata dugova</v>
      </c>
      <c r="C58" s="524"/>
      <c r="D58" s="524"/>
      <c r="E58" s="524"/>
      <c r="F58" s="524"/>
      <c r="G58" s="218">
        <f t="shared" ref="G58:R58" si="12">+SUM(G59:G60)</f>
        <v>26200164.98</v>
      </c>
      <c r="H58" s="218">
        <f t="shared" si="12"/>
        <v>54488971.759999998</v>
      </c>
      <c r="I58" s="218">
        <f t="shared" si="12"/>
        <v>19066024.490000002</v>
      </c>
      <c r="J58" s="200">
        <f t="shared" si="12"/>
        <v>382332471.99000001</v>
      </c>
      <c r="K58" s="218">
        <f t="shared" si="12"/>
        <v>14760695.76</v>
      </c>
      <c r="L58" s="218">
        <f t="shared" si="12"/>
        <v>12929550.809999999</v>
      </c>
      <c r="M58" s="218">
        <f t="shared" si="12"/>
        <v>43965766.020000003</v>
      </c>
      <c r="N58" s="218">
        <f t="shared" si="12"/>
        <v>98580105.140000001</v>
      </c>
      <c r="O58" s="218">
        <f t="shared" si="12"/>
        <v>17423705.899999999</v>
      </c>
      <c r="P58" s="218">
        <f t="shared" si="12"/>
        <v>6031992.4700000007</v>
      </c>
      <c r="Q58" s="218">
        <f t="shared" si="12"/>
        <v>9590322.8100000005</v>
      </c>
      <c r="R58" s="218">
        <f t="shared" si="12"/>
        <v>10911687.780000001</v>
      </c>
      <c r="S58" s="287">
        <f t="shared" si="3"/>
        <v>696281459.90999997</v>
      </c>
      <c r="T58" s="288">
        <f t="shared" si="4"/>
        <v>0.14932049322539137</v>
      </c>
      <c r="V58" s="383"/>
    </row>
    <row r="59" spans="1:22">
      <c r="A59" s="169">
        <v>4611</v>
      </c>
      <c r="B59" s="512" t="str">
        <f>+VLOOKUP($A59,Master!$D$27:$G$225,4,FALSE)</f>
        <v>Otplata hartija od vrijednosti i kredita rezidentima</v>
      </c>
      <c r="C59" s="513"/>
      <c r="D59" s="513"/>
      <c r="E59" s="513"/>
      <c r="F59" s="513"/>
      <c r="G59" s="236">
        <f>+INDEX(DataEx!$1:$1048576,MATCH('2018'!$A59,DataEx!$D:$D,0),MATCH('2018'!G$6,DataEx!$7:$7,0))</f>
        <v>24566746.16</v>
      </c>
      <c r="H59" s="236">
        <f>+INDEX(DataEx!$1:$1048576,MATCH('2018'!$A59,DataEx!$D:$D,0),MATCH('2018'!H$6,DataEx!$7:$7,0))</f>
        <v>50952373.509999998</v>
      </c>
      <c r="I59" s="236">
        <f>+INDEX(DataEx!$1:$1048576,MATCH('2018'!$A59,DataEx!$D:$D,0),MATCH('2018'!I$6,DataEx!$7:$7,0))</f>
        <v>7051404.0099999998</v>
      </c>
      <c r="J59" s="236">
        <f>+INDEX(DataEx!$1:$1048576,MATCH('2018'!$A59,DataEx!$D:$D,0),MATCH('2018'!J$6,DataEx!$7:$7,0))</f>
        <v>2231658.5099999998</v>
      </c>
      <c r="K59" s="236">
        <f>+INDEX(DataEx!$1:$1048576,MATCH('2018'!$A59,DataEx!$D:$D,0),MATCH('2018'!K$6,DataEx!$7:$7,0))</f>
        <v>831498.83</v>
      </c>
      <c r="L59" s="236">
        <f>+INDEX(DataEx!$1:$1048576,MATCH('2018'!$A59,DataEx!$D:$D,0),MATCH('2018'!L$6,DataEx!$7:$7,0))</f>
        <v>4420027.8</v>
      </c>
      <c r="M59" s="236">
        <f>+INDEX(DataEx!$1:$1048576,MATCH('2018'!$A59,DataEx!$D:$D,0),MATCH('2018'!M$6,DataEx!$7:$7,0))</f>
        <v>42332347.200000003</v>
      </c>
      <c r="N59" s="236">
        <f>+INDEX(DataEx!$1:$1048576,MATCH('2018'!$A59,DataEx!$D:$D,0),MATCH('2018'!N$6,DataEx!$7:$7,0))</f>
        <v>95932773.739999995</v>
      </c>
      <c r="O59" s="236">
        <f>+INDEX(DataEx!$1:$1048576,MATCH('2018'!$A59,DataEx!$D:$D,0),MATCH('2018'!O$6,DataEx!$7:$7,0))</f>
        <v>1208382.96</v>
      </c>
      <c r="P59" s="236">
        <f>+INDEX(DataEx!$1:$1048576,MATCH('2018'!$A59,DataEx!$D:$D,0),MATCH('2018'!P$6,DataEx!$7:$7,0))</f>
        <v>2260146.02</v>
      </c>
      <c r="Q59" s="236">
        <f>+INDEX(DataEx!$1:$1048576,MATCH('2018'!$A59,DataEx!$D:$D,0),MATCH('2018'!Q$6,DataEx!$7:$7,0))</f>
        <v>834069.65</v>
      </c>
      <c r="R59" s="236">
        <f>+INDEX(DataEx!$1:$1048576,MATCH('2018'!$A59,DataEx!$D:$D,0),MATCH('2018'!R$6,DataEx!$7:$7,0))</f>
        <v>2202164.71</v>
      </c>
      <c r="S59" s="289">
        <f t="shared" si="3"/>
        <v>234823593.10000002</v>
      </c>
      <c r="T59" s="290">
        <f t="shared" si="4"/>
        <v>5.0358909092858679E-2</v>
      </c>
    </row>
    <row r="60" spans="1:22" ht="13.5" thickBot="1">
      <c r="A60" s="169">
        <v>4612</v>
      </c>
      <c r="B60" s="488" t="str">
        <f>+VLOOKUP($A60,Master!$D$27:$G$225,4,FALSE)</f>
        <v>Otplata hartija od vrijednosti i kredita nerezidentima</v>
      </c>
      <c r="C60" s="489"/>
      <c r="D60" s="489"/>
      <c r="E60" s="489"/>
      <c r="F60" s="489"/>
      <c r="G60" s="236">
        <f>+INDEX(DataEx!$1:$1048576,MATCH('2018'!$A60,DataEx!$D:$D,0),MATCH('2018'!G$6,DataEx!$7:$7,0))</f>
        <v>1633418.82</v>
      </c>
      <c r="H60" s="236">
        <f>+INDEX(DataEx!$1:$1048576,MATCH('2018'!$A60,DataEx!$D:$D,0),MATCH('2018'!H$6,DataEx!$7:$7,0))</f>
        <v>3536598.25</v>
      </c>
      <c r="I60" s="236">
        <f>+INDEX(DataEx!$1:$1048576,MATCH('2018'!$A60,DataEx!$D:$D,0),MATCH('2018'!I$6,DataEx!$7:$7,0))</f>
        <v>12014620.48</v>
      </c>
      <c r="J60" s="236">
        <f>+INDEX(DataEx!$1:$1048576,MATCH('2018'!$A60,DataEx!$D:$D,0),MATCH('2018'!J$6,DataEx!$7:$7,0))</f>
        <v>380100813.48000002</v>
      </c>
      <c r="K60" s="236">
        <f>+INDEX(DataEx!$1:$1048576,MATCH('2018'!$A60,DataEx!$D:$D,0),MATCH('2018'!K$6,DataEx!$7:$7,0))</f>
        <v>13929196.93</v>
      </c>
      <c r="L60" s="236">
        <f>+INDEX(DataEx!$1:$1048576,MATCH('2018'!$A60,DataEx!$D:$D,0),MATCH('2018'!L$6,DataEx!$7:$7,0))</f>
        <v>8509523.0099999998</v>
      </c>
      <c r="M60" s="236">
        <f>+INDEX(DataEx!$1:$1048576,MATCH('2018'!$A60,DataEx!$D:$D,0),MATCH('2018'!M$6,DataEx!$7:$7,0))</f>
        <v>1633418.82</v>
      </c>
      <c r="N60" s="236">
        <f>+INDEX(DataEx!$1:$1048576,MATCH('2018'!$A60,DataEx!$D:$D,0),MATCH('2018'!N$6,DataEx!$7:$7,0))</f>
        <v>2647331.4</v>
      </c>
      <c r="O60" s="236">
        <f>+INDEX(DataEx!$1:$1048576,MATCH('2018'!$A60,DataEx!$D:$D,0),MATCH('2018'!O$6,DataEx!$7:$7,0))</f>
        <v>16215322.939999999</v>
      </c>
      <c r="P60" s="236">
        <f>+INDEX(DataEx!$1:$1048576,MATCH('2018'!$A60,DataEx!$D:$D,0),MATCH('2018'!P$6,DataEx!$7:$7,0))</f>
        <v>3771846.45</v>
      </c>
      <c r="Q60" s="236">
        <f>+INDEX(DataEx!$1:$1048576,MATCH('2018'!$A60,DataEx!$D:$D,0),MATCH('2018'!Q$6,DataEx!$7:$7,0))</f>
        <v>8756253.1600000001</v>
      </c>
      <c r="R60" s="236">
        <f>+INDEX(DataEx!$1:$1048576,MATCH('2018'!$A60,DataEx!$D:$D,0),MATCH('2018'!R$6,DataEx!$7:$7,0))</f>
        <v>8709523.0700000003</v>
      </c>
      <c r="S60" s="289">
        <f t="shared" si="3"/>
        <v>461457866.81</v>
      </c>
      <c r="T60" s="290">
        <f t="shared" si="4"/>
        <v>9.8961584132532698E-2</v>
      </c>
      <c r="V60" s="395"/>
    </row>
    <row r="61" spans="1:22" ht="13.5" thickBot="1">
      <c r="A61" s="169">
        <v>4418</v>
      </c>
      <c r="B61" s="523" t="str">
        <f>+VLOOKUP($A61,Master!$D$27:$G$225,4,FALSE)</f>
        <v>Izdaci za kupovinu hartija od vrijednosti</v>
      </c>
      <c r="C61" s="524"/>
      <c r="D61" s="524"/>
      <c r="E61" s="524"/>
      <c r="F61" s="524"/>
      <c r="G61" s="218">
        <f>DataEx!ET168</f>
        <v>0</v>
      </c>
      <c r="H61" s="218">
        <f>DataEx!EU168</f>
        <v>0</v>
      </c>
      <c r="I61" s="218">
        <f>DataEx!EV168</f>
        <v>0</v>
      </c>
      <c r="J61" s="218">
        <f>DataEx!EW168</f>
        <v>0</v>
      </c>
      <c r="K61" s="218">
        <f>DataEx!EX168</f>
        <v>68939595.359999999</v>
      </c>
      <c r="L61" s="218">
        <f>DataEx!EY168</f>
        <v>0</v>
      </c>
      <c r="M61" s="218">
        <f>DataEx!EZ168</f>
        <v>0</v>
      </c>
      <c r="N61" s="218">
        <f>DataEx!FA168</f>
        <v>0</v>
      </c>
      <c r="O61" s="218">
        <f>DataEx!FB168</f>
        <v>0</v>
      </c>
      <c r="P61" s="218">
        <f>DataEx!FC168</f>
        <v>0</v>
      </c>
      <c r="Q61" s="218">
        <f>DataEx!FD168</f>
        <v>0</v>
      </c>
      <c r="R61" s="218">
        <f>DataEx!FE168</f>
        <v>305701.3</v>
      </c>
      <c r="S61" s="287">
        <f>SUM(G61:R61)</f>
        <v>69245296.659999996</v>
      </c>
      <c r="T61" s="288">
        <f>+S61/$T$7</f>
        <v>1.4849945670169418E-2</v>
      </c>
      <c r="V61" s="395"/>
    </row>
    <row r="62" spans="1:22" ht="13.5" thickBot="1">
      <c r="A62" s="169">
        <v>1002</v>
      </c>
      <c r="B62" s="514" t="str">
        <f>+VLOOKUP($A62,Master!$D$27:$G$225,4,FALSE)</f>
        <v>Nedostajuća sredstva</v>
      </c>
      <c r="C62" s="515"/>
      <c r="D62" s="515"/>
      <c r="E62" s="515"/>
      <c r="F62" s="515"/>
      <c r="G62" s="242">
        <f>+G56-G58-G61</f>
        <v>-50738999.549999997</v>
      </c>
      <c r="H62" s="242">
        <f t="shared" ref="H62:R62" si="13">+H56-H58-H61</f>
        <v>-66381911.55999998</v>
      </c>
      <c r="I62" s="242">
        <f t="shared" si="13"/>
        <v>-52683124.390000038</v>
      </c>
      <c r="J62" s="242">
        <f t="shared" si="13"/>
        <v>-388574628.66999996</v>
      </c>
      <c r="K62" s="242">
        <f t="shared" si="13"/>
        <v>-86617632.640000015</v>
      </c>
      <c r="L62" s="242">
        <f t="shared" si="13"/>
        <v>-34317392.089999974</v>
      </c>
      <c r="M62" s="242">
        <f t="shared" si="13"/>
        <v>-39301900.670000009</v>
      </c>
      <c r="N62" s="242">
        <f t="shared" si="13"/>
        <v>-64476079.299999982</v>
      </c>
      <c r="O62" s="242">
        <f t="shared" si="13"/>
        <v>3796294.8200000003</v>
      </c>
      <c r="P62" s="242">
        <f t="shared" si="13"/>
        <v>-18396664.569999993</v>
      </c>
      <c r="Q62" s="242">
        <f t="shared" si="13"/>
        <v>-54488076.540000021</v>
      </c>
      <c r="R62" s="242">
        <f t="shared" si="13"/>
        <v>-110351751.40000001</v>
      </c>
      <c r="S62" s="291">
        <f t="shared" si="3"/>
        <v>-962531866.55999959</v>
      </c>
      <c r="T62" s="292">
        <f t="shared" si="4"/>
        <v>-0.20641901491743503</v>
      </c>
    </row>
    <row r="63" spans="1:22" ht="13.5" thickBot="1">
      <c r="A63" s="169">
        <v>1003</v>
      </c>
      <c r="B63" s="478" t="str">
        <f>+VLOOKUP($A63,Master!$D$27:$G$225,4,FALSE)</f>
        <v>Finansiranje</v>
      </c>
      <c r="C63" s="479"/>
      <c r="D63" s="479"/>
      <c r="E63" s="479"/>
      <c r="F63" s="479"/>
      <c r="G63" s="176">
        <f>+SUM(G64:G67)</f>
        <v>50738999.549999997</v>
      </c>
      <c r="H63" s="176">
        <f t="shared" ref="H63:R63" si="14">+SUM(H64:H67)</f>
        <v>66381911.55999998</v>
      </c>
      <c r="I63" s="176">
        <f t="shared" si="14"/>
        <v>52683124.390000038</v>
      </c>
      <c r="J63" s="176">
        <f t="shared" si="14"/>
        <v>388574628.66999996</v>
      </c>
      <c r="K63" s="176">
        <f t="shared" si="14"/>
        <v>86617632.640000015</v>
      </c>
      <c r="L63" s="176">
        <f t="shared" si="14"/>
        <v>34317392.089999974</v>
      </c>
      <c r="M63" s="176">
        <f t="shared" si="14"/>
        <v>39301900.670000009</v>
      </c>
      <c r="N63" s="176">
        <f t="shared" si="14"/>
        <v>64476079.299999982</v>
      </c>
      <c r="O63" s="176">
        <f t="shared" si="14"/>
        <v>-3796294.8200000003</v>
      </c>
      <c r="P63" s="176">
        <f t="shared" si="14"/>
        <v>18396664.569999993</v>
      </c>
      <c r="Q63" s="176">
        <f t="shared" si="14"/>
        <v>54488076.540000021</v>
      </c>
      <c r="R63" s="176">
        <f t="shared" si="14"/>
        <v>110351751.40000001</v>
      </c>
      <c r="S63" s="293">
        <f t="shared" si="3"/>
        <v>962531866.55999959</v>
      </c>
      <c r="T63" s="294">
        <f t="shared" si="4"/>
        <v>0.20641901491743503</v>
      </c>
    </row>
    <row r="64" spans="1:22">
      <c r="A64" s="169">
        <v>7511</v>
      </c>
      <c r="B64" s="512" t="str">
        <f>+VLOOKUP($A64,Master!$D$27:$G$225,4,FALSE)</f>
        <v>Pozajmice i krediti od domaćih izvora</v>
      </c>
      <c r="C64" s="513"/>
      <c r="D64" s="513"/>
      <c r="E64" s="513"/>
      <c r="F64" s="513"/>
      <c r="G64" s="236">
        <f>+INDEX(DataEx!$1:$1048576,MATCH('2018'!$A64,DataEx!$D:$D,0),MATCH('2018'!G$6,DataEx!$7:$7,0))</f>
        <v>24535941.960000001</v>
      </c>
      <c r="H64" s="236">
        <f>+INDEX(DataEx!$1:$1048576,MATCH('2018'!$A64,DataEx!$D:$D,0),MATCH('2018'!H$6,DataEx!$7:$7,0))</f>
        <v>91357443.420000002</v>
      </c>
      <c r="I64" s="236">
        <f>+INDEX(DataEx!$1:$1048576,MATCH('2018'!$A64,DataEx!$D:$D,0),MATCH('2018'!I$6,DataEx!$7:$7,0))</f>
        <v>20706614.620000001</v>
      </c>
      <c r="J64" s="236">
        <f>+INDEX(DataEx!$1:$1048576,MATCH('2018'!$A64,DataEx!$D:$D,0),MATCH('2018'!J$6,DataEx!$7:$7,0))</f>
        <v>0</v>
      </c>
      <c r="K64" s="236">
        <f>+INDEX(DataEx!$1:$1048576,MATCH('2018'!$A64,DataEx!$D:$D,0),MATCH('2018'!K$6,DataEx!$7:$7,0))</f>
        <v>0</v>
      </c>
      <c r="L64" s="236">
        <f>+INDEX(DataEx!$1:$1048576,MATCH('2018'!$A64,DataEx!$D:$D,0),MATCH('2018'!L$6,DataEx!$7:$7,0))</f>
        <v>0</v>
      </c>
      <c r="M64" s="236">
        <f>+INDEX(DataEx!$1:$1048576,MATCH('2018'!$A64,DataEx!$D:$D,0),MATCH('2018'!M$6,DataEx!$7:$7,0))</f>
        <v>18000000</v>
      </c>
      <c r="N64" s="236">
        <f>+INDEX(DataEx!$1:$1048576,MATCH('2018'!$A64,DataEx!$D:$D,0),MATCH('2018'!N$6,DataEx!$7:$7,0))</f>
        <v>59000000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213600000</v>
      </c>
      <c r="T64" s="290">
        <f t="shared" si="4"/>
        <v>4.5807420115805277E-2</v>
      </c>
    </row>
    <row r="65" spans="1:20">
      <c r="A65" s="169">
        <v>7512</v>
      </c>
      <c r="B65" s="488" t="str">
        <f>+VLOOKUP($A65,Master!$D$27:$G$225,4,FALSE)</f>
        <v>Pozajmice i krediti od inostranih izvora</v>
      </c>
      <c r="C65" s="489"/>
      <c r="D65" s="489"/>
      <c r="E65" s="489"/>
      <c r="F65" s="489"/>
      <c r="G65" s="236">
        <f>+INDEX(DataEx!$1:$1048576,MATCH('2018'!$A65,DataEx!$D:$D,0),MATCH('2018'!G$6,DataEx!$7:$7,0))</f>
        <v>220322.84</v>
      </c>
      <c r="H65" s="236">
        <f>+INDEX(DataEx!$1:$1048576,MATCH('2018'!$A65,DataEx!$D:$D,0),MATCH('2018'!H$6,DataEx!$7:$7,0))</f>
        <v>191078.77</v>
      </c>
      <c r="I65" s="236">
        <f>+INDEX(DataEx!$1:$1048576,MATCH('2018'!$A65,DataEx!$D:$D,0),MATCH('2018'!I$6,DataEx!$7:$7,0))</f>
        <v>5273085.6500000004</v>
      </c>
      <c r="J65" s="236">
        <f>+INDEX(DataEx!$1:$1048576,MATCH('2018'!$A65,DataEx!$D:$D,0),MATCH('2018'!J$6,DataEx!$7:$7,0))</f>
        <v>503121949.51999998</v>
      </c>
      <c r="K65" s="236">
        <f>+INDEX(DataEx!$1:$1048576,MATCH('2018'!$A65,DataEx!$D:$D,0),MATCH('2018'!K$6,DataEx!$7:$7,0))</f>
        <v>7673073.0999999996</v>
      </c>
      <c r="L65" s="236">
        <f>+INDEX(DataEx!$1:$1048576,MATCH('2018'!$A65,DataEx!$D:$D,0),MATCH('2018'!L$6,DataEx!$7:$7,0))</f>
        <v>266189636.84999999</v>
      </c>
      <c r="M65" s="236">
        <f>+INDEX(DataEx!$1:$1048576,MATCH('2018'!$A65,DataEx!$D:$D,0),MATCH('2018'!M$6,DataEx!$7:$7,0))</f>
        <v>15363581.189999999</v>
      </c>
      <c r="N65" s="236">
        <f>+INDEX(DataEx!$1:$1048576,MATCH('2018'!$A65,DataEx!$D:$D,0),MATCH('2018'!N$6,DataEx!$7:$7,0))</f>
        <v>13117458.42</v>
      </c>
      <c r="O65" s="236">
        <f>+INDEX(DataEx!$1:$1048576,MATCH('2018'!$A65,DataEx!$D:$D,0),MATCH('2018'!O$6,DataEx!$7:$7,0))</f>
        <v>16543113.73</v>
      </c>
      <c r="P65" s="236">
        <f>+INDEX(DataEx!$1:$1048576,MATCH('2018'!$A65,DataEx!$D:$D,0),MATCH('2018'!P$6,DataEx!$7:$7,0))</f>
        <v>18813731.219999999</v>
      </c>
      <c r="Q65" s="236">
        <f>+INDEX(DataEx!$1:$1048576,MATCH('2018'!$A65,DataEx!$D:$D,0),MATCH('2018'!Q$6,DataEx!$7:$7,0))</f>
        <v>38823788.329999998</v>
      </c>
      <c r="R65" s="236">
        <f>+INDEX(DataEx!$1:$1048576,MATCH('2018'!$A65,DataEx!$D:$D,0),MATCH('2018'!R$6,DataEx!$7:$7,0))</f>
        <v>24442619.199999999</v>
      </c>
      <c r="S65" s="289">
        <f t="shared" si="3"/>
        <v>909773438.82000017</v>
      </c>
      <c r="T65" s="290">
        <f t="shared" si="4"/>
        <v>0.19510474776324258</v>
      </c>
    </row>
    <row r="66" spans="1:20">
      <c r="A66" s="169">
        <v>72</v>
      </c>
      <c r="B66" s="488" t="str">
        <f>+VLOOKUP($A66,Master!$D$27:$G$225,4,FALSE)</f>
        <v>Primici od prodaje imovine</v>
      </c>
      <c r="C66" s="489"/>
      <c r="D66" s="489"/>
      <c r="E66" s="489"/>
      <c r="F66" s="489"/>
      <c r="G66" s="236">
        <f>+INDEX(DataEx!$1:$1048576,MATCH('2018'!$A66,DataEx!$D:$D,0),MATCH('2018'!G$6,DataEx!$7:$7,0))</f>
        <v>136671.79999999999</v>
      </c>
      <c r="H66" s="236">
        <f>+INDEX(DataEx!$1:$1048576,MATCH('2018'!$A66,DataEx!$D:$D,0),MATCH('2018'!H$6,DataEx!$7:$7,0))</f>
        <v>273046.61</v>
      </c>
      <c r="I66" s="236">
        <f>+INDEX(DataEx!$1:$1048576,MATCH('2018'!$A66,DataEx!$D:$D,0),MATCH('2018'!I$6,DataEx!$7:$7,0))</f>
        <v>2343256.64</v>
      </c>
      <c r="J66" s="236">
        <f>+INDEX(DataEx!$1:$1048576,MATCH('2018'!$A66,DataEx!$D:$D,0),MATCH('2018'!J$6,DataEx!$7:$7,0))</f>
        <v>108273.11</v>
      </c>
      <c r="K66" s="236">
        <f>+INDEX(DataEx!$1:$1048576,MATCH('2018'!$A66,DataEx!$D:$D,0),MATCH('2018'!K$6,DataEx!$7:$7,0))</f>
        <v>215845.16</v>
      </c>
      <c r="L66" s="236">
        <f>+INDEX(DataEx!$1:$1048576,MATCH('2018'!$A66,DataEx!$D:$D,0),MATCH('2018'!L$6,DataEx!$7:$7,0))</f>
        <v>10312117.130000001</v>
      </c>
      <c r="M66" s="236">
        <f>+INDEX(DataEx!$1:$1048576,MATCH('2018'!$A66,DataEx!$D:$D,0),MATCH('2018'!M$6,DataEx!$7:$7,0))</f>
        <v>406327.81</v>
      </c>
      <c r="N66" s="236">
        <f>+INDEX(DataEx!$1:$1048576,MATCH('2018'!$A66,DataEx!$D:$D,0),MATCH('2018'!N$6,DataEx!$7:$7,0))</f>
        <v>257929.95</v>
      </c>
      <c r="O66" s="236">
        <f>+INDEX(DataEx!$1:$1048576,MATCH('2018'!$A66,DataEx!$D:$D,0),MATCH('2018'!O$6,DataEx!$7:$7,0))</f>
        <v>223709.29</v>
      </c>
      <c r="P66" s="236">
        <f>+INDEX(DataEx!$1:$1048576,MATCH('2018'!$A66,DataEx!$D:$D,0),MATCH('2018'!P$6,DataEx!$7:$7,0))</f>
        <v>158760.32999999999</v>
      </c>
      <c r="Q66" s="236">
        <f>+INDEX(DataEx!$1:$1048576,MATCH('2018'!$A66,DataEx!$D:$D,0),MATCH('2018'!Q$6,DataEx!$7:$7,0))</f>
        <v>314684.94</v>
      </c>
      <c r="R66" s="236">
        <f>+INDEX(DataEx!$1:$1048576,MATCH('2018'!$A66,DataEx!$D:$D,0),MATCH('2018'!R$6,DataEx!$7:$7,0))</f>
        <v>998458.94</v>
      </c>
      <c r="S66" s="289">
        <f t="shared" si="3"/>
        <v>15749081.709999999</v>
      </c>
      <c r="T66" s="290">
        <f t="shared" si="4"/>
        <v>3.3774569397383657E-3</v>
      </c>
    </row>
    <row r="67" spans="1:20" ht="13.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f>-G62-SUM(G64:G66)</f>
        <v>25846062.949999996</v>
      </c>
      <c r="H67" s="250">
        <f t="shared" ref="H67:R67" si="15">-H62-SUM(H64:H66)</f>
        <v>-25439657.240000017</v>
      </c>
      <c r="I67" s="250">
        <f t="shared" si="15"/>
        <v>24360167.480000034</v>
      </c>
      <c r="J67" s="250">
        <f t="shared" si="15"/>
        <v>-114655593.96000004</v>
      </c>
      <c r="K67" s="250">
        <f t="shared" si="15"/>
        <v>78728714.38000001</v>
      </c>
      <c r="L67" s="250">
        <f t="shared" si="15"/>
        <v>-242184361.89000005</v>
      </c>
      <c r="M67" s="250">
        <f t="shared" si="15"/>
        <v>5531991.6700000092</v>
      </c>
      <c r="N67" s="250">
        <f t="shared" si="15"/>
        <v>-7899309.0700000226</v>
      </c>
      <c r="O67" s="250">
        <f t="shared" si="15"/>
        <v>-20563117.84</v>
      </c>
      <c r="P67" s="250">
        <f t="shared" si="15"/>
        <v>-575826.98000000417</v>
      </c>
      <c r="Q67" s="250">
        <f t="shared" si="15"/>
        <v>15349603.270000026</v>
      </c>
      <c r="R67" s="250">
        <f t="shared" si="15"/>
        <v>84910673.260000005</v>
      </c>
      <c r="S67" s="295">
        <f>+SUM(G67:R67)</f>
        <v>-176590653.97000003</v>
      </c>
      <c r="T67" s="296">
        <f t="shared" si="4"/>
        <v>-3.787060990135107E-2</v>
      </c>
    </row>
    <row r="68" spans="1:20">
      <c r="R68" s="388"/>
    </row>
    <row r="73" spans="1:20">
      <c r="R73" s="359"/>
    </row>
    <row r="101" spans="1:21"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21" ht="13.5" thickBot="1">
      <c r="G102" s="69" t="str">
        <f t="shared" ref="G102:R102" si="16">+CONCATENATE(G6,"p")</f>
        <v>2018-01p</v>
      </c>
      <c r="H102" s="69" t="str">
        <f t="shared" si="16"/>
        <v>2018-02p</v>
      </c>
      <c r="I102" s="69" t="str">
        <f t="shared" si="16"/>
        <v>2018-03p</v>
      </c>
      <c r="J102" s="69" t="str">
        <f t="shared" si="16"/>
        <v>2018-04p</v>
      </c>
      <c r="K102" s="69" t="str">
        <f t="shared" si="16"/>
        <v>2018-05p</v>
      </c>
      <c r="L102" s="69" t="str">
        <f t="shared" si="16"/>
        <v>2018-06p</v>
      </c>
      <c r="M102" s="69" t="str">
        <f t="shared" si="16"/>
        <v>2018-07p</v>
      </c>
      <c r="N102" s="69" t="str">
        <f t="shared" si="16"/>
        <v>2018-08p</v>
      </c>
      <c r="O102" s="69" t="str">
        <f t="shared" si="16"/>
        <v>2018-09p</v>
      </c>
      <c r="P102" s="69" t="str">
        <f t="shared" si="16"/>
        <v>2018-10p</v>
      </c>
      <c r="Q102" s="69" t="str">
        <f t="shared" si="16"/>
        <v>2018-11p</v>
      </c>
      <c r="R102" s="69" t="str">
        <f t="shared" si="16"/>
        <v>2018-12p</v>
      </c>
    </row>
    <row r="103" spans="1:21" ht="15.75" customHeight="1" thickBot="1">
      <c r="B103" s="542" t="str">
        <f>+Master!G252</f>
        <v>Plan ostvarenja budžeta</v>
      </c>
      <c r="C103" s="543"/>
      <c r="D103" s="543"/>
      <c r="E103" s="543"/>
      <c r="F103" s="543"/>
      <c r="G103" s="533">
        <v>2018</v>
      </c>
      <c r="H103" s="534"/>
      <c r="I103" s="534"/>
      <c r="J103" s="534"/>
      <c r="K103" s="534"/>
      <c r="L103" s="534"/>
      <c r="M103" s="534"/>
      <c r="N103" s="534"/>
      <c r="O103" s="534"/>
      <c r="P103" s="534"/>
      <c r="Q103" s="534"/>
      <c r="R103" s="535"/>
      <c r="S103" s="115" t="str">
        <f>+S7</f>
        <v>BDP</v>
      </c>
      <c r="T103" s="116">
        <f>+T7</f>
        <v>4663000000</v>
      </c>
    </row>
    <row r="104" spans="1:21" ht="15.75" customHeight="1">
      <c r="B104" s="544"/>
      <c r="C104" s="545"/>
      <c r="D104" s="545"/>
      <c r="E104" s="545"/>
      <c r="F104" s="546"/>
      <c r="G104" s="73" t="str">
        <f t="shared" ref="G104:R104" si="17">+G8</f>
        <v>Januar</v>
      </c>
      <c r="H104" s="73" t="str">
        <f t="shared" si="17"/>
        <v>Februar</v>
      </c>
      <c r="I104" s="73" t="str">
        <f t="shared" si="17"/>
        <v>Mart</v>
      </c>
      <c r="J104" s="73" t="str">
        <f t="shared" si="17"/>
        <v>April</v>
      </c>
      <c r="K104" s="73" t="str">
        <f t="shared" si="17"/>
        <v>Maj</v>
      </c>
      <c r="L104" s="73" t="str">
        <f t="shared" si="17"/>
        <v>Jun</v>
      </c>
      <c r="M104" s="73" t="str">
        <f t="shared" si="17"/>
        <v>Jul</v>
      </c>
      <c r="N104" s="73" t="str">
        <f t="shared" si="17"/>
        <v>Avgust</v>
      </c>
      <c r="O104" s="73" t="str">
        <f t="shared" si="17"/>
        <v>Septembar</v>
      </c>
      <c r="P104" s="73" t="str">
        <f t="shared" si="17"/>
        <v>Oktobar</v>
      </c>
      <c r="Q104" s="73" t="str">
        <f t="shared" si="17"/>
        <v>Novembar</v>
      </c>
      <c r="R104" s="73" t="str">
        <f t="shared" si="17"/>
        <v>Decembar</v>
      </c>
      <c r="S104" s="533" t="str">
        <f>+Master!G246</f>
        <v>Jan - Dec</v>
      </c>
      <c r="T104" s="535">
        <f>+T8</f>
        <v>0</v>
      </c>
    </row>
    <row r="105" spans="1:21" ht="13.5" thickBot="1">
      <c r="B105" s="547"/>
      <c r="C105" s="548"/>
      <c r="D105" s="548"/>
      <c r="E105" s="548"/>
      <c r="F105" s="549"/>
      <c r="G105" s="68" t="s">
        <v>423</v>
      </c>
      <c r="H105" s="68" t="s">
        <v>423</v>
      </c>
      <c r="I105" s="68" t="s">
        <v>423</v>
      </c>
      <c r="J105" s="68" t="s">
        <v>423</v>
      </c>
      <c r="K105" s="68" t="s">
        <v>423</v>
      </c>
      <c r="L105" s="68" t="s">
        <v>423</v>
      </c>
      <c r="M105" s="68" t="s">
        <v>423</v>
      </c>
      <c r="N105" s="68" t="s">
        <v>423</v>
      </c>
      <c r="O105" s="68" t="s">
        <v>423</v>
      </c>
      <c r="P105" s="68" t="s">
        <v>423</v>
      </c>
      <c r="Q105" s="68" t="s">
        <v>423</v>
      </c>
      <c r="R105" s="68" t="s">
        <v>423</v>
      </c>
      <c r="S105" s="66" t="s">
        <v>423</v>
      </c>
      <c r="T105" s="67" t="str">
        <f>+T9</f>
        <v>% BDP</v>
      </c>
    </row>
    <row r="106" spans="1:21" ht="13.5" thickBot="1">
      <c r="A106" s="137" t="str">
        <f t="shared" ref="A106:A148" si="18">+CONCATENATE(A10,"p")</f>
        <v>7p</v>
      </c>
      <c r="B106" s="536" t="str">
        <f>+VLOOKUP(LEFT($A106,LEN(A106)-1)*1,Master!$D$27:$G$225,4,FALSE)</f>
        <v>Prihodi budžeta</v>
      </c>
      <c r="C106" s="537"/>
      <c r="D106" s="537"/>
      <c r="E106" s="537"/>
      <c r="F106" s="537"/>
      <c r="G106" s="97">
        <f t="shared" ref="G106:R106" si="19">+G107+G115+SUM(G120:G124)</f>
        <v>81544844.829999998</v>
      </c>
      <c r="H106" s="97">
        <f t="shared" si="19"/>
        <v>107080108.15000001</v>
      </c>
      <c r="I106" s="97">
        <f t="shared" si="19"/>
        <v>138858355.53999999</v>
      </c>
      <c r="J106" s="97">
        <f t="shared" si="19"/>
        <v>156827966.73000002</v>
      </c>
      <c r="K106" s="97">
        <f t="shared" si="19"/>
        <v>138843088.16999999</v>
      </c>
      <c r="L106" s="97">
        <f t="shared" si="19"/>
        <v>140627820.80000001</v>
      </c>
      <c r="M106" s="97">
        <f t="shared" si="19"/>
        <v>157046601.92834741</v>
      </c>
      <c r="N106" s="97">
        <f t="shared" si="19"/>
        <v>163617557.5108614</v>
      </c>
      <c r="O106" s="97">
        <f t="shared" si="19"/>
        <v>188465142.08181426</v>
      </c>
      <c r="P106" s="97">
        <f t="shared" si="19"/>
        <v>150992049.40287438</v>
      </c>
      <c r="Q106" s="97">
        <f t="shared" si="19"/>
        <v>136862712.00099453</v>
      </c>
      <c r="R106" s="97">
        <f t="shared" si="19"/>
        <v>196236973.98932049</v>
      </c>
      <c r="S106" s="121">
        <f>+SUM(G106:R106)</f>
        <v>1757003221.1342125</v>
      </c>
      <c r="T106" s="122">
        <f>+S106/$T$7</f>
        <v>0.37679674482826775</v>
      </c>
    </row>
    <row r="107" spans="1:21">
      <c r="A107" s="137" t="str">
        <f t="shared" si="18"/>
        <v>711p</v>
      </c>
      <c r="B107" s="538" t="str">
        <f>+VLOOKUP(LEFT($A107,LEN(A107)-1)*1,Master!$D$27:$G$225,4,FALSE)</f>
        <v>Porezi</v>
      </c>
      <c r="C107" s="539"/>
      <c r="D107" s="539"/>
      <c r="E107" s="539"/>
      <c r="F107" s="539"/>
      <c r="G107" s="81">
        <f t="shared" ref="G107:R107" si="20">+SUM(G108:G114)</f>
        <v>60295851.510000005</v>
      </c>
      <c r="H107" s="81">
        <f t="shared" si="20"/>
        <v>64797597.330000006</v>
      </c>
      <c r="I107" s="81">
        <f t="shared" si="20"/>
        <v>89261850.609999985</v>
      </c>
      <c r="J107" s="81">
        <f t="shared" si="20"/>
        <v>97799793.080000013</v>
      </c>
      <c r="K107" s="81">
        <f t="shared" si="20"/>
        <v>90553351.069999993</v>
      </c>
      <c r="L107" s="81">
        <f t="shared" si="20"/>
        <v>87503254.430000007</v>
      </c>
      <c r="M107" s="81">
        <f t="shared" si="20"/>
        <v>99397799.482830197</v>
      </c>
      <c r="N107" s="81">
        <f t="shared" si="20"/>
        <v>110357770.3498607</v>
      </c>
      <c r="O107" s="81">
        <f t="shared" si="20"/>
        <v>102093047.15872496</v>
      </c>
      <c r="P107" s="81">
        <f t="shared" si="20"/>
        <v>95698512.829288453</v>
      </c>
      <c r="Q107" s="81">
        <f t="shared" si="20"/>
        <v>82424829.046484277</v>
      </c>
      <c r="R107" s="82">
        <f t="shared" si="20"/>
        <v>98213532.499999791</v>
      </c>
      <c r="S107" s="123">
        <f t="shared" ref="S107:S162" si="21">+SUM(G107:R107)</f>
        <v>1078397189.3971882</v>
      </c>
      <c r="T107" s="124">
        <f t="shared" ref="T107:T162" si="22">+S107/$T$7</f>
        <v>0.23126682165927262</v>
      </c>
      <c r="U107" s="302"/>
    </row>
    <row r="108" spans="1:21">
      <c r="A108" s="137" t="str">
        <f t="shared" si="18"/>
        <v>7111p</v>
      </c>
      <c r="B108" s="540" t="str">
        <f>+VLOOKUP(LEFT($A108,LEN(A108)-1)*1,Master!$D$27:$G$225,4,FALSE)</f>
        <v>Porez na dohodak fizičkih lica</v>
      </c>
      <c r="C108" s="541"/>
      <c r="D108" s="541"/>
      <c r="E108" s="541"/>
      <c r="F108" s="541"/>
      <c r="G108" s="91">
        <f>+SUM(DataEx!ET220)</f>
        <v>3496624.83</v>
      </c>
      <c r="H108" s="91">
        <f>+SUM(DataEx!EU220)</f>
        <v>8897390.9499999993</v>
      </c>
      <c r="I108" s="91">
        <f>+SUM(DataEx!EV220)</f>
        <v>10001520.890000001</v>
      </c>
      <c r="J108" s="91">
        <f>+SUM(DataEx!EW220)</f>
        <v>9899613.5099999998</v>
      </c>
      <c r="K108" s="91">
        <f>+SUM(DataEx!EX220)</f>
        <v>10330673.77</v>
      </c>
      <c r="L108" s="91">
        <f>+SUM(DataEx!EY220)</f>
        <v>10475384.99</v>
      </c>
      <c r="M108" s="91">
        <f>+SUM(DataEx!EZ220)</f>
        <v>11459377.222866835</v>
      </c>
      <c r="N108" s="91">
        <f>+SUM(DataEx!FA220)</f>
        <v>11349599.062734554</v>
      </c>
      <c r="O108" s="91">
        <f>+SUM(DataEx!FB220)</f>
        <v>10410490.432834331</v>
      </c>
      <c r="P108" s="91">
        <f>+SUM(DataEx!FC220)</f>
        <v>11079108.171049241</v>
      </c>
      <c r="Q108" s="91">
        <f>+SUM(DataEx!FD220)</f>
        <v>8309878.0236359257</v>
      </c>
      <c r="R108" s="91">
        <f>+SUM(DataEx!FE220)</f>
        <v>15650000.315266687</v>
      </c>
      <c r="S108" s="125">
        <f t="shared" si="21"/>
        <v>121359662.16838756</v>
      </c>
      <c r="T108" s="126">
        <f t="shared" si="22"/>
        <v>2.602609096469817E-2</v>
      </c>
    </row>
    <row r="109" spans="1:21">
      <c r="A109" s="137" t="str">
        <f t="shared" si="18"/>
        <v>7112p</v>
      </c>
      <c r="B109" s="540" t="str">
        <f>+VLOOKUP(LEFT($A109,LEN(A109)-1)*1,Master!$D$27:$G$225,4,FALSE)</f>
        <v>Porez na dobit pravnih lica</v>
      </c>
      <c r="C109" s="541"/>
      <c r="D109" s="541"/>
      <c r="E109" s="541"/>
      <c r="F109" s="541"/>
      <c r="G109" s="91">
        <f>+SUM(DataEx!ET221)</f>
        <v>475602.8</v>
      </c>
      <c r="H109" s="91">
        <f>+SUM(DataEx!EU221)</f>
        <v>1641570.62</v>
      </c>
      <c r="I109" s="91">
        <f>+SUM(DataEx!EV221)</f>
        <v>22262597.649999999</v>
      </c>
      <c r="J109" s="91">
        <f>+SUM(DataEx!EW221)</f>
        <v>18095823.48</v>
      </c>
      <c r="K109" s="91">
        <f>+SUM(DataEx!EX221)</f>
        <v>3730435.57</v>
      </c>
      <c r="L109" s="91">
        <f>+SUM(DataEx!EY221)</f>
        <v>3402383.37</v>
      </c>
      <c r="M109" s="91">
        <f>+SUM(DataEx!EZ221)</f>
        <v>2907159.2955213021</v>
      </c>
      <c r="N109" s="91">
        <f>+SUM(DataEx!FA221)</f>
        <v>3013650.2072513374</v>
      </c>
      <c r="O109" s="91">
        <f>+SUM(DataEx!FB221)</f>
        <v>1324416.4348228676</v>
      </c>
      <c r="P109" s="91">
        <f>+SUM(DataEx!FC221)</f>
        <v>2025728.058812635</v>
      </c>
      <c r="Q109" s="91">
        <f>+SUM(DataEx!FD221)</f>
        <v>801101.06022479141</v>
      </c>
      <c r="R109" s="91">
        <f>+SUM(DataEx!FE221)</f>
        <v>1997896.823773731</v>
      </c>
      <c r="S109" s="125">
        <f t="shared" si="21"/>
        <v>61678365.370406665</v>
      </c>
      <c r="T109" s="126">
        <f t="shared" si="22"/>
        <v>1.3227185367876189E-2</v>
      </c>
    </row>
    <row r="110" spans="1:21">
      <c r="A110" s="137" t="str">
        <f t="shared" si="18"/>
        <v>7113p</v>
      </c>
      <c r="B110" s="540" t="str">
        <f>+VLOOKUP(LEFT($A110,LEN(A110)-1)*1,Master!$D$27:$G$225,4,FALSE)</f>
        <v>Porez na promet nepokretnosti</v>
      </c>
      <c r="C110" s="541"/>
      <c r="D110" s="541"/>
      <c r="E110" s="541"/>
      <c r="F110" s="541"/>
      <c r="G110" s="91">
        <f>+SUM(DataEx!ET222)</f>
        <v>93380.49</v>
      </c>
      <c r="H110" s="91">
        <f>+SUM(DataEx!EU222)</f>
        <v>116565.53</v>
      </c>
      <c r="I110" s="91">
        <f>+SUM(DataEx!EV222)</f>
        <v>203411.31</v>
      </c>
      <c r="J110" s="91">
        <f>+SUM(DataEx!EW222)</f>
        <v>117398.62</v>
      </c>
      <c r="K110" s="91">
        <f>+SUM(DataEx!EX222)</f>
        <v>143886.48000000001</v>
      </c>
      <c r="L110" s="91">
        <f>+SUM(DataEx!EY222)</f>
        <v>122124.66</v>
      </c>
      <c r="M110" s="91">
        <f>+SUM(DataEx!EZ222)</f>
        <v>165237.90094273287</v>
      </c>
      <c r="N110" s="91">
        <f>+SUM(DataEx!FA222)</f>
        <v>179232.92735336185</v>
      </c>
      <c r="O110" s="91">
        <f>+SUM(DataEx!FB222)</f>
        <v>136199.31001440389</v>
      </c>
      <c r="P110" s="91">
        <f>+SUM(DataEx!FC222)</f>
        <v>229977.20409803133</v>
      </c>
      <c r="Q110" s="91">
        <f>+SUM(DataEx!FD222)</f>
        <v>194711.60663450463</v>
      </c>
      <c r="R110" s="91">
        <f>+SUM(DataEx!FE222)</f>
        <v>152772.0914955248</v>
      </c>
      <c r="S110" s="125">
        <f t="shared" si="21"/>
        <v>1854898.1305385595</v>
      </c>
      <c r="T110" s="126">
        <f t="shared" si="22"/>
        <v>3.9779072068165549E-4</v>
      </c>
    </row>
    <row r="111" spans="1:21">
      <c r="A111" s="137" t="str">
        <f t="shared" si="18"/>
        <v>7114p</v>
      </c>
      <c r="B111" s="540" t="str">
        <f>+VLOOKUP(LEFT($A111,LEN(A111)-1)*1,Master!$D$27:$G$225,4,FALSE)</f>
        <v>Porez na dodatu vrijednost</v>
      </c>
      <c r="C111" s="541"/>
      <c r="D111" s="541"/>
      <c r="E111" s="541"/>
      <c r="F111" s="541"/>
      <c r="G111" s="91">
        <f>+SUM(DataEx!ET223)</f>
        <v>40926868.810000002</v>
      </c>
      <c r="H111" s="91">
        <f>+SUM(DataEx!EU223)</f>
        <v>38270122.18</v>
      </c>
      <c r="I111" s="91">
        <f>+SUM(DataEx!EV223)</f>
        <v>40510183.409999996</v>
      </c>
      <c r="J111" s="91">
        <f>+SUM(DataEx!EW223)</f>
        <v>50343037.649999999</v>
      </c>
      <c r="K111" s="91">
        <f>+SUM(DataEx!EX223)</f>
        <v>53847636.579999998</v>
      </c>
      <c r="L111" s="91">
        <f>+SUM(DataEx!EY223)</f>
        <v>52130099.289999999</v>
      </c>
      <c r="M111" s="91">
        <f>+SUM(DataEx!EZ223)</f>
        <v>58718115.561732136</v>
      </c>
      <c r="N111" s="91">
        <f>+SUM(DataEx!FA223)</f>
        <v>64446747.698135167</v>
      </c>
      <c r="O111" s="91">
        <f>+SUM(DataEx!FB223)</f>
        <v>60581956.959091514</v>
      </c>
      <c r="P111" s="91">
        <f>+SUM(DataEx!FC223)</f>
        <v>56752286.283165328</v>
      </c>
      <c r="Q111" s="91">
        <f>+SUM(DataEx!FD223)</f>
        <v>50951819.125281952</v>
      </c>
      <c r="R111" s="91">
        <f>+SUM(DataEx!FE223)</f>
        <v>56912908.473788776</v>
      </c>
      <c r="S111" s="125">
        <f t="shared" si="21"/>
        <v>624391782.02119482</v>
      </c>
      <c r="T111" s="126">
        <f t="shared" si="22"/>
        <v>0.13390344885721528</v>
      </c>
    </row>
    <row r="112" spans="1:21">
      <c r="A112" s="137" t="str">
        <f t="shared" si="18"/>
        <v>7115p</v>
      </c>
      <c r="B112" s="540" t="str">
        <f>+VLOOKUP(LEFT($A112,LEN(A112)-1)*1,Master!$D$27:$G$225,4,FALSE)</f>
        <v>Akcize</v>
      </c>
      <c r="C112" s="541"/>
      <c r="D112" s="541"/>
      <c r="E112" s="541"/>
      <c r="F112" s="541"/>
      <c r="G112" s="91">
        <f>+SUM(DataEx!ET224)</f>
        <v>13370061.67</v>
      </c>
      <c r="H112" s="91">
        <f>+SUM(DataEx!EU224)</f>
        <v>13585674.48</v>
      </c>
      <c r="I112" s="91">
        <f>+SUM(DataEx!EV224)</f>
        <v>13376493.630000001</v>
      </c>
      <c r="J112" s="91">
        <f>+SUM(DataEx!EW224)</f>
        <v>16425170.310000001</v>
      </c>
      <c r="K112" s="91">
        <f>+SUM(DataEx!EX224)</f>
        <v>19160303.329999998</v>
      </c>
      <c r="L112" s="91">
        <f>+SUM(DataEx!EY224)</f>
        <v>18124078.879999999</v>
      </c>
      <c r="M112" s="91">
        <f>+SUM(DataEx!EZ224)</f>
        <v>22564675.182721738</v>
      </c>
      <c r="N112" s="91">
        <f>+SUM(DataEx!FA224)</f>
        <v>27485729.223607898</v>
      </c>
      <c r="O112" s="91">
        <f>+SUM(DataEx!FB224)</f>
        <v>26516012.978469536</v>
      </c>
      <c r="P112" s="91">
        <f>+SUM(DataEx!FC224)</f>
        <v>22441791.757639553</v>
      </c>
      <c r="Q112" s="91">
        <f>+SUM(DataEx!FD224)</f>
        <v>19412572.915558279</v>
      </c>
      <c r="R112" s="91">
        <f>+SUM(DataEx!FE224)</f>
        <v>20235266.586429998</v>
      </c>
      <c r="S112" s="125">
        <f t="shared" si="21"/>
        <v>232697830.94442701</v>
      </c>
      <c r="T112" s="126">
        <f t="shared" si="22"/>
        <v>4.9903030440580531E-2</v>
      </c>
    </row>
    <row r="113" spans="1:20">
      <c r="A113" s="137" t="str">
        <f t="shared" si="18"/>
        <v>7116p</v>
      </c>
      <c r="B113" s="540" t="str">
        <f>+VLOOKUP(LEFT($A113,LEN(A113)-1)*1,Master!$D$27:$G$225,4,FALSE)</f>
        <v>Porez na međunarodnu trgovinu i transakcije</v>
      </c>
      <c r="C113" s="541"/>
      <c r="D113" s="541"/>
      <c r="E113" s="541"/>
      <c r="F113" s="541"/>
      <c r="G113" s="91">
        <f>+SUM(DataEx!ET225)</f>
        <v>1218936.71</v>
      </c>
      <c r="H113" s="91">
        <f>+SUM(DataEx!EU225)</f>
        <v>1678360</v>
      </c>
      <c r="I113" s="91">
        <f>+SUM(DataEx!EV225)</f>
        <v>2228428.98</v>
      </c>
      <c r="J113" s="91">
        <f>+SUM(DataEx!EW225)</f>
        <v>2192466.4500000002</v>
      </c>
      <c r="K113" s="91">
        <f>+SUM(DataEx!EX225)</f>
        <v>2597651.13</v>
      </c>
      <c r="L113" s="91">
        <f>+SUM(DataEx!EY225)</f>
        <v>2330703.23</v>
      </c>
      <c r="M113" s="91">
        <f>+SUM(DataEx!EZ225)</f>
        <v>2655462.9671497694</v>
      </c>
      <c r="N113" s="91">
        <f>+SUM(DataEx!FA225)</f>
        <v>3013417.3907755367</v>
      </c>
      <c r="O113" s="91">
        <f>+SUM(DataEx!FB225)</f>
        <v>2264822.404288616</v>
      </c>
      <c r="P113" s="91">
        <f>+SUM(DataEx!FC225)</f>
        <v>2282422.1778777274</v>
      </c>
      <c r="Q113" s="91">
        <f>+SUM(DataEx!FD225)</f>
        <v>1990595.3450587576</v>
      </c>
      <c r="R113" s="91">
        <f>+SUM(DataEx!FE225)</f>
        <v>2406738.0925977062</v>
      </c>
      <c r="S113" s="125">
        <f t="shared" si="21"/>
        <v>26860004.877748117</v>
      </c>
      <c r="T113" s="126">
        <f t="shared" si="22"/>
        <v>5.7602412347733467E-3</v>
      </c>
    </row>
    <row r="114" spans="1:20">
      <c r="A114" s="137" t="str">
        <f t="shared" si="18"/>
        <v>7118p</v>
      </c>
      <c r="B114" s="540" t="str">
        <f>+VLOOKUP(LEFT($A114,LEN(A114)-1)*1,Master!$D$27:$G$225,4,FALSE)</f>
        <v>Ostali državni porezi</v>
      </c>
      <c r="C114" s="541"/>
      <c r="D114" s="541"/>
      <c r="E114" s="541"/>
      <c r="F114" s="541"/>
      <c r="G114" s="91">
        <f>+SUM(DataEx!ET227)</f>
        <v>714376.2</v>
      </c>
      <c r="H114" s="91">
        <f>+SUM(DataEx!EU227)</f>
        <v>607913.56999999995</v>
      </c>
      <c r="I114" s="91">
        <f>+SUM(DataEx!EV227)</f>
        <v>679214.74</v>
      </c>
      <c r="J114" s="91">
        <f>+SUM(DataEx!EW227)</f>
        <v>726283.06</v>
      </c>
      <c r="K114" s="91">
        <f>+SUM(DataEx!EX227)</f>
        <v>742764.21</v>
      </c>
      <c r="L114" s="91">
        <f>+SUM(DataEx!EY227)</f>
        <v>918480.01</v>
      </c>
      <c r="M114" s="91">
        <f>+SUM(DataEx!EZ227)</f>
        <v>927771.35189568857</v>
      </c>
      <c r="N114" s="91">
        <f>+SUM(DataEx!FA227)</f>
        <v>869393.84000284644</v>
      </c>
      <c r="O114" s="91">
        <f>+SUM(DataEx!FB227)</f>
        <v>859148.63920368766</v>
      </c>
      <c r="P114" s="91">
        <f>+SUM(DataEx!FC227)</f>
        <v>887199.17664592748</v>
      </c>
      <c r="Q114" s="91">
        <f>+SUM(DataEx!FD227)</f>
        <v>764150.97009006375</v>
      </c>
      <c r="R114" s="91">
        <f>+SUM(DataEx!FE227)</f>
        <v>857950.11664736422</v>
      </c>
      <c r="S114" s="125">
        <f t="shared" si="21"/>
        <v>9554645.8844855782</v>
      </c>
      <c r="T114" s="126">
        <f t="shared" si="22"/>
        <v>2.0490340734474755E-3</v>
      </c>
    </row>
    <row r="115" spans="1:20">
      <c r="A115" s="137" t="str">
        <f t="shared" si="18"/>
        <v>712p</v>
      </c>
      <c r="B115" s="552" t="str">
        <f>+VLOOKUP(LEFT($A115,LEN(A115)-1)*1,Master!$D$27:$G$225,4,FALSE)</f>
        <v>Doprinosi</v>
      </c>
      <c r="C115" s="553"/>
      <c r="D115" s="553"/>
      <c r="E115" s="553"/>
      <c r="F115" s="553"/>
      <c r="G115" s="83">
        <f>+SUM(G116:G119)</f>
        <v>14572676.99</v>
      </c>
      <c r="H115" s="83">
        <f t="shared" ref="H115:R115" si="23">+SUM(H116:H119)</f>
        <v>36938118.07</v>
      </c>
      <c r="I115" s="83">
        <f t="shared" si="23"/>
        <v>43053255.970000006</v>
      </c>
      <c r="J115" s="83">
        <f t="shared" si="23"/>
        <v>41029948.000000007</v>
      </c>
      <c r="K115" s="83">
        <f t="shared" si="23"/>
        <v>40388291.549999997</v>
      </c>
      <c r="L115" s="83">
        <f t="shared" si="23"/>
        <v>42077356.240000002</v>
      </c>
      <c r="M115" s="83">
        <f t="shared" si="23"/>
        <v>46362054.926801726</v>
      </c>
      <c r="N115" s="83">
        <f t="shared" si="23"/>
        <v>45724084.253699668</v>
      </c>
      <c r="O115" s="83">
        <f t="shared" si="23"/>
        <v>41947258.969554022</v>
      </c>
      <c r="P115" s="83">
        <f t="shared" si="23"/>
        <v>44433442.802094914</v>
      </c>
      <c r="Q115" s="83">
        <f t="shared" si="23"/>
        <v>45788790.684398532</v>
      </c>
      <c r="R115" s="84">
        <f t="shared" si="23"/>
        <v>79938550.463845864</v>
      </c>
      <c r="S115" s="127">
        <f t="shared" si="21"/>
        <v>522253828.92039472</v>
      </c>
      <c r="T115" s="128">
        <f t="shared" si="22"/>
        <v>0.11199953440282966</v>
      </c>
    </row>
    <row r="116" spans="1:20">
      <c r="A116" s="137" t="str">
        <f t="shared" si="18"/>
        <v>7121p</v>
      </c>
      <c r="B116" s="540" t="str">
        <f>+VLOOKUP(LEFT($A116,LEN(A116)-1)*1,Master!$D$27:$G$225,4,FALSE)</f>
        <v>Doprinosi za penzijsko i invalidsko osiguranje</v>
      </c>
      <c r="C116" s="541"/>
      <c r="D116" s="541"/>
      <c r="E116" s="541"/>
      <c r="F116" s="541"/>
      <c r="G116" s="91">
        <f>+SUM(DataEx!ET229)</f>
        <v>8994145.9900000002</v>
      </c>
      <c r="H116" s="91">
        <f>+SUM(DataEx!EU229)</f>
        <v>22424749.280000001</v>
      </c>
      <c r="I116" s="91">
        <f>+SUM(DataEx!EV229)</f>
        <v>26103027.100000001</v>
      </c>
      <c r="J116" s="91">
        <f>+SUM(DataEx!EW229)</f>
        <v>24891690.100000001</v>
      </c>
      <c r="K116" s="91">
        <f>+SUM(DataEx!EX229)</f>
        <v>24475000.460000001</v>
      </c>
      <c r="L116" s="91">
        <f>+SUM(DataEx!EY229)</f>
        <v>25149415.170000002</v>
      </c>
      <c r="M116" s="91">
        <f>+SUM(DataEx!EZ229)</f>
        <v>27214533.213990007</v>
      </c>
      <c r="N116" s="91">
        <f>+SUM(DataEx!FA229)</f>
        <v>26766339.061796233</v>
      </c>
      <c r="O116" s="91">
        <f>+SUM(DataEx!FB229)</f>
        <v>24221524.281348474</v>
      </c>
      <c r="P116" s="91">
        <f>+SUM(DataEx!FC229)</f>
        <v>26183242.710226167</v>
      </c>
      <c r="Q116" s="91">
        <f>+SUM(DataEx!FD229)</f>
        <v>29430359.803999923</v>
      </c>
      <c r="R116" s="91">
        <f>+SUM(DataEx!FE229)</f>
        <v>48642087.791189887</v>
      </c>
      <c r="S116" s="125">
        <f t="shared" si="21"/>
        <v>314496114.9625507</v>
      </c>
      <c r="T116" s="126">
        <f t="shared" si="22"/>
        <v>6.7445017148305961E-2</v>
      </c>
    </row>
    <row r="117" spans="1:20">
      <c r="A117" s="137" t="str">
        <f t="shared" si="18"/>
        <v>7122p</v>
      </c>
      <c r="B117" s="540" t="str">
        <f>+VLOOKUP(LEFT($A117,LEN(A117)-1)*1,Master!$D$27:$G$225,4,FALSE)</f>
        <v>Doprinosi za zdravstveno osiguranje</v>
      </c>
      <c r="C117" s="541"/>
      <c r="D117" s="541"/>
      <c r="E117" s="541"/>
      <c r="F117" s="541"/>
      <c r="G117" s="91">
        <f>+SUM(DataEx!ET230)</f>
        <v>4907250.76</v>
      </c>
      <c r="H117" s="91">
        <f>+SUM(DataEx!EU230)</f>
        <v>12702016.77</v>
      </c>
      <c r="I117" s="91">
        <f>+SUM(DataEx!EV230)</f>
        <v>14741947.74</v>
      </c>
      <c r="J117" s="91">
        <f>+SUM(DataEx!EW230)</f>
        <v>14077229.140000001</v>
      </c>
      <c r="K117" s="91">
        <f>+SUM(DataEx!EX230)</f>
        <v>13944751.890000001</v>
      </c>
      <c r="L117" s="91">
        <f>+SUM(DataEx!EY230)</f>
        <v>14898396.42</v>
      </c>
      <c r="M117" s="91">
        <f>+SUM(DataEx!EZ230)</f>
        <v>16351036.212440157</v>
      </c>
      <c r="N117" s="91">
        <f>+SUM(DataEx!FA230)</f>
        <v>16180831.542594498</v>
      </c>
      <c r="O117" s="91">
        <f>+SUM(DataEx!FB230)</f>
        <v>14961626.025683265</v>
      </c>
      <c r="P117" s="91">
        <f>+SUM(DataEx!FC230)</f>
        <v>15948125.340694834</v>
      </c>
      <c r="Q117" s="91">
        <f>+SUM(DataEx!FD230)</f>
        <v>14572835.35145361</v>
      </c>
      <c r="R117" s="91">
        <f>+SUM(DataEx!FE230)</f>
        <v>27610027.253725816</v>
      </c>
      <c r="S117" s="125">
        <f t="shared" si="21"/>
        <v>180896074.44659218</v>
      </c>
      <c r="T117" s="126">
        <f t="shared" si="22"/>
        <v>3.8793925465707098E-2</v>
      </c>
    </row>
    <row r="118" spans="1:20">
      <c r="A118" s="137" t="str">
        <f t="shared" si="18"/>
        <v>7123p</v>
      </c>
      <c r="B118" s="540" t="str">
        <f>+VLOOKUP(LEFT($A118,LEN(A118)-1)*1,Master!$D$27:$G$225,4,FALSE)</f>
        <v>Doprinosi za osiguranje od nezaposlenosti</v>
      </c>
      <c r="C118" s="541"/>
      <c r="D118" s="541"/>
      <c r="E118" s="541"/>
      <c r="F118" s="541"/>
      <c r="G118" s="91">
        <f>+SUM(DataEx!ET231)</f>
        <v>365962.97</v>
      </c>
      <c r="H118" s="91">
        <f>+SUM(DataEx!EU231)</f>
        <v>960588.74</v>
      </c>
      <c r="I118" s="91">
        <f>+SUM(DataEx!EV231)</f>
        <v>1116426.95</v>
      </c>
      <c r="J118" s="91">
        <f>+SUM(DataEx!EW231)</f>
        <v>1036934.31</v>
      </c>
      <c r="K118" s="91">
        <f>+SUM(DataEx!EX231)</f>
        <v>1027117.44</v>
      </c>
      <c r="L118" s="91">
        <f>+SUM(DataEx!EY231)</f>
        <v>1092483.07</v>
      </c>
      <c r="M118" s="91">
        <f>+SUM(DataEx!EZ231)</f>
        <v>1576115.9476078246</v>
      </c>
      <c r="N118" s="91">
        <f>+SUM(DataEx!FA231)</f>
        <v>1557858.7518803985</v>
      </c>
      <c r="O118" s="91">
        <f>+SUM(DataEx!FB231)</f>
        <v>1653902.3276207412</v>
      </c>
      <c r="P118" s="91">
        <f>+SUM(DataEx!FC231)</f>
        <v>1132729.8160718586</v>
      </c>
      <c r="Q118" s="91">
        <f>+SUM(DataEx!FD231)</f>
        <v>1164089.0611646532</v>
      </c>
      <c r="R118" s="91">
        <f>+SUM(DataEx!FE231)</f>
        <v>1464942.2389943595</v>
      </c>
      <c r="S118" s="125">
        <f t="shared" si="21"/>
        <v>14149151.623339836</v>
      </c>
      <c r="T118" s="126">
        <f t="shared" si="22"/>
        <v>3.0343451905082211E-3</v>
      </c>
    </row>
    <row r="119" spans="1:20">
      <c r="A119" s="137" t="str">
        <f t="shared" si="18"/>
        <v>7124p</v>
      </c>
      <c r="B119" s="540" t="str">
        <f>+VLOOKUP(LEFT($A119,LEN(A119)-1)*1,Master!$D$27:$G$225,4,FALSE)</f>
        <v>Ostali doprinosi</v>
      </c>
      <c r="C119" s="541"/>
      <c r="D119" s="541"/>
      <c r="E119" s="541"/>
      <c r="F119" s="541"/>
      <c r="G119" s="91">
        <f>+SUM(DataEx!ET232)</f>
        <v>305317.27</v>
      </c>
      <c r="H119" s="91">
        <f>+SUM(DataEx!EU232)</f>
        <v>850763.28</v>
      </c>
      <c r="I119" s="91">
        <f>+SUM(DataEx!EV232)</f>
        <v>1091854.18</v>
      </c>
      <c r="J119" s="91">
        <f>+SUM(DataEx!EW232)</f>
        <v>1024094.45</v>
      </c>
      <c r="K119" s="91">
        <f>+SUM(DataEx!EX232)</f>
        <v>941421.76</v>
      </c>
      <c r="L119" s="91">
        <f>+SUM(DataEx!EY232)</f>
        <v>937061.58</v>
      </c>
      <c r="M119" s="91">
        <f>+SUM(DataEx!EZ232)</f>
        <v>1220369.5527637345</v>
      </c>
      <c r="N119" s="91">
        <f>+SUM(DataEx!FA232)</f>
        <v>1219054.8974285366</v>
      </c>
      <c r="O119" s="91">
        <f>+SUM(DataEx!FB232)</f>
        <v>1110206.3349015415</v>
      </c>
      <c r="P119" s="91">
        <f>+SUM(DataEx!FC232)</f>
        <v>1169344.9351020544</v>
      </c>
      <c r="Q119" s="91">
        <f>+SUM(DataEx!FD232)</f>
        <v>621506.46778034756</v>
      </c>
      <c r="R119" s="91">
        <f>+SUM(DataEx!FE232)</f>
        <v>2221493.1799357985</v>
      </c>
      <c r="S119" s="125">
        <f t="shared" si="21"/>
        <v>12712487.887912013</v>
      </c>
      <c r="T119" s="126">
        <f t="shared" si="22"/>
        <v>2.726246598308388E-3</v>
      </c>
    </row>
    <row r="120" spans="1:20">
      <c r="A120" s="137" t="str">
        <f t="shared" si="18"/>
        <v>713p</v>
      </c>
      <c r="B120" s="550" t="str">
        <f>+VLOOKUP(LEFT($A120,LEN(A120)-1)*1,Master!$D$27:$G$225,4,FALSE)</f>
        <v>Takse</v>
      </c>
      <c r="C120" s="551"/>
      <c r="D120" s="551"/>
      <c r="E120" s="551"/>
      <c r="F120" s="551"/>
      <c r="G120" s="85">
        <f>+SUM(DataEx!ET233)</f>
        <v>785627.23999999987</v>
      </c>
      <c r="H120" s="85">
        <f>+SUM(DataEx!EU233)</f>
        <v>993423.94</v>
      </c>
      <c r="I120" s="85">
        <f>+SUM(DataEx!EV233)</f>
        <v>1089343.29</v>
      </c>
      <c r="J120" s="85">
        <f>+SUM(DataEx!EW233)</f>
        <v>1198538.77</v>
      </c>
      <c r="K120" s="85">
        <f>+SUM(DataEx!EX233)</f>
        <v>1382138.7799999998</v>
      </c>
      <c r="L120" s="85">
        <f>+SUM(DataEx!EY233)</f>
        <v>1539773.02</v>
      </c>
      <c r="M120" s="85">
        <f>+SUM(DataEx!EZ233)</f>
        <v>1993333.2050530105</v>
      </c>
      <c r="N120" s="85">
        <f>+SUM(DataEx!FA233)</f>
        <v>2094009.8411112905</v>
      </c>
      <c r="O120" s="85">
        <f>+SUM(DataEx!FB233)</f>
        <v>1758705.3100069393</v>
      </c>
      <c r="P120" s="85">
        <f>+SUM(DataEx!FC233)</f>
        <v>1756312.8353634721</v>
      </c>
      <c r="Q120" s="85">
        <f>+SUM(DataEx!FD233)</f>
        <v>1538063.0039378535</v>
      </c>
      <c r="R120" s="85">
        <f>+SUM(DataEx!FE233)</f>
        <v>1571199.152751297</v>
      </c>
      <c r="S120" s="127">
        <f t="shared" si="21"/>
        <v>17700468.388223864</v>
      </c>
      <c r="T120" s="128">
        <f t="shared" si="22"/>
        <v>3.7959400360763167E-3</v>
      </c>
    </row>
    <row r="121" spans="1:20">
      <c r="A121" s="137" t="str">
        <f t="shared" si="18"/>
        <v>714p</v>
      </c>
      <c r="B121" s="550" t="str">
        <f>+VLOOKUP(LEFT($A121,LEN(A121)-1)*1,Master!$D$27:$G$225,4,FALSE)</f>
        <v>Naknade</v>
      </c>
      <c r="C121" s="551"/>
      <c r="D121" s="551"/>
      <c r="E121" s="551"/>
      <c r="F121" s="551"/>
      <c r="G121" s="85">
        <f>+SUM(DataEx!ET238)</f>
        <v>1774503.5699999998</v>
      </c>
      <c r="H121" s="85">
        <f>+SUM(DataEx!EU238)</f>
        <v>1885893.46</v>
      </c>
      <c r="I121" s="85">
        <f>+SUM(DataEx!EV238)</f>
        <v>2001213.06</v>
      </c>
      <c r="J121" s="85">
        <f>+SUM(DataEx!EW238)</f>
        <v>2389766.7799999998</v>
      </c>
      <c r="K121" s="85">
        <f>+SUM(DataEx!EX238)</f>
        <v>1530724.52</v>
      </c>
      <c r="L121" s="85">
        <f>+SUM(DataEx!EY238)</f>
        <v>2860047.35</v>
      </c>
      <c r="M121" s="85">
        <f>+SUM(DataEx!EZ238)</f>
        <v>2768982.89609381</v>
      </c>
      <c r="N121" s="85">
        <f>+SUM(DataEx!FA238)</f>
        <v>1878964.846878767</v>
      </c>
      <c r="O121" s="85">
        <f>+SUM(DataEx!FB238)</f>
        <v>2453431.0919642458</v>
      </c>
      <c r="P121" s="85">
        <f>+SUM(DataEx!FC238)</f>
        <v>3062621.0292725526</v>
      </c>
      <c r="Q121" s="85">
        <f>+SUM(DataEx!FD238)</f>
        <v>2157522.0205821833</v>
      </c>
      <c r="R121" s="85">
        <f>+SUM(DataEx!FE238)</f>
        <v>3364455.4723437326</v>
      </c>
      <c r="S121" s="127">
        <f t="shared" si="21"/>
        <v>28128126.097135291</v>
      </c>
      <c r="T121" s="128">
        <f t="shared" si="22"/>
        <v>6.0321951741658351E-3</v>
      </c>
    </row>
    <row r="122" spans="1:20">
      <c r="A122" s="137" t="str">
        <f t="shared" si="18"/>
        <v>715p</v>
      </c>
      <c r="B122" s="550" t="str">
        <f>+VLOOKUP(LEFT($A122,LEN(A122)-1)*1,Master!$D$27:$G$225,4,FALSE)</f>
        <v>Ostali prihodi</v>
      </c>
      <c r="C122" s="551"/>
      <c r="D122" s="551"/>
      <c r="E122" s="551"/>
      <c r="F122" s="551"/>
      <c r="G122" s="85">
        <f>+SUM(DataEx!ET245)</f>
        <v>2425520.8099999996</v>
      </c>
      <c r="H122" s="85">
        <f>+SUM(DataEx!EU245)</f>
        <v>1609741.96</v>
      </c>
      <c r="I122" s="85">
        <f>+SUM(DataEx!EV245)</f>
        <v>2046839.3099999998</v>
      </c>
      <c r="J122" s="85">
        <f>+SUM(DataEx!EW245)</f>
        <v>5482431.4299999997</v>
      </c>
      <c r="K122" s="85">
        <f>+SUM(DataEx!EX245)</f>
        <v>2151437.83</v>
      </c>
      <c r="L122" s="85">
        <f>+SUM(DataEx!EY245)</f>
        <v>2740294.16</v>
      </c>
      <c r="M122" s="85">
        <f>+SUM(DataEx!EZ245)</f>
        <v>3610099.6149461018</v>
      </c>
      <c r="N122" s="85">
        <f>+SUM(DataEx!FA245)</f>
        <v>2856432.7673175023</v>
      </c>
      <c r="O122" s="85">
        <f>+SUM(DataEx!FB245)</f>
        <v>38693622.019299239</v>
      </c>
      <c r="P122" s="85">
        <f>+SUM(DataEx!FC245)</f>
        <v>3080614.3453884441</v>
      </c>
      <c r="Q122" s="85">
        <f>+SUM(DataEx!FD245)</f>
        <v>2054798.3756645597</v>
      </c>
      <c r="R122" s="85">
        <f>+SUM(DataEx!FE245)</f>
        <v>4981072.0471647922</v>
      </c>
      <c r="S122" s="127">
        <f t="shared" si="21"/>
        <v>71732904.669780642</v>
      </c>
      <c r="T122" s="128">
        <f t="shared" si="22"/>
        <v>1.5383423690709981E-2</v>
      </c>
    </row>
    <row r="123" spans="1:20">
      <c r="A123" s="137" t="str">
        <f t="shared" si="18"/>
        <v>73p</v>
      </c>
      <c r="B123" s="550" t="str">
        <f>+VLOOKUP(LEFT($A123,LEN(A123)-1)*1,Master!$D$27:$G$225,4,FALSE)</f>
        <v>Primici od otplate kredita i sredstva prenesena iz prethodne godine</v>
      </c>
      <c r="C123" s="551"/>
      <c r="D123" s="551"/>
      <c r="E123" s="551"/>
      <c r="F123" s="551"/>
      <c r="G123" s="85">
        <f>+SUM(DataEx!ET253)</f>
        <v>172043.05</v>
      </c>
      <c r="H123" s="85">
        <f>+SUM(DataEx!EU253)</f>
        <v>78777.210000000006</v>
      </c>
      <c r="I123" s="85">
        <f>+SUM(DataEx!EV253)</f>
        <v>195694.06</v>
      </c>
      <c r="J123" s="85">
        <f>+SUM(DataEx!EW253)</f>
        <v>433978.03</v>
      </c>
      <c r="K123" s="85">
        <f>+SUM(DataEx!EX253)</f>
        <v>1090667.1299999999</v>
      </c>
      <c r="L123" s="85">
        <f>+SUM(DataEx!EY253)</f>
        <v>2374577.77</v>
      </c>
      <c r="M123" s="85">
        <f>+SUM(DataEx!EZ253)</f>
        <v>478781.26200871647</v>
      </c>
      <c r="N123" s="85">
        <f>+SUM(DataEx!FA253)</f>
        <v>135623.91601735391</v>
      </c>
      <c r="O123" s="85">
        <f>+SUM(DataEx!FB253)</f>
        <v>165878.65208433714</v>
      </c>
      <c r="P123" s="85">
        <f>+SUM(DataEx!FC253)</f>
        <v>490320.35892417241</v>
      </c>
      <c r="Q123" s="85">
        <f>+SUM(DataEx!FD253)</f>
        <v>785775.49666312477</v>
      </c>
      <c r="R123" s="85">
        <f>+SUM(DataEx!FE253)</f>
        <v>860197.30493980495</v>
      </c>
      <c r="S123" s="127">
        <f t="shared" si="21"/>
        <v>7262314.2406375092</v>
      </c>
      <c r="T123" s="128">
        <f t="shared" si="22"/>
        <v>1.5574338924807011E-3</v>
      </c>
    </row>
    <row r="124" spans="1:20" ht="13.5" thickBot="1">
      <c r="A124" s="137" t="str">
        <f t="shared" si="18"/>
        <v>74p</v>
      </c>
      <c r="B124" s="554" t="str">
        <f>+VLOOKUP(LEFT($A124,LEN(A124)-1)*1,Master!$D$27:$G$225,4,FALSE)</f>
        <v>Donacije i transferi</v>
      </c>
      <c r="C124" s="555"/>
      <c r="D124" s="555"/>
      <c r="E124" s="555"/>
      <c r="F124" s="555"/>
      <c r="G124" s="85">
        <f>+SUM(DataEx!ET256)</f>
        <v>1518621.66</v>
      </c>
      <c r="H124" s="85">
        <f>+SUM(DataEx!EU256)</f>
        <v>776556.18</v>
      </c>
      <c r="I124" s="85">
        <f>+SUM(DataEx!EV256)</f>
        <v>1210159.24</v>
      </c>
      <c r="J124" s="85">
        <f>+SUM(DataEx!EW256)</f>
        <v>8493510.6400000006</v>
      </c>
      <c r="K124" s="85">
        <f>+SUM(DataEx!EX256)</f>
        <v>1746477.29</v>
      </c>
      <c r="L124" s="85">
        <f>+SUM(DataEx!EY256)</f>
        <v>1532517.83</v>
      </c>
      <c r="M124" s="85">
        <f>+SUM(DataEx!EZ256)</f>
        <v>2435550.5406138748</v>
      </c>
      <c r="N124" s="85">
        <f>+SUM(DataEx!FA256)</f>
        <v>570671.53597611003</v>
      </c>
      <c r="O124" s="85">
        <f>+SUM(DataEx!FB256)</f>
        <v>1353198.8801805205</v>
      </c>
      <c r="P124" s="85">
        <f>+SUM(DataEx!FC256)</f>
        <v>2470225.2025423776</v>
      </c>
      <c r="Q124" s="85">
        <f>+SUM(DataEx!FD256)</f>
        <v>2112933.3732640138</v>
      </c>
      <c r="R124" s="85">
        <f>+SUM(DataEx!FE256)</f>
        <v>7307967.0482751997</v>
      </c>
      <c r="S124" s="129">
        <f t="shared" si="21"/>
        <v>31528389.420852099</v>
      </c>
      <c r="T124" s="130">
        <f t="shared" si="22"/>
        <v>6.7613959727325966E-3</v>
      </c>
    </row>
    <row r="125" spans="1:20" ht="13.5" thickBot="1">
      <c r="A125" s="137" t="str">
        <f t="shared" si="18"/>
        <v>4p</v>
      </c>
      <c r="B125" s="556" t="str">
        <f>+VLOOKUP(LEFT($A125,LEN(A125)-1)*1,Master!$D$27:$G$225,4,FALSE)</f>
        <v>Budžetski izdaci</v>
      </c>
      <c r="C125" s="557"/>
      <c r="D125" s="557"/>
      <c r="E125" s="557"/>
      <c r="F125" s="557"/>
      <c r="G125" s="97">
        <f>+G127+G138+G144+SUM(G145:G148)</f>
        <v>145769475.38066667</v>
      </c>
      <c r="H125" s="97">
        <f>+H127+H138+H144+SUM(H145:H148)</f>
        <v>145769475.38066667</v>
      </c>
      <c r="I125" s="97">
        <f t="shared" ref="I125:R125" si="24">+I127+I138+I144+SUM(I145:I148)</f>
        <v>145769475.38066667</v>
      </c>
      <c r="J125" s="97">
        <f t="shared" si="24"/>
        <v>148999586.37577778</v>
      </c>
      <c r="K125" s="97">
        <f t="shared" si="24"/>
        <v>149556586.02311113</v>
      </c>
      <c r="L125" s="97">
        <f t="shared" si="24"/>
        <v>148880586.49177778</v>
      </c>
      <c r="M125" s="97">
        <f t="shared" si="24"/>
        <v>158107547.35211113</v>
      </c>
      <c r="N125" s="97">
        <f t="shared" si="24"/>
        <v>158107547.35211113</v>
      </c>
      <c r="O125" s="97">
        <f t="shared" si="24"/>
        <v>174334840.49077779</v>
      </c>
      <c r="P125" s="97">
        <f t="shared" si="24"/>
        <v>174334840.49077779</v>
      </c>
      <c r="Q125" s="97">
        <f t="shared" si="24"/>
        <v>174834840.49411109</v>
      </c>
      <c r="R125" s="97">
        <f t="shared" si="24"/>
        <v>175378273.4841111</v>
      </c>
      <c r="S125" s="131">
        <f>+SUM(G125:R125)</f>
        <v>1899843074.6966665</v>
      </c>
      <c r="T125" s="132">
        <f t="shared" si="22"/>
        <v>0.40742935335549357</v>
      </c>
    </row>
    <row r="126" spans="1:20" ht="13.5" thickBot="1">
      <c r="A126" s="137" t="str">
        <f t="shared" si="18"/>
        <v>40p</v>
      </c>
      <c r="B126" s="558" t="str">
        <f>+VLOOKUP(LEFT($A126,LEN(A126)-1)*1,Master!$D$27:$G$225,4,FALSE)</f>
        <v>Tekuća budžetska potrošnja</v>
      </c>
      <c r="C126" s="559"/>
      <c r="D126" s="559"/>
      <c r="E126" s="559"/>
      <c r="F126" s="559"/>
      <c r="G126" s="80">
        <f t="shared" ref="G126:R126" si="25">+G125-G145</f>
        <v>124297392.04733334</v>
      </c>
      <c r="H126" s="80">
        <f t="shared" si="25"/>
        <v>124297392.04733334</v>
      </c>
      <c r="I126" s="80">
        <f t="shared" si="25"/>
        <v>124297392.04733334</v>
      </c>
      <c r="J126" s="80">
        <f t="shared" si="25"/>
        <v>127527503.04244445</v>
      </c>
      <c r="K126" s="80">
        <f t="shared" si="25"/>
        <v>128084502.68977781</v>
      </c>
      <c r="L126" s="80">
        <f t="shared" si="25"/>
        <v>127408503.15844445</v>
      </c>
      <c r="M126" s="80">
        <f t="shared" si="25"/>
        <v>131117130.68544447</v>
      </c>
      <c r="N126" s="80">
        <f t="shared" si="25"/>
        <v>131117130.68544447</v>
      </c>
      <c r="O126" s="80">
        <f t="shared" si="25"/>
        <v>148019423.8241111</v>
      </c>
      <c r="P126" s="80">
        <f t="shared" si="25"/>
        <v>148019423.8241111</v>
      </c>
      <c r="Q126" s="80">
        <f t="shared" si="25"/>
        <v>148019423.8241111</v>
      </c>
      <c r="R126" s="80">
        <f t="shared" si="25"/>
        <v>148562856.8241111</v>
      </c>
      <c r="S126" s="133">
        <f t="shared" si="21"/>
        <v>1610768074.6999998</v>
      </c>
      <c r="T126" s="134">
        <f t="shared" si="22"/>
        <v>0.34543600143684322</v>
      </c>
    </row>
    <row r="127" spans="1:20">
      <c r="A127" s="137" t="str">
        <f t="shared" si="18"/>
        <v>41p</v>
      </c>
      <c r="B127" s="560" t="str">
        <f>+VLOOKUP(LEFT($A127,LEN(A127)-1)*1,Master!$D$27:$G$225,4,FALSE)</f>
        <v>Tekući izdaci</v>
      </c>
      <c r="C127" s="561"/>
      <c r="D127" s="561"/>
      <c r="E127" s="561"/>
      <c r="F127" s="561"/>
      <c r="G127" s="89">
        <f t="shared" ref="G127:R127" si="26">+SUM(G128:G137)</f>
        <v>61981026.661833338</v>
      </c>
      <c r="H127" s="89">
        <f t="shared" si="26"/>
        <v>61981026.661833338</v>
      </c>
      <c r="I127" s="89">
        <f t="shared" si="26"/>
        <v>61981026.661833338</v>
      </c>
      <c r="J127" s="89">
        <f t="shared" si="26"/>
        <v>62225471.106277786</v>
      </c>
      <c r="K127" s="89">
        <f t="shared" si="26"/>
        <v>62425471.101611122</v>
      </c>
      <c r="L127" s="89">
        <f t="shared" si="26"/>
        <v>62225471.106277786</v>
      </c>
      <c r="M127" s="89">
        <f t="shared" si="26"/>
        <v>68385342.175944448</v>
      </c>
      <c r="N127" s="89">
        <f t="shared" si="26"/>
        <v>68385342.175944448</v>
      </c>
      <c r="O127" s="89">
        <f t="shared" si="26"/>
        <v>75624240.564611077</v>
      </c>
      <c r="P127" s="89">
        <f t="shared" si="26"/>
        <v>75624240.564611077</v>
      </c>
      <c r="Q127" s="89">
        <f t="shared" si="26"/>
        <v>75624240.564611092</v>
      </c>
      <c r="R127" s="90">
        <f t="shared" si="26"/>
        <v>76167673.564611077</v>
      </c>
      <c r="S127" s="123">
        <f t="shared" si="21"/>
        <v>812630572.90999997</v>
      </c>
      <c r="T127" s="124">
        <f t="shared" si="22"/>
        <v>0.17427205080634783</v>
      </c>
    </row>
    <row r="128" spans="1:20">
      <c r="A128" s="137" t="str">
        <f t="shared" si="18"/>
        <v>411p</v>
      </c>
      <c r="B128" s="540" t="str">
        <f>+VLOOKUP(LEFT($A128,LEN(A128)-1)*1,Master!$D$27:$G$225,4,FALSE)</f>
        <v>Bruto zarade i doprinosi na teret poslodavca</v>
      </c>
      <c r="C128" s="541"/>
      <c r="D128" s="541"/>
      <c r="E128" s="541"/>
      <c r="F128" s="541"/>
      <c r="G128" s="91">
        <f>+SUM(DataEx!ET265)</f>
        <v>36581480.009166665</v>
      </c>
      <c r="H128" s="91">
        <f>+SUM(DataEx!EU265)</f>
        <v>36581480.009166665</v>
      </c>
      <c r="I128" s="91">
        <f>+SUM(DataEx!EV265)</f>
        <v>36581480.009166665</v>
      </c>
      <c r="J128" s="91">
        <f>+SUM(DataEx!EW265)</f>
        <v>36581480.009166665</v>
      </c>
      <c r="K128" s="91">
        <f>+SUM(DataEx!EX265)</f>
        <v>36581480.009166665</v>
      </c>
      <c r="L128" s="91">
        <f>+SUM(DataEx!EY265)</f>
        <v>36581480.009166665</v>
      </c>
      <c r="M128" s="91">
        <f>+SUM(DataEx!EZ265)</f>
        <v>36581480.009166665</v>
      </c>
      <c r="N128" s="91">
        <f>+SUM(DataEx!FA265)</f>
        <v>36581480.009166665</v>
      </c>
      <c r="O128" s="91">
        <f>+SUM(DataEx!FB265)</f>
        <v>42330489.099166654</v>
      </c>
      <c r="P128" s="91">
        <f>+SUM(DataEx!FC265)</f>
        <v>42330489.099166654</v>
      </c>
      <c r="Q128" s="91">
        <f>+SUM(DataEx!FD265)</f>
        <v>42330489.099166654</v>
      </c>
      <c r="R128" s="91">
        <f>+SUM(DataEx!FE265)</f>
        <v>42330489.099166654</v>
      </c>
      <c r="S128" s="125">
        <f t="shared" si="21"/>
        <v>461973796.46999985</v>
      </c>
      <c r="T128" s="126">
        <f t="shared" si="22"/>
        <v>9.9072227422260309E-2</v>
      </c>
    </row>
    <row r="129" spans="1:20">
      <c r="A129" s="137" t="str">
        <f t="shared" si="18"/>
        <v>412p</v>
      </c>
      <c r="B129" s="540" t="str">
        <f>+VLOOKUP(LEFT($A129,LEN(A129)-1)*1,Master!$D$27:$G$225,4,FALSE)</f>
        <v>Ostala lična primanja</v>
      </c>
      <c r="C129" s="541"/>
      <c r="D129" s="541"/>
      <c r="E129" s="541"/>
      <c r="F129" s="541"/>
      <c r="G129" s="91">
        <f>+SUM(DataEx!ET271)</f>
        <v>1045765.8483333333</v>
      </c>
      <c r="H129" s="91">
        <f>+SUM(DataEx!EU271)</f>
        <v>1045765.8483333333</v>
      </c>
      <c r="I129" s="91">
        <f>+SUM(DataEx!EV271)</f>
        <v>1045765.8483333333</v>
      </c>
      <c r="J129" s="91">
        <f>+SUM(DataEx!EW271)</f>
        <v>1064654.7372222226</v>
      </c>
      <c r="K129" s="91">
        <f>+SUM(DataEx!EX271)</f>
        <v>1064654.7372222226</v>
      </c>
      <c r="L129" s="91">
        <f>+SUM(DataEx!EY271)</f>
        <v>1064654.7372222226</v>
      </c>
      <c r="M129" s="91">
        <f>+SUM(DataEx!EZ271)</f>
        <v>1064654.7372222226</v>
      </c>
      <c r="N129" s="91">
        <f>+SUM(DataEx!FA271)</f>
        <v>1064654.7372222226</v>
      </c>
      <c r="O129" s="91">
        <f>+SUM(DataEx!FB271)</f>
        <v>1064654.7372222201</v>
      </c>
      <c r="P129" s="91">
        <f>+SUM(DataEx!FC271)</f>
        <v>1064654.7372222201</v>
      </c>
      <c r="Q129" s="91">
        <f>+SUM(DataEx!FD271)</f>
        <v>1064654.7372222226</v>
      </c>
      <c r="R129" s="91">
        <f>+SUM(DataEx!FE271)</f>
        <v>1608087.7372222189</v>
      </c>
      <c r="S129" s="125">
        <f t="shared" si="21"/>
        <v>13262623.179999996</v>
      </c>
      <c r="T129" s="126">
        <f t="shared" si="22"/>
        <v>2.8442254299806983E-3</v>
      </c>
    </row>
    <row r="130" spans="1:20">
      <c r="A130" s="137" t="str">
        <f t="shared" si="18"/>
        <v>413p</v>
      </c>
      <c r="B130" s="540" t="str">
        <f>+VLOOKUP(LEFT($A130,LEN(A130)-1)*1,Master!$D$27:$G$225,4,FALSE)</f>
        <v>Rashodi za materijal</v>
      </c>
      <c r="C130" s="541"/>
      <c r="D130" s="541"/>
      <c r="E130" s="541"/>
      <c r="F130" s="541"/>
      <c r="G130" s="91">
        <f>+SUM(DataEx!ET279)</f>
        <v>2429373.3213333334</v>
      </c>
      <c r="H130" s="91">
        <f>+SUM(DataEx!EU279)</f>
        <v>2429373.3213333334</v>
      </c>
      <c r="I130" s="91">
        <f>+SUM(DataEx!EV279)</f>
        <v>2429373.3213333334</v>
      </c>
      <c r="J130" s="91">
        <f>+SUM(DataEx!EW279)</f>
        <v>2429373.3213333334</v>
      </c>
      <c r="K130" s="91">
        <f>+SUM(DataEx!EX279)</f>
        <v>2429373.3213333334</v>
      </c>
      <c r="L130" s="91">
        <f>+SUM(DataEx!EY279)</f>
        <v>2429373.3213333334</v>
      </c>
      <c r="M130" s="91">
        <f>+SUM(DataEx!EZ279)</f>
        <v>3644059.9819999994</v>
      </c>
      <c r="N130" s="91">
        <f>+SUM(DataEx!FA279)</f>
        <v>3644059.9819999994</v>
      </c>
      <c r="O130" s="91">
        <f>+SUM(DataEx!FB279)</f>
        <v>4454463.4019999988</v>
      </c>
      <c r="P130" s="91">
        <f>+SUM(DataEx!FC279)</f>
        <v>4454463.4019999988</v>
      </c>
      <c r="Q130" s="91">
        <f>+SUM(DataEx!FD279)</f>
        <v>4454463.4019999988</v>
      </c>
      <c r="R130" s="91">
        <f>+SUM(DataEx!FE279)</f>
        <v>4454463.4019999988</v>
      </c>
      <c r="S130" s="125">
        <f t="shared" si="21"/>
        <v>39682213.5</v>
      </c>
      <c r="T130" s="126">
        <f t="shared" si="22"/>
        <v>8.5100179069268703E-3</v>
      </c>
    </row>
    <row r="131" spans="1:20">
      <c r="A131" s="137" t="str">
        <f t="shared" si="18"/>
        <v>414p</v>
      </c>
      <c r="B131" s="540" t="str">
        <f>+VLOOKUP(LEFT($A131,LEN(A131)-1)*1,Master!$D$27:$G$225,4,FALSE)</f>
        <v>Rashodi za usluge</v>
      </c>
      <c r="C131" s="541"/>
      <c r="D131" s="541"/>
      <c r="E131" s="541"/>
      <c r="F131" s="541"/>
      <c r="G131" s="91">
        <f>+SUM(DataEx!ET286)</f>
        <v>3986420.5893333331</v>
      </c>
      <c r="H131" s="91">
        <f>+SUM(DataEx!EU286)</f>
        <v>3986420.5893333331</v>
      </c>
      <c r="I131" s="91">
        <f>+SUM(DataEx!EV286)</f>
        <v>3986420.5893333331</v>
      </c>
      <c r="J131" s="91">
        <f>+SUM(DataEx!EW286)</f>
        <v>4097531.7004444432</v>
      </c>
      <c r="K131" s="91">
        <f>+SUM(DataEx!EX286)</f>
        <v>4097531.7004444432</v>
      </c>
      <c r="L131" s="91">
        <f>+SUM(DataEx!EY286)</f>
        <v>4097531.7004444432</v>
      </c>
      <c r="M131" s="91">
        <f>+SUM(DataEx!EZ286)</f>
        <v>6090741.9951111097</v>
      </c>
      <c r="N131" s="91">
        <f>+SUM(DataEx!FA286)</f>
        <v>6090741.9951111097</v>
      </c>
      <c r="O131" s="91">
        <f>+SUM(DataEx!FB286)</f>
        <v>5577148.0201111175</v>
      </c>
      <c r="P131" s="91">
        <f>+SUM(DataEx!FC286)</f>
        <v>5577148.0201111175</v>
      </c>
      <c r="Q131" s="91">
        <f>+SUM(DataEx!FD286)</f>
        <v>5577148.0201111175</v>
      </c>
      <c r="R131" s="91">
        <f>+SUM(DataEx!FE286)</f>
        <v>5577148.0201111175</v>
      </c>
      <c r="S131" s="125">
        <f t="shared" si="21"/>
        <v>58741932.939999998</v>
      </c>
      <c r="T131" s="126">
        <f t="shared" si="22"/>
        <v>1.2597455058974909E-2</v>
      </c>
    </row>
    <row r="132" spans="1:20">
      <c r="A132" s="137" t="str">
        <f t="shared" si="18"/>
        <v>415p</v>
      </c>
      <c r="B132" s="540" t="str">
        <f>+VLOOKUP(LEFT($A132,LEN(A132)-1)*1,Master!$D$27:$G$225,4,FALSE)</f>
        <v>Rashodi za tekuće održavanje</v>
      </c>
      <c r="C132" s="541"/>
      <c r="D132" s="541"/>
      <c r="E132" s="541"/>
      <c r="F132" s="541"/>
      <c r="G132" s="91">
        <f>+SUM(DataEx!ET296)</f>
        <v>1860319.3983333334</v>
      </c>
      <c r="H132" s="91">
        <f>+SUM(DataEx!EU296)</f>
        <v>1860319.3983333334</v>
      </c>
      <c r="I132" s="91">
        <f>+SUM(DataEx!EV296)</f>
        <v>1860319.3983333334</v>
      </c>
      <c r="J132" s="91">
        <f>+SUM(DataEx!EW296)</f>
        <v>1860319.3983333334</v>
      </c>
      <c r="K132" s="91">
        <f>+SUM(DataEx!EX296)</f>
        <v>1860319.3983333334</v>
      </c>
      <c r="L132" s="91">
        <f>+SUM(DataEx!EY296)</f>
        <v>1860319.3983333334</v>
      </c>
      <c r="M132" s="91">
        <f>+SUM(DataEx!EZ296)</f>
        <v>1860319.3983333334</v>
      </c>
      <c r="N132" s="91">
        <f>+SUM(DataEx!FA296)</f>
        <v>1860319.3983333334</v>
      </c>
      <c r="O132" s="91">
        <f>+SUM(DataEx!FB296)</f>
        <v>1850732.9058333328</v>
      </c>
      <c r="P132" s="91">
        <f>+SUM(DataEx!FC296)</f>
        <v>1850732.9058333328</v>
      </c>
      <c r="Q132" s="91">
        <f>+SUM(DataEx!FD296)</f>
        <v>1850732.9058333328</v>
      </c>
      <c r="R132" s="91">
        <f>+SUM(DataEx!FE296)</f>
        <v>1850732.9058333328</v>
      </c>
      <c r="S132" s="125">
        <f t="shared" si="21"/>
        <v>22285486.810000002</v>
      </c>
      <c r="T132" s="126">
        <f t="shared" si="22"/>
        <v>4.7792165580098651E-3</v>
      </c>
    </row>
    <row r="133" spans="1:20">
      <c r="A133" s="137" t="str">
        <f t="shared" si="18"/>
        <v>416p</v>
      </c>
      <c r="B133" s="540" t="str">
        <f>+VLOOKUP(LEFT($A133,LEN(A133)-1)*1,Master!$D$27:$G$225,4,FALSE)</f>
        <v>Kamate</v>
      </c>
      <c r="C133" s="541"/>
      <c r="D133" s="541"/>
      <c r="E133" s="541"/>
      <c r="F133" s="541"/>
      <c r="G133" s="91">
        <f>+SUM(DataEx!ET300)</f>
        <v>7122725</v>
      </c>
      <c r="H133" s="91">
        <f>+SUM(DataEx!EU300)</f>
        <v>7122725</v>
      </c>
      <c r="I133" s="91">
        <f>+SUM(DataEx!EV300)</f>
        <v>7122725</v>
      </c>
      <c r="J133" s="91">
        <f>+SUM(DataEx!EW300)</f>
        <v>7122725</v>
      </c>
      <c r="K133" s="91">
        <f>+SUM(DataEx!EX300)</f>
        <v>7122725</v>
      </c>
      <c r="L133" s="91">
        <f>+SUM(DataEx!EY300)</f>
        <v>7122725</v>
      </c>
      <c r="M133" s="91">
        <f>+SUM(DataEx!EZ300)</f>
        <v>7122725</v>
      </c>
      <c r="N133" s="91">
        <f>+SUM(DataEx!FA300)</f>
        <v>7122725</v>
      </c>
      <c r="O133" s="91">
        <f>+SUM(DataEx!FB300)</f>
        <v>7615225</v>
      </c>
      <c r="P133" s="91">
        <f>+SUM(DataEx!FC300)</f>
        <v>7615225</v>
      </c>
      <c r="Q133" s="91">
        <f>+SUM(DataEx!FD300)</f>
        <v>7615225</v>
      </c>
      <c r="R133" s="91">
        <f>+SUM(DataEx!FE300)</f>
        <v>7615225</v>
      </c>
      <c r="S133" s="125">
        <f t="shared" si="21"/>
        <v>87442700</v>
      </c>
      <c r="T133" s="126">
        <f t="shared" si="22"/>
        <v>1.8752455500750588E-2</v>
      </c>
    </row>
    <row r="134" spans="1:20">
      <c r="A134" s="137" t="str">
        <f t="shared" si="18"/>
        <v>417p</v>
      </c>
      <c r="B134" s="540" t="str">
        <f>+VLOOKUP(LEFT($A134,LEN(A134)-1)*1,Master!$D$27:$G$225,4,FALSE)</f>
        <v>Renta</v>
      </c>
      <c r="C134" s="541"/>
      <c r="D134" s="541"/>
      <c r="E134" s="541"/>
      <c r="F134" s="541"/>
      <c r="G134" s="91">
        <f>+SUM(DataEx!ET303)</f>
        <v>800010.93333333347</v>
      </c>
      <c r="H134" s="91">
        <f>+SUM(DataEx!EU303)</f>
        <v>800010.93333333347</v>
      </c>
      <c r="I134" s="91">
        <f>+SUM(DataEx!EV303)</f>
        <v>800010.93333333347</v>
      </c>
      <c r="J134" s="91">
        <f>+SUM(DataEx!EW303)</f>
        <v>800010.93333333347</v>
      </c>
      <c r="K134" s="91">
        <f>+SUM(DataEx!EX303)</f>
        <v>800010.93333333347</v>
      </c>
      <c r="L134" s="91">
        <f>+SUM(DataEx!EY303)</f>
        <v>800010.93333333347</v>
      </c>
      <c r="M134" s="91">
        <f>+SUM(DataEx!EZ303)</f>
        <v>800010.93333333347</v>
      </c>
      <c r="N134" s="91">
        <f>+SUM(DataEx!FA303)</f>
        <v>800010.93333333347</v>
      </c>
      <c r="O134" s="91">
        <f>+SUM(DataEx!FB303)</f>
        <v>986109.29833333322</v>
      </c>
      <c r="P134" s="91">
        <f>+SUM(DataEx!FC303)</f>
        <v>986109.29833333322</v>
      </c>
      <c r="Q134" s="91">
        <f>+SUM(DataEx!FD303)</f>
        <v>986109.29833333322</v>
      </c>
      <c r="R134" s="91">
        <f>+SUM(DataEx!FE303)</f>
        <v>986109.29833333322</v>
      </c>
      <c r="S134" s="125">
        <f t="shared" si="21"/>
        <v>10344524.66</v>
      </c>
      <c r="T134" s="126">
        <f t="shared" si="22"/>
        <v>2.2184269054256918E-3</v>
      </c>
    </row>
    <row r="135" spans="1:20">
      <c r="A135" s="137" t="str">
        <f t="shared" si="18"/>
        <v>418p</v>
      </c>
      <c r="B135" s="540" t="str">
        <f>+VLOOKUP(LEFT($A135,LEN(A135)-1)*1,Master!$D$27:$G$225,4,FALSE)</f>
        <v>Subvencije</v>
      </c>
      <c r="C135" s="541"/>
      <c r="D135" s="541"/>
      <c r="E135" s="541"/>
      <c r="F135" s="541"/>
      <c r="G135" s="91">
        <f>+SUM(DataEx!ET307)</f>
        <v>2250983.3333333335</v>
      </c>
      <c r="H135" s="91">
        <f>+SUM(DataEx!EU307)</f>
        <v>2250983.3333333335</v>
      </c>
      <c r="I135" s="91">
        <f>+SUM(DataEx!EV307)</f>
        <v>2250983.3333333335</v>
      </c>
      <c r="J135" s="91">
        <f>+SUM(DataEx!EW307)</f>
        <v>2250983.3333333335</v>
      </c>
      <c r="K135" s="91">
        <f>+SUM(DataEx!EX307)</f>
        <v>2250983.3333333335</v>
      </c>
      <c r="L135" s="91">
        <f>+SUM(DataEx!EY307)</f>
        <v>2250983.3333333335</v>
      </c>
      <c r="M135" s="91">
        <f>+SUM(DataEx!EZ307)</f>
        <v>2250983.3333333335</v>
      </c>
      <c r="N135" s="91">
        <f>+SUM(DataEx!FA307)</f>
        <v>2250983.3333333335</v>
      </c>
      <c r="O135" s="91">
        <f>+SUM(DataEx!FB307)</f>
        <v>2180983.3333333344</v>
      </c>
      <c r="P135" s="91">
        <f>+SUM(DataEx!FC307)</f>
        <v>2180983.3333333344</v>
      </c>
      <c r="Q135" s="91">
        <f>+SUM(DataEx!FD307)</f>
        <v>2180983.3333333344</v>
      </c>
      <c r="R135" s="91">
        <f>+SUM(DataEx!FE307)</f>
        <v>2180983.3333333344</v>
      </c>
      <c r="S135" s="125">
        <f t="shared" si="21"/>
        <v>26731800.000000011</v>
      </c>
      <c r="T135" s="126">
        <f t="shared" si="22"/>
        <v>5.7327471584816669E-3</v>
      </c>
    </row>
    <row r="136" spans="1:20">
      <c r="A136" s="137" t="str">
        <f t="shared" si="18"/>
        <v>419p</v>
      </c>
      <c r="B136" s="540" t="str">
        <f>+VLOOKUP(LEFT($A136,LEN(A136)-1)*1,Master!$D$27:$G$225,4,FALSE)</f>
        <v>Ostali izdaci</v>
      </c>
      <c r="C136" s="541"/>
      <c r="D136" s="541"/>
      <c r="E136" s="541"/>
      <c r="F136" s="541"/>
      <c r="G136" s="91">
        <f>+SUM(DataEx!ET311)</f>
        <v>2581823.9339999999</v>
      </c>
      <c r="H136" s="91">
        <f>+SUM(DataEx!EU311)</f>
        <v>2581823.9339999999</v>
      </c>
      <c r="I136" s="91">
        <f>+SUM(DataEx!EV311)</f>
        <v>2581823.9339999999</v>
      </c>
      <c r="J136" s="91">
        <f>+SUM(DataEx!EW311)</f>
        <v>2696268.3784444444</v>
      </c>
      <c r="K136" s="91">
        <f>+SUM(DataEx!EX311)</f>
        <v>2696268.3784444444</v>
      </c>
      <c r="L136" s="91">
        <f>+SUM(DataEx!EY311)</f>
        <v>2696268.3784444444</v>
      </c>
      <c r="M136" s="91">
        <f>+SUM(DataEx!EZ311)</f>
        <v>3987180.345444445</v>
      </c>
      <c r="N136" s="91">
        <f>+SUM(DataEx!FA311)</f>
        <v>3987180.345444445</v>
      </c>
      <c r="O136" s="91">
        <f>+SUM(DataEx!FB311)</f>
        <v>3877323.0754444436</v>
      </c>
      <c r="P136" s="91">
        <f>+SUM(DataEx!FC311)</f>
        <v>3877323.0754444436</v>
      </c>
      <c r="Q136" s="91">
        <f>+SUM(DataEx!FD311)</f>
        <v>3877323.0754444436</v>
      </c>
      <c r="R136" s="91">
        <f>+SUM(DataEx!FE311)</f>
        <v>3877323.0754444436</v>
      </c>
      <c r="S136" s="125">
        <f t="shared" si="21"/>
        <v>39317929.93</v>
      </c>
      <c r="T136" s="126">
        <f t="shared" si="22"/>
        <v>8.4318957602401885E-3</v>
      </c>
    </row>
    <row r="137" spans="1:20">
      <c r="A137" s="137" t="str">
        <f t="shared" si="18"/>
        <v>440p</v>
      </c>
      <c r="B137" s="540" t="str">
        <f>+VLOOKUP(LEFT($A137,LEN(A137)-1)*1,Master!$D$27:$G$225,4,FALSE)</f>
        <v>Kapitalni izdaci u tekućem budžetu</v>
      </c>
      <c r="C137" s="541"/>
      <c r="D137" s="541"/>
      <c r="E137" s="541"/>
      <c r="F137" s="541"/>
      <c r="G137" s="91">
        <f>+SUM(DataEx!ET369)</f>
        <v>3322124.294666667</v>
      </c>
      <c r="H137" s="91">
        <f>+SUM(DataEx!EU369)</f>
        <v>3322124.294666667</v>
      </c>
      <c r="I137" s="91">
        <f>+SUM(DataEx!EV369)</f>
        <v>3322124.294666667</v>
      </c>
      <c r="J137" s="91">
        <f>+SUM(DataEx!EW369)</f>
        <v>3322124.294666667</v>
      </c>
      <c r="K137" s="91">
        <f>+SUM(DataEx!EX369)</f>
        <v>3522124.2900000066</v>
      </c>
      <c r="L137" s="91">
        <f>+SUM(DataEx!EY369)</f>
        <v>3322124.294666667</v>
      </c>
      <c r="M137" s="91">
        <f>+SUM(DataEx!EZ369)</f>
        <v>4983186.4420000007</v>
      </c>
      <c r="N137" s="91">
        <f>+SUM(DataEx!FA369)</f>
        <v>4983186.4420000007</v>
      </c>
      <c r="O137" s="91">
        <f>+SUM(DataEx!FB369)</f>
        <v>5687111.6931666648</v>
      </c>
      <c r="P137" s="91">
        <f>+SUM(DataEx!FC369)</f>
        <v>5687111.6931666648</v>
      </c>
      <c r="Q137" s="91">
        <f>+SUM(DataEx!FD369)</f>
        <v>5687111.6931666601</v>
      </c>
      <c r="R137" s="91">
        <f>+SUM(DataEx!FE369)</f>
        <v>5687111.6931666601</v>
      </c>
      <c r="S137" s="125">
        <f t="shared" si="21"/>
        <v>52847565.419999987</v>
      </c>
      <c r="T137" s="126">
        <f t="shared" si="22"/>
        <v>1.1333383105297017E-2</v>
      </c>
    </row>
    <row r="138" spans="1:20">
      <c r="A138" s="137" t="str">
        <f t="shared" si="18"/>
        <v>42p</v>
      </c>
      <c r="B138" s="564" t="str">
        <f>+VLOOKUP(LEFT($A138,LEN(A138)-1)*1,Master!$D$27:$G$225,4,FALSE)</f>
        <v>Transferi za socijalnu zaštitu</v>
      </c>
      <c r="C138" s="565"/>
      <c r="D138" s="565"/>
      <c r="E138" s="565"/>
      <c r="F138" s="565"/>
      <c r="G138" s="87">
        <f t="shared" ref="G138:R138" si="27">+SUM(G139:G143)</f>
        <v>45950724.162500009</v>
      </c>
      <c r="H138" s="87">
        <f t="shared" si="27"/>
        <v>45950724.162500009</v>
      </c>
      <c r="I138" s="87">
        <f t="shared" si="27"/>
        <v>45950724.162500009</v>
      </c>
      <c r="J138" s="87">
        <f t="shared" si="27"/>
        <v>45950724.162500009</v>
      </c>
      <c r="K138" s="87">
        <f t="shared" si="27"/>
        <v>45950724.162500009</v>
      </c>
      <c r="L138" s="87">
        <f t="shared" si="27"/>
        <v>45950724.162500009</v>
      </c>
      <c r="M138" s="87">
        <f t="shared" si="27"/>
        <v>45950724.162500009</v>
      </c>
      <c r="N138" s="87">
        <f t="shared" si="27"/>
        <v>45950724.162500009</v>
      </c>
      <c r="O138" s="87">
        <f t="shared" si="27"/>
        <v>47831745.140000008</v>
      </c>
      <c r="P138" s="87">
        <f t="shared" si="27"/>
        <v>47831745.140000008</v>
      </c>
      <c r="Q138" s="87">
        <f t="shared" si="27"/>
        <v>47831745.140000008</v>
      </c>
      <c r="R138" s="87">
        <f t="shared" si="27"/>
        <v>47831745.140000008</v>
      </c>
      <c r="S138" s="127">
        <f t="shared" si="21"/>
        <v>558932773.86000013</v>
      </c>
      <c r="T138" s="128">
        <f t="shared" si="22"/>
        <v>0.1198654887111302</v>
      </c>
    </row>
    <row r="139" spans="1:20">
      <c r="A139" s="137" t="str">
        <f t="shared" si="18"/>
        <v>421p</v>
      </c>
      <c r="B139" s="540" t="str">
        <f>+VLOOKUP(LEFT($A139,LEN(A139)-1)*1,Master!$D$27:$G$225,4,FALSE)</f>
        <v>Prava iz oblasti socijalne zaštite</v>
      </c>
      <c r="C139" s="541"/>
      <c r="D139" s="541"/>
      <c r="E139" s="541"/>
      <c r="F139" s="541"/>
      <c r="G139" s="91">
        <f>SUM(DataEx!ET322)</f>
        <v>6651000</v>
      </c>
      <c r="H139" s="91">
        <f>SUM(DataEx!EU322)</f>
        <v>6651000</v>
      </c>
      <c r="I139" s="91">
        <f>SUM(DataEx!EV322)</f>
        <v>6651000</v>
      </c>
      <c r="J139" s="91">
        <f>SUM(DataEx!EW322)</f>
        <v>6651000</v>
      </c>
      <c r="K139" s="91">
        <f>SUM(DataEx!EX322)</f>
        <v>6651000</v>
      </c>
      <c r="L139" s="91">
        <f>SUM(DataEx!EY322)</f>
        <v>6651000</v>
      </c>
      <c r="M139" s="91">
        <f>SUM(DataEx!EZ322)</f>
        <v>6651000</v>
      </c>
      <c r="N139" s="91">
        <f>SUM(DataEx!FA322)</f>
        <v>6651000</v>
      </c>
      <c r="O139" s="91">
        <f>SUM(DataEx!FB322)</f>
        <v>7394520.9774999991</v>
      </c>
      <c r="P139" s="91">
        <f>SUM(DataEx!FC322)</f>
        <v>7394520.9774999991</v>
      </c>
      <c r="Q139" s="91">
        <f>SUM(DataEx!FD322)</f>
        <v>7394520.9774999991</v>
      </c>
      <c r="R139" s="91">
        <f>SUM(DataEx!FE322)</f>
        <v>7394520.9774999991</v>
      </c>
      <c r="S139" s="125">
        <f t="shared" si="21"/>
        <v>82786083.909999996</v>
      </c>
      <c r="T139" s="126">
        <f t="shared" si="22"/>
        <v>1.7753824557152048E-2</v>
      </c>
    </row>
    <row r="140" spans="1:20">
      <c r="A140" s="137" t="str">
        <f t="shared" si="18"/>
        <v>422p</v>
      </c>
      <c r="B140" s="540" t="str">
        <f>+VLOOKUP(LEFT($A140,LEN(A140)-1)*1,Master!$D$27:$G$225,4,FALSE)</f>
        <v>Sredstva za tehnološke viškove</v>
      </c>
      <c r="C140" s="541"/>
      <c r="D140" s="541"/>
      <c r="E140" s="541"/>
      <c r="F140" s="541"/>
      <c r="G140" s="91">
        <f>SUM(DataEx!ET330)</f>
        <v>1699899.96</v>
      </c>
      <c r="H140" s="91">
        <f>SUM(DataEx!EU330)</f>
        <v>1699899.96</v>
      </c>
      <c r="I140" s="91">
        <f>SUM(DataEx!EV330)</f>
        <v>1699899.96</v>
      </c>
      <c r="J140" s="91">
        <f>SUM(DataEx!EW330)</f>
        <v>1699899.96</v>
      </c>
      <c r="K140" s="91">
        <f>SUM(DataEx!EX330)</f>
        <v>1699899.96</v>
      </c>
      <c r="L140" s="91">
        <f>SUM(DataEx!EY330)</f>
        <v>1699899.96</v>
      </c>
      <c r="M140" s="91">
        <f>SUM(DataEx!EZ330)</f>
        <v>1699899.96</v>
      </c>
      <c r="N140" s="91">
        <f>SUM(DataEx!FA330)</f>
        <v>1699899.96</v>
      </c>
      <c r="O140" s="91">
        <f>SUM(DataEx!FB330)</f>
        <v>924899.9599999981</v>
      </c>
      <c r="P140" s="91">
        <f>SUM(DataEx!FC330)</f>
        <v>924899.9599999981</v>
      </c>
      <c r="Q140" s="91">
        <f>SUM(DataEx!FD330)</f>
        <v>924899.9599999981</v>
      </c>
      <c r="R140" s="91">
        <f>SUM(DataEx!FE330)</f>
        <v>924899.9599999981</v>
      </c>
      <c r="S140" s="125">
        <f t="shared" si="21"/>
        <v>17298799.519999992</v>
      </c>
      <c r="T140" s="126">
        <f t="shared" si="22"/>
        <v>3.7098004546429319E-3</v>
      </c>
    </row>
    <row r="141" spans="1:20">
      <c r="A141" s="137" t="str">
        <f t="shared" si="18"/>
        <v>423p</v>
      </c>
      <c r="B141" s="540" t="str">
        <f>+VLOOKUP(LEFT($A141,LEN(A141)-1)*1,Master!$D$27:$G$225,4,FALSE)</f>
        <v>Prava iz oblasti penzijskog i invalidskog osiguranja</v>
      </c>
      <c r="C141" s="541"/>
      <c r="D141" s="541"/>
      <c r="E141" s="541"/>
      <c r="F141" s="541"/>
      <c r="G141" s="91">
        <f>SUM(DataEx!ET336)</f>
        <v>35472732.535833336</v>
      </c>
      <c r="H141" s="91">
        <f>SUM(DataEx!EU336)</f>
        <v>35472732.535833336</v>
      </c>
      <c r="I141" s="91">
        <f>SUM(DataEx!EV336)</f>
        <v>35472732.535833336</v>
      </c>
      <c r="J141" s="91">
        <f>SUM(DataEx!EW336)</f>
        <v>35472732.535833336</v>
      </c>
      <c r="K141" s="91">
        <f>SUM(DataEx!EX336)</f>
        <v>35472732.535833336</v>
      </c>
      <c r="L141" s="91">
        <f>SUM(DataEx!EY336)</f>
        <v>35472732.535833336</v>
      </c>
      <c r="M141" s="91">
        <f>SUM(DataEx!EZ336)</f>
        <v>35472732.535833336</v>
      </c>
      <c r="N141" s="91">
        <f>SUM(DataEx!FA336)</f>
        <v>35472732.535833336</v>
      </c>
      <c r="O141" s="91">
        <f>SUM(DataEx!FB336)</f>
        <v>35472732.535833336</v>
      </c>
      <c r="P141" s="91">
        <f>SUM(DataEx!FC336)</f>
        <v>35472732.535833336</v>
      </c>
      <c r="Q141" s="91">
        <f>SUM(DataEx!FD336)</f>
        <v>35472732.535833336</v>
      </c>
      <c r="R141" s="91">
        <f>SUM(DataEx!FE336)</f>
        <v>35472732.535833336</v>
      </c>
      <c r="S141" s="125">
        <f t="shared" si="21"/>
        <v>425672790.43000013</v>
      </c>
      <c r="T141" s="126">
        <f t="shared" si="22"/>
        <v>9.1287323703624301E-2</v>
      </c>
    </row>
    <row r="142" spans="1:20">
      <c r="A142" s="137" t="str">
        <f t="shared" si="18"/>
        <v>424p</v>
      </c>
      <c r="B142" s="540" t="str">
        <f>+VLOOKUP(LEFT($A142,LEN(A142)-1)*1,Master!$D$27:$G$225,4,FALSE)</f>
        <v>Ostala prava iz oblasti zdravstvene zaštite</v>
      </c>
      <c r="C142" s="541"/>
      <c r="D142" s="541"/>
      <c r="E142" s="541"/>
      <c r="F142" s="541"/>
      <c r="G142" s="91">
        <f>SUM(DataEx!ET344)</f>
        <v>1375008.3333333333</v>
      </c>
      <c r="H142" s="91">
        <f>SUM(DataEx!EU344)</f>
        <v>1375008.3333333333</v>
      </c>
      <c r="I142" s="91">
        <f>SUM(DataEx!EV344)</f>
        <v>1375008.3333333333</v>
      </c>
      <c r="J142" s="91">
        <f>SUM(DataEx!EW344)</f>
        <v>1375008.3333333333</v>
      </c>
      <c r="K142" s="91">
        <f>SUM(DataEx!EX344)</f>
        <v>1375008.3333333333</v>
      </c>
      <c r="L142" s="91">
        <f>SUM(DataEx!EY344)</f>
        <v>1375008.3333333333</v>
      </c>
      <c r="M142" s="91">
        <f>SUM(DataEx!EZ344)</f>
        <v>1375008.3333333333</v>
      </c>
      <c r="N142" s="91">
        <f>SUM(DataEx!FA344)</f>
        <v>1375008.3333333333</v>
      </c>
      <c r="O142" s="91">
        <f>SUM(DataEx!FB344)</f>
        <v>2000008.3333333328</v>
      </c>
      <c r="P142" s="91">
        <f>SUM(DataEx!FC344)</f>
        <v>2000008.3333333328</v>
      </c>
      <c r="Q142" s="91">
        <f>SUM(DataEx!FD344)</f>
        <v>2000008.3333333328</v>
      </c>
      <c r="R142" s="91">
        <f>SUM(DataEx!FE344)</f>
        <v>2000008.3333333328</v>
      </c>
      <c r="S142" s="125">
        <f t="shared" si="21"/>
        <v>19000099.999999996</v>
      </c>
      <c r="T142" s="126">
        <f t="shared" si="22"/>
        <v>4.0746515119022084E-3</v>
      </c>
    </row>
    <row r="143" spans="1:20">
      <c r="A143" s="137" t="str">
        <f t="shared" si="18"/>
        <v>425p</v>
      </c>
      <c r="B143" s="540" t="str">
        <f>+VLOOKUP(LEFT($A143,LEN(A143)-1)*1,Master!$D$27:$G$225,4,FALSE)</f>
        <v>Ostala prava iz zdravstvenog osiguranja</v>
      </c>
      <c r="C143" s="541"/>
      <c r="D143" s="541"/>
      <c r="E143" s="541"/>
      <c r="F143" s="541"/>
      <c r="G143" s="91">
        <f>SUM(DataEx!ET346)</f>
        <v>752083.33333333337</v>
      </c>
      <c r="H143" s="91">
        <f>SUM(DataEx!EU346)</f>
        <v>752083.33333333337</v>
      </c>
      <c r="I143" s="91">
        <f>SUM(DataEx!EV346)</f>
        <v>752083.33333333337</v>
      </c>
      <c r="J143" s="91">
        <f>SUM(DataEx!EW346)</f>
        <v>752083.33333333337</v>
      </c>
      <c r="K143" s="91">
        <f>SUM(DataEx!EX346)</f>
        <v>752083.33333333337</v>
      </c>
      <c r="L143" s="91">
        <f>SUM(DataEx!EY346)</f>
        <v>752083.33333333337</v>
      </c>
      <c r="M143" s="91">
        <f>SUM(DataEx!EZ346)</f>
        <v>752083.33333333337</v>
      </c>
      <c r="N143" s="91">
        <f>SUM(DataEx!FA346)</f>
        <v>752083.33333333337</v>
      </c>
      <c r="O143" s="91">
        <f>SUM(DataEx!FB346)</f>
        <v>2039583.333333334</v>
      </c>
      <c r="P143" s="91">
        <f>SUM(DataEx!FC346)</f>
        <v>2039583.333333334</v>
      </c>
      <c r="Q143" s="91">
        <f>SUM(DataEx!FD346)</f>
        <v>2039583.333333334</v>
      </c>
      <c r="R143" s="91">
        <f>SUM(DataEx!FE346)</f>
        <v>2039583.333333334</v>
      </c>
      <c r="S143" s="125">
        <f t="shared" si="21"/>
        <v>14175000.000000002</v>
      </c>
      <c r="T143" s="126">
        <f t="shared" si="22"/>
        <v>3.0398884838087072E-3</v>
      </c>
    </row>
    <row r="144" spans="1:20">
      <c r="A144" s="137" t="str">
        <f t="shared" si="18"/>
        <v>43p</v>
      </c>
      <c r="B144" s="562" t="str">
        <f>+VLOOKUP(LEFT($A144,LEN(A144)-1)*1,Master!$D$27:$G$225,4,FALSE)</f>
        <v xml:space="preserve">Transferi institucijama, pojedincima, nevladinom i javnom sektoru </v>
      </c>
      <c r="C144" s="563"/>
      <c r="D144" s="563"/>
      <c r="E144" s="563"/>
      <c r="F144" s="563"/>
      <c r="G144" s="85">
        <f>SUM(DataEx!ET350)</f>
        <v>15295211.558333334</v>
      </c>
      <c r="H144" s="85">
        <f>SUM(DataEx!EU350)</f>
        <v>15295211.558333334</v>
      </c>
      <c r="I144" s="85">
        <f>SUM(DataEx!EV350)</f>
        <v>15295211.558333334</v>
      </c>
      <c r="J144" s="85">
        <f>SUM(DataEx!EW350)</f>
        <v>18161878.224999998</v>
      </c>
      <c r="K144" s="85">
        <f>SUM(DataEx!EX350)</f>
        <v>18161878.224999998</v>
      </c>
      <c r="L144" s="85">
        <f>SUM(DataEx!EY350)</f>
        <v>18161878.224999998</v>
      </c>
      <c r="M144" s="85">
        <f>SUM(DataEx!EZ350)</f>
        <v>15295211.558333334</v>
      </c>
      <c r="N144" s="85">
        <f>SUM(DataEx!FA350)</f>
        <v>15295211.558333334</v>
      </c>
      <c r="O144" s="85">
        <f>SUM(DataEx!FB350)</f>
        <v>18930636.555833336</v>
      </c>
      <c r="P144" s="85">
        <f>SUM(DataEx!FC350)</f>
        <v>18930636.555833336</v>
      </c>
      <c r="Q144" s="85">
        <f>SUM(DataEx!FD350)</f>
        <v>18930636.555833336</v>
      </c>
      <c r="R144" s="85">
        <f>SUM(DataEx!FE350)</f>
        <v>18930636.555833336</v>
      </c>
      <c r="S144" s="127">
        <f>+SUM(G144:R144)</f>
        <v>206684238.69</v>
      </c>
      <c r="T144" s="128">
        <f t="shared" si="22"/>
        <v>4.4324305959682606E-2</v>
      </c>
    </row>
    <row r="145" spans="1:20">
      <c r="A145" s="137" t="str">
        <f t="shared" si="18"/>
        <v>44p</v>
      </c>
      <c r="B145" s="562" t="str">
        <f>+VLOOKUP(LEFT($A145,LEN(A145)-1)*1,Master!$D$27:$G$225,4,FALSE)</f>
        <v>Kapitalni budžet</v>
      </c>
      <c r="C145" s="563"/>
      <c r="D145" s="563"/>
      <c r="E145" s="563"/>
      <c r="F145" s="563"/>
      <c r="G145" s="85">
        <f>SUM(DataEx!ET368)</f>
        <v>21472083.333333332</v>
      </c>
      <c r="H145" s="85">
        <f>SUM(DataEx!EU368)</f>
        <v>21472083.333333332</v>
      </c>
      <c r="I145" s="85">
        <f>SUM(DataEx!EV368)</f>
        <v>21472083.333333332</v>
      </c>
      <c r="J145" s="85">
        <f>SUM(DataEx!EW368)</f>
        <v>21472083.333333332</v>
      </c>
      <c r="K145" s="85">
        <f>SUM(DataEx!EX368)</f>
        <v>21472083.333333332</v>
      </c>
      <c r="L145" s="85">
        <f>SUM(DataEx!EY368)</f>
        <v>21472083.333333332</v>
      </c>
      <c r="M145" s="85">
        <f>SUM(DataEx!EZ368)</f>
        <v>26990416.666666664</v>
      </c>
      <c r="N145" s="85">
        <f>SUM(DataEx!FA368)</f>
        <v>26990416.666666664</v>
      </c>
      <c r="O145" s="85">
        <f>SUM(DataEx!FB368)</f>
        <v>26315416.666666701</v>
      </c>
      <c r="P145" s="85">
        <f>SUM(DataEx!FC368)</f>
        <v>26315416.666666701</v>
      </c>
      <c r="Q145" s="85">
        <f>SUM(DataEx!FD368)</f>
        <v>26815416.670000002</v>
      </c>
      <c r="R145" s="85">
        <f>SUM(DataEx!FE368)</f>
        <v>26815416.66</v>
      </c>
      <c r="S145" s="127">
        <f t="shared" si="21"/>
        <v>289074999.99666673</v>
      </c>
      <c r="T145" s="128">
        <f t="shared" si="22"/>
        <v>6.199335191865038E-2</v>
      </c>
    </row>
    <row r="146" spans="1:20">
      <c r="A146" s="137" t="str">
        <f t="shared" si="18"/>
        <v>451p</v>
      </c>
      <c r="B146" s="566" t="str">
        <f>+VLOOKUP(LEFT($A146,LEN(A146)-1)*1,Master!$D$27:$G$225,4,FALSE)</f>
        <v>Pozajmice i krediti</v>
      </c>
      <c r="C146" s="567"/>
      <c r="D146" s="567"/>
      <c r="E146" s="567"/>
      <c r="F146" s="567"/>
      <c r="G146" s="91">
        <f>SUM(DataEx!ET379)</f>
        <v>239583.41666666666</v>
      </c>
      <c r="H146" s="91">
        <f>SUM(DataEx!EU379)</f>
        <v>239583.41666666666</v>
      </c>
      <c r="I146" s="91">
        <f>SUM(DataEx!EV379)</f>
        <v>239583.41666666666</v>
      </c>
      <c r="J146" s="91">
        <f>SUM(DataEx!EW379)</f>
        <v>239583.41666666666</v>
      </c>
      <c r="K146" s="91">
        <f>SUM(DataEx!EX379)</f>
        <v>239583.41666666666</v>
      </c>
      <c r="L146" s="91">
        <f>SUM(DataEx!EY379)</f>
        <v>239583.41666666666</v>
      </c>
      <c r="M146" s="91">
        <f>SUM(DataEx!EZ379)</f>
        <v>239583.41666666666</v>
      </c>
      <c r="N146" s="91">
        <f>SUM(DataEx!FA379)</f>
        <v>239583.41666666666</v>
      </c>
      <c r="O146" s="91">
        <f>SUM(DataEx!FB379)</f>
        <v>239583.41666666666</v>
      </c>
      <c r="P146" s="91">
        <f>SUM(DataEx!FC379)</f>
        <v>239583.41666666666</v>
      </c>
      <c r="Q146" s="91">
        <f>SUM(DataEx!FD379)</f>
        <v>239583.41666666666</v>
      </c>
      <c r="R146" s="91">
        <f>SUM(DataEx!FE379)</f>
        <v>239583.41666666666</v>
      </c>
      <c r="S146" s="125">
        <f t="shared" si="21"/>
        <v>2875000.9999999995</v>
      </c>
      <c r="T146" s="126">
        <f t="shared" si="22"/>
        <v>6.1655607977696757E-4</v>
      </c>
    </row>
    <row r="147" spans="1:20">
      <c r="A147" s="137" t="str">
        <f t="shared" si="18"/>
        <v>47p</v>
      </c>
      <c r="B147" s="566" t="str">
        <f>+VLOOKUP(LEFT($A147,LEN(A147)-1)*1,Master!$D$27:$G$225,4,FALSE)</f>
        <v>Rezerve</v>
      </c>
      <c r="C147" s="567"/>
      <c r="D147" s="567"/>
      <c r="E147" s="567"/>
      <c r="F147" s="567"/>
      <c r="G147" s="91">
        <f>SUM(DataEx!ET394)</f>
        <v>830846.24800000002</v>
      </c>
      <c r="H147" s="91">
        <f>SUM(DataEx!EU394)</f>
        <v>830846.24800000002</v>
      </c>
      <c r="I147" s="91">
        <f>SUM(DataEx!EV394)</f>
        <v>830846.24800000002</v>
      </c>
      <c r="J147" s="91">
        <f>SUM(DataEx!EW394)</f>
        <v>949846.13199999998</v>
      </c>
      <c r="K147" s="91">
        <f>SUM(DataEx!EX394)</f>
        <v>1306845.784</v>
      </c>
      <c r="L147" s="91">
        <f>SUM(DataEx!EY394)</f>
        <v>830846.24800000002</v>
      </c>
      <c r="M147" s="91">
        <f>SUM(DataEx!EZ394)</f>
        <v>1246269.3720000002</v>
      </c>
      <c r="N147" s="91">
        <f>SUM(DataEx!FA394)</f>
        <v>1246269.3720000002</v>
      </c>
      <c r="O147" s="91">
        <f>SUM(DataEx!FB394)</f>
        <v>5393218.1470000008</v>
      </c>
      <c r="P147" s="91">
        <f>SUM(DataEx!FC394)</f>
        <v>5393218.1470000008</v>
      </c>
      <c r="Q147" s="91">
        <f>SUM(DataEx!FD394)</f>
        <v>5393218.1470000008</v>
      </c>
      <c r="R147" s="91">
        <f>SUM(DataEx!FE394)</f>
        <v>5393218.1470000008</v>
      </c>
      <c r="S147" s="125">
        <f t="shared" si="21"/>
        <v>29645488.240000002</v>
      </c>
      <c r="T147" s="126">
        <f t="shared" si="22"/>
        <v>6.3575998799056408E-3</v>
      </c>
    </row>
    <row r="148" spans="1:20">
      <c r="A148" s="137" t="str">
        <f t="shared" si="18"/>
        <v>462p</v>
      </c>
      <c r="B148" s="566" t="str">
        <f>+VLOOKUP(LEFT($A148,LEN(A148)-1)*1,Master!$D$27:$G$225,4,FALSE)</f>
        <v>Otplata garancija</v>
      </c>
      <c r="C148" s="567"/>
      <c r="D148" s="567"/>
      <c r="E148" s="567"/>
      <c r="F148" s="567"/>
      <c r="G148" s="91">
        <f>SUM(DataEx!ET381)</f>
        <v>0</v>
      </c>
      <c r="H148" s="91">
        <f>SUM(DataEx!EU381)</f>
        <v>0</v>
      </c>
      <c r="I148" s="91">
        <f>SUM(DataEx!EV381)</f>
        <v>0</v>
      </c>
      <c r="J148" s="91">
        <f>SUM(DataEx!EW381)</f>
        <v>0</v>
      </c>
      <c r="K148" s="91">
        <f>SUM(DataEx!EX381)</f>
        <v>0</v>
      </c>
      <c r="L148" s="91">
        <f>SUM(DataEx!EY381)</f>
        <v>0</v>
      </c>
      <c r="M148" s="91">
        <f>SUM(DataEx!EZ381)</f>
        <v>0</v>
      </c>
      <c r="N148" s="91">
        <f>SUM(DataEx!FA381)</f>
        <v>0</v>
      </c>
      <c r="O148" s="91">
        <f>SUM(DataEx!FB381)</f>
        <v>0</v>
      </c>
      <c r="P148" s="91">
        <f>SUM(DataEx!FC381)</f>
        <v>0</v>
      </c>
      <c r="Q148" s="91">
        <f>SUM(DataEx!FD381)</f>
        <v>0</v>
      </c>
      <c r="R148" s="91">
        <f>SUM(DataEx!FE381)</f>
        <v>0</v>
      </c>
      <c r="S148" s="125">
        <f t="shared" si="21"/>
        <v>0</v>
      </c>
      <c r="T148" s="126">
        <f t="shared" si="22"/>
        <v>0</v>
      </c>
    </row>
    <row r="149" spans="1:20" ht="13.5" thickBot="1">
      <c r="A149" s="137"/>
      <c r="B149" s="386" t="s">
        <v>695</v>
      </c>
      <c r="C149" s="387"/>
      <c r="D149" s="387"/>
      <c r="E149" s="387"/>
      <c r="F149" s="387"/>
      <c r="G149" s="91">
        <f>SUM(DataEx!ET382)</f>
        <v>0</v>
      </c>
      <c r="H149" s="91">
        <f>SUM(DataEx!EU382)</f>
        <v>0</v>
      </c>
      <c r="I149" s="91">
        <f>SUM(DataEx!EV382)</f>
        <v>0</v>
      </c>
      <c r="J149" s="91">
        <f>SUM(DataEx!EW382)</f>
        <v>0</v>
      </c>
      <c r="K149" s="91">
        <f>SUM(DataEx!EX382)</f>
        <v>0</v>
      </c>
      <c r="L149" s="91">
        <f>SUM(DataEx!EY382)</f>
        <v>0</v>
      </c>
      <c r="M149" s="91">
        <f>SUM(DataEx!EZ382)</f>
        <v>0</v>
      </c>
      <c r="N149" s="91">
        <f>SUM(DataEx!FA382)</f>
        <v>0</v>
      </c>
      <c r="O149" s="91">
        <f>SUM(DataEx!FB382)</f>
        <v>0</v>
      </c>
      <c r="P149" s="91">
        <f>SUM(DataEx!FC382)</f>
        <v>0</v>
      </c>
      <c r="Q149" s="91">
        <f>SUM(DataEx!FD382)</f>
        <v>0</v>
      </c>
      <c r="R149" s="91">
        <f>SUM(DataEx!FE382)</f>
        <v>0</v>
      </c>
      <c r="S149" s="135">
        <f>SUM(G149:R149)</f>
        <v>0</v>
      </c>
      <c r="T149" s="136">
        <f t="shared" si="22"/>
        <v>0</v>
      </c>
    </row>
    <row r="150" spans="1:20" ht="13.5" thickBot="1">
      <c r="A150" s="138" t="str">
        <f>+CONCATENATE(A55,"p")</f>
        <v>1000p</v>
      </c>
      <c r="B150" s="572" t="str">
        <f>+VLOOKUP(LEFT($A150,LEN(A150)-1)*1,Master!$D$27:$G$225,4,FALSE)</f>
        <v>Suficit / deficit</v>
      </c>
      <c r="C150" s="573"/>
      <c r="D150" s="573"/>
      <c r="E150" s="573"/>
      <c r="F150" s="573"/>
      <c r="G150" s="97">
        <f t="shared" ref="G150:R150" si="28">+G106-G125</f>
        <v>-64224630.550666675</v>
      </c>
      <c r="H150" s="97">
        <f t="shared" si="28"/>
        <v>-38689367.230666667</v>
      </c>
      <c r="I150" s="97">
        <f t="shared" si="28"/>
        <v>-6911119.8406666815</v>
      </c>
      <c r="J150" s="97">
        <f t="shared" si="28"/>
        <v>7828380.3542222381</v>
      </c>
      <c r="K150" s="97">
        <f t="shared" si="28"/>
        <v>-10713497.853111148</v>
      </c>
      <c r="L150" s="97">
        <f t="shared" si="28"/>
        <v>-8252765.6917777658</v>
      </c>
      <c r="M150" s="97">
        <f t="shared" si="28"/>
        <v>-1060945.4237637222</v>
      </c>
      <c r="N150" s="97">
        <f t="shared" si="28"/>
        <v>5510010.1587502658</v>
      </c>
      <c r="O150" s="97">
        <f t="shared" si="28"/>
        <v>14130301.591036469</v>
      </c>
      <c r="P150" s="97">
        <f t="shared" si="28"/>
        <v>-23342791.08790341</v>
      </c>
      <c r="Q150" s="97">
        <f t="shared" si="28"/>
        <v>-37972128.493116558</v>
      </c>
      <c r="R150" s="97">
        <f t="shared" si="28"/>
        <v>20858700.505209386</v>
      </c>
      <c r="S150" s="113">
        <f t="shared" si="21"/>
        <v>-142839853.56245428</v>
      </c>
      <c r="T150" s="114">
        <f t="shared" si="22"/>
        <v>-3.063260852722588E-2</v>
      </c>
    </row>
    <row r="151" spans="1:20" ht="13.5" thickBot="1">
      <c r="A151" s="138" t="str">
        <f>+CONCATENATE(A57,"p")</f>
        <v>1001p</v>
      </c>
      <c r="B151" s="574" t="str">
        <f>+VLOOKUP(LEFT($A151,LEN(A151)-1)*1,Master!$D$27:$G$225,4,FALSE)</f>
        <v>Primarni bilans</v>
      </c>
      <c r="C151" s="575"/>
      <c r="D151" s="575"/>
      <c r="E151" s="575"/>
      <c r="F151" s="575"/>
      <c r="G151" s="98">
        <f t="shared" ref="G151:R151" si="29">+G150+G133</f>
        <v>-57101905.550666675</v>
      </c>
      <c r="H151" s="98">
        <f t="shared" si="29"/>
        <v>-31566642.230666667</v>
      </c>
      <c r="I151" s="98">
        <f t="shared" si="29"/>
        <v>211605.15933331847</v>
      </c>
      <c r="J151" s="98">
        <f t="shared" si="29"/>
        <v>14951105.354222238</v>
      </c>
      <c r="K151" s="98">
        <f t="shared" si="29"/>
        <v>-3590772.8531111479</v>
      </c>
      <c r="L151" s="98">
        <f t="shared" si="29"/>
        <v>-1130040.6917777658</v>
      </c>
      <c r="M151" s="98">
        <f t="shared" si="29"/>
        <v>6061779.5762362778</v>
      </c>
      <c r="N151" s="98">
        <f t="shared" si="29"/>
        <v>12632735.158750266</v>
      </c>
      <c r="O151" s="98">
        <f t="shared" si="29"/>
        <v>21745526.591036469</v>
      </c>
      <c r="P151" s="98">
        <f t="shared" si="29"/>
        <v>-15727566.08790341</v>
      </c>
      <c r="Q151" s="98">
        <f t="shared" si="29"/>
        <v>-30356903.493116558</v>
      </c>
      <c r="R151" s="98">
        <f t="shared" si="29"/>
        <v>28473925.505209386</v>
      </c>
      <c r="S151" s="113">
        <f t="shared" si="21"/>
        <v>-55397153.562454268</v>
      </c>
      <c r="T151" s="114">
        <f t="shared" si="22"/>
        <v>-1.1880153026475288E-2</v>
      </c>
    </row>
    <row r="152" spans="1:20">
      <c r="A152" s="138" t="str">
        <f>+CONCATENATE(A58,"p")</f>
        <v>46p</v>
      </c>
      <c r="B152" s="564" t="str">
        <f>+VLOOKUP(LEFT($A152,LEN(A152)-1)*1,Master!$D$27:$G$225,4,FALSE)</f>
        <v>Otplata dugova</v>
      </c>
      <c r="C152" s="565"/>
      <c r="D152" s="565"/>
      <c r="E152" s="565"/>
      <c r="F152" s="565"/>
      <c r="G152" s="87">
        <f t="shared" ref="G152:R152" si="30">+SUM(G153:G155)</f>
        <v>3995985.341243688</v>
      </c>
      <c r="H152" s="87">
        <f t="shared" si="30"/>
        <v>5612183.5020401878</v>
      </c>
      <c r="I152" s="87">
        <f t="shared" si="30"/>
        <v>22206461.85490736</v>
      </c>
      <c r="J152" s="87">
        <f t="shared" si="30"/>
        <v>23720356.07957419</v>
      </c>
      <c r="K152" s="87">
        <f t="shared" si="30"/>
        <v>19949382.892757326</v>
      </c>
      <c r="L152" s="87">
        <f t="shared" si="30"/>
        <v>18025387.76124369</v>
      </c>
      <c r="M152" s="87">
        <f t="shared" si="30"/>
        <v>6006605.7712436877</v>
      </c>
      <c r="N152" s="87">
        <f t="shared" si="30"/>
        <v>17160148.002040189</v>
      </c>
      <c r="O152" s="87">
        <f t="shared" si="30"/>
        <v>21286585.159562141</v>
      </c>
      <c r="P152" s="87">
        <f t="shared" si="30"/>
        <v>8472904.0295741912</v>
      </c>
      <c r="Q152" s="87">
        <f t="shared" si="30"/>
        <v>10599232.02456969</v>
      </c>
      <c r="R152" s="87">
        <f t="shared" si="30"/>
        <v>385397542.39124364</v>
      </c>
      <c r="S152" s="109">
        <f t="shared" si="21"/>
        <v>542432774.80999994</v>
      </c>
      <c r="T152" s="110">
        <f t="shared" si="22"/>
        <v>0.11632699438344413</v>
      </c>
    </row>
    <row r="153" spans="1:20">
      <c r="A153" s="138" t="str">
        <f>+CONCATENATE(A59,"p")</f>
        <v>4611p</v>
      </c>
      <c r="B153" s="568" t="str">
        <f>+VLOOKUP(LEFT($A153,LEN(A153)-1)*1,Master!$D$27:$G$225,4,FALSE)</f>
        <v>Otplata hartija od vrijednosti i kredita rezidentima</v>
      </c>
      <c r="C153" s="569"/>
      <c r="D153" s="569"/>
      <c r="E153" s="569"/>
      <c r="F153" s="569"/>
      <c r="G153" s="100">
        <f>SUM(DataEx!ET388)</f>
        <v>116701.86</v>
      </c>
      <c r="H153" s="100">
        <f>SUM(DataEx!EU388)</f>
        <v>867332.36</v>
      </c>
      <c r="I153" s="100">
        <f>SUM(DataEx!EV388)</f>
        <v>7801367.0199999996</v>
      </c>
      <c r="J153" s="100">
        <f>SUM(DataEx!EW388)</f>
        <v>4481623.79</v>
      </c>
      <c r="K153" s="100">
        <f>SUM(DataEx!EX388)</f>
        <v>2831467.37</v>
      </c>
      <c r="L153" s="100">
        <f>SUM(DataEx!EY388)</f>
        <v>7170000.0800000001</v>
      </c>
      <c r="M153" s="100">
        <f>SUM(DataEx!EZ388)</f>
        <v>82322.3</v>
      </c>
      <c r="N153" s="100">
        <f>SUM(DataEx!FA388)</f>
        <v>10832753.109999999</v>
      </c>
      <c r="O153" s="100">
        <f>SUM(DataEx!FB388)</f>
        <v>1958366.01</v>
      </c>
      <c r="P153" s="100">
        <f>SUM(DataEx!FC388)</f>
        <v>1510132.11</v>
      </c>
      <c r="Q153" s="100">
        <f>SUM(DataEx!FD388)</f>
        <v>834059.15</v>
      </c>
      <c r="R153" s="100">
        <f>SUM(DataEx!FE388)</f>
        <v>12202154.65</v>
      </c>
      <c r="S153" s="107">
        <f t="shared" si="21"/>
        <v>50688279.809999995</v>
      </c>
      <c r="T153" s="108">
        <f t="shared" si="22"/>
        <v>1.0870315206948316E-2</v>
      </c>
    </row>
    <row r="154" spans="1:20">
      <c r="A154" s="138" t="str">
        <f>+CONCATENATE(A60,"p")</f>
        <v>4612p</v>
      </c>
      <c r="B154" s="566" t="str">
        <f>+VLOOKUP(LEFT($A154,LEN(A154)-1)*1,Master!$D$27:$G$225,4,FALSE)</f>
        <v>Otplata hartija od vrijednosti i kredita nerezidentima</v>
      </c>
      <c r="C154" s="567"/>
      <c r="D154" s="567"/>
      <c r="E154" s="567"/>
      <c r="F154" s="567"/>
      <c r="G154" s="100">
        <f>SUM(DataEx!ET389)</f>
        <v>2071825.5645770216</v>
      </c>
      <c r="H154" s="100">
        <f>SUM(DataEx!EU389)</f>
        <v>2862393.2253735214</v>
      </c>
      <c r="I154" s="100">
        <f>SUM(DataEx!EV389)</f>
        <v>12467636.918240691</v>
      </c>
      <c r="J154" s="100">
        <f>SUM(DataEx!EW389)</f>
        <v>17326274.372907523</v>
      </c>
      <c r="K154" s="100">
        <f>SUM(DataEx!EX389)</f>
        <v>15150457.606090657</v>
      </c>
      <c r="L154" s="100">
        <f>SUM(DataEx!EY389)</f>
        <v>8947929.7645770218</v>
      </c>
      <c r="M154" s="100">
        <f>SUM(DataEx!EZ389)</f>
        <v>2071825.5545770216</v>
      </c>
      <c r="N154" s="100">
        <f>SUM(DataEx!FA389)</f>
        <v>2989936.9753735219</v>
      </c>
      <c r="O154" s="100">
        <f>SUM(DataEx!FB389)</f>
        <v>16625761.232895471</v>
      </c>
      <c r="P154" s="100">
        <f>SUM(DataEx!FC389)</f>
        <v>4165314.0029075216</v>
      </c>
      <c r="Q154" s="100">
        <f>SUM(DataEx!FD389)</f>
        <v>6972714.957903021</v>
      </c>
      <c r="R154" s="100">
        <f>SUM(DataEx!FE389)</f>
        <v>369847929.82457697</v>
      </c>
      <c r="S154" s="107">
        <f t="shared" si="21"/>
        <v>461500000</v>
      </c>
      <c r="T154" s="108">
        <f t="shared" si="22"/>
        <v>9.8970619772678528E-2</v>
      </c>
    </row>
    <row r="155" spans="1:20">
      <c r="A155" s="138" t="str">
        <f>+CONCATENATE(A53,"p")</f>
        <v>4630p</v>
      </c>
      <c r="B155" s="566" t="str">
        <f>+VLOOKUP(LEFT($A155,LEN(A155)-1)*1,Master!$D$27:$G$225,4,FALSE)</f>
        <v>Otplata obaveza iz prethodnih godina</v>
      </c>
      <c r="C155" s="567"/>
      <c r="D155" s="567"/>
      <c r="E155" s="567"/>
      <c r="F155" s="567"/>
      <c r="G155" s="100">
        <f>SUM(DataEx!ET393)</f>
        <v>1807457.9166666667</v>
      </c>
      <c r="H155" s="100">
        <f>SUM(DataEx!EU393)</f>
        <v>1882457.9166666667</v>
      </c>
      <c r="I155" s="100">
        <f>SUM(DataEx!EV393)</f>
        <v>1937457.9166666667</v>
      </c>
      <c r="J155" s="100">
        <f>SUM(DataEx!EW393)</f>
        <v>1912457.9166666667</v>
      </c>
      <c r="K155" s="100">
        <f>SUM(DataEx!EX393)</f>
        <v>1967457.9166666667</v>
      </c>
      <c r="L155" s="100">
        <f>SUM(DataEx!EY393)</f>
        <v>1907457.9166666667</v>
      </c>
      <c r="M155" s="100">
        <f>SUM(DataEx!EZ393)</f>
        <v>3852457.9166666665</v>
      </c>
      <c r="N155" s="100">
        <f>SUM(DataEx!FA393)</f>
        <v>3337457.9166666665</v>
      </c>
      <c r="O155" s="100">
        <f>SUM(DataEx!FB393)</f>
        <v>2702457.9166666698</v>
      </c>
      <c r="P155" s="100">
        <f>SUM(DataEx!FC393)</f>
        <v>2797457.9166666698</v>
      </c>
      <c r="Q155" s="100">
        <f>SUM(DataEx!FD393)</f>
        <v>2792457.9166666698</v>
      </c>
      <c r="R155" s="100">
        <f>SUM(DataEx!FE393)</f>
        <v>3347457.9166666698</v>
      </c>
      <c r="S155" s="107">
        <f t="shared" si="21"/>
        <v>30244495.000000015</v>
      </c>
      <c r="T155" s="108">
        <f t="shared" si="22"/>
        <v>6.4860594038172884E-3</v>
      </c>
    </row>
    <row r="156" spans="1:20" ht="13.5" thickBot="1">
      <c r="A156" s="138"/>
      <c r="B156" s="422" t="s">
        <v>790</v>
      </c>
      <c r="C156" s="423"/>
      <c r="D156" s="423"/>
      <c r="E156" s="423"/>
      <c r="F156" s="423"/>
      <c r="G156" s="429">
        <f>+DataEx!ET377</f>
        <v>0</v>
      </c>
      <c r="H156" s="429">
        <f>+DataEx!EU377</f>
        <v>0</v>
      </c>
      <c r="I156" s="429">
        <f>+DataEx!EV377</f>
        <v>0</v>
      </c>
      <c r="J156" s="429">
        <f>+DataEx!EW377</f>
        <v>0</v>
      </c>
      <c r="K156" s="429">
        <f>+DataEx!EX377</f>
        <v>70000000</v>
      </c>
      <c r="L156" s="429">
        <f>+DataEx!EY377</f>
        <v>0</v>
      </c>
      <c r="M156" s="429">
        <f>+DataEx!EZ377</f>
        <v>0</v>
      </c>
      <c r="N156" s="429">
        <f>+DataEx!FA377</f>
        <v>0</v>
      </c>
      <c r="O156" s="429">
        <f>+DataEx!FB377</f>
        <v>0</v>
      </c>
      <c r="P156" s="429">
        <f>+DataEx!FC377</f>
        <v>0</v>
      </c>
      <c r="Q156" s="429">
        <f>+DataEx!FD377</f>
        <v>0</v>
      </c>
      <c r="R156" s="429">
        <f>+DataEx!FE377</f>
        <v>0</v>
      </c>
      <c r="S156" s="107">
        <f t="shared" si="21"/>
        <v>70000000</v>
      </c>
      <c r="T156" s="108">
        <f t="shared" si="22"/>
        <v>1.5011794981771392E-2</v>
      </c>
    </row>
    <row r="157" spans="1:20" ht="13.5" thickBot="1">
      <c r="A157" s="138" t="str">
        <f t="shared" ref="A157:A162" si="31">+CONCATENATE(A62,"p")</f>
        <v>1002p</v>
      </c>
      <c r="B157" s="570" t="str">
        <f>+VLOOKUP(LEFT($A157,LEN(A157)-1)*1,Master!$D$27:$G$225,4,FALSE)</f>
        <v>Nedostajuća sredstva</v>
      </c>
      <c r="C157" s="571"/>
      <c r="D157" s="571"/>
      <c r="E157" s="571"/>
      <c r="F157" s="571"/>
      <c r="G157" s="79">
        <f>+G150-G152-G156</f>
        <v>-68220615.891910359</v>
      </c>
      <c r="H157" s="79">
        <f t="shared" ref="H157:R157" si="32">+H150-H152-H156</f>
        <v>-44301550.732706852</v>
      </c>
      <c r="I157" s="79">
        <f t="shared" si="32"/>
        <v>-29117581.695574041</v>
      </c>
      <c r="J157" s="79">
        <f t="shared" si="32"/>
        <v>-15891975.725351952</v>
      </c>
      <c r="K157" s="79">
        <f t="shared" si="32"/>
        <v>-100662880.74586847</v>
      </c>
      <c r="L157" s="79">
        <f t="shared" si="32"/>
        <v>-26278153.453021456</v>
      </c>
      <c r="M157" s="79">
        <f t="shared" si="32"/>
        <v>-7067551.1950074099</v>
      </c>
      <c r="N157" s="79">
        <f t="shared" si="32"/>
        <v>-11650137.843289923</v>
      </c>
      <c r="O157" s="79">
        <f t="shared" si="32"/>
        <v>-7156283.568525672</v>
      </c>
      <c r="P157" s="79">
        <f t="shared" si="32"/>
        <v>-31815695.117477603</v>
      </c>
      <c r="Q157" s="79">
        <f t="shared" si="32"/>
        <v>-48571360.517686248</v>
      </c>
      <c r="R157" s="79">
        <f t="shared" si="32"/>
        <v>-364538841.88603425</v>
      </c>
      <c r="S157" s="117">
        <f t="shared" si="21"/>
        <v>-755272628.37245417</v>
      </c>
      <c r="T157" s="118">
        <f t="shared" si="22"/>
        <v>-0.16197139789244139</v>
      </c>
    </row>
    <row r="158" spans="1:20" ht="13.5" thickBot="1">
      <c r="A158" s="138" t="str">
        <f t="shared" si="31"/>
        <v>1003p</v>
      </c>
      <c r="B158" s="556" t="str">
        <f>+VLOOKUP(LEFT($A158,LEN(A158)-1)*1,Master!$D$27:$G$225,4,FALSE)</f>
        <v>Finansiranje</v>
      </c>
      <c r="C158" s="557"/>
      <c r="D158" s="557"/>
      <c r="E158" s="557"/>
      <c r="F158" s="557"/>
      <c r="G158" s="97">
        <f t="shared" ref="G158:R158" si="33">+SUM(G159:G162)</f>
        <v>68220615.891910359</v>
      </c>
      <c r="H158" s="97">
        <f t="shared" si="33"/>
        <v>44301550.732706852</v>
      </c>
      <c r="I158" s="97">
        <f t="shared" si="33"/>
        <v>29117581.695574041</v>
      </c>
      <c r="J158" s="97">
        <f t="shared" si="33"/>
        <v>15891975.725351952</v>
      </c>
      <c r="K158" s="97">
        <f t="shared" si="33"/>
        <v>100662880.74586847</v>
      </c>
      <c r="L158" s="97">
        <f t="shared" si="33"/>
        <v>26278153.453021456</v>
      </c>
      <c r="M158" s="97">
        <f t="shared" si="33"/>
        <v>7067551.1950074099</v>
      </c>
      <c r="N158" s="97">
        <f t="shared" si="33"/>
        <v>11650137.843289923</v>
      </c>
      <c r="O158" s="97">
        <f t="shared" si="33"/>
        <v>7156283.568525672</v>
      </c>
      <c r="P158" s="97">
        <f t="shared" si="33"/>
        <v>31815695.117477603</v>
      </c>
      <c r="Q158" s="97">
        <f t="shared" si="33"/>
        <v>48571360.517686248</v>
      </c>
      <c r="R158" s="97">
        <f t="shared" si="33"/>
        <v>364538841.88603425</v>
      </c>
      <c r="S158" s="119">
        <f t="shared" si="21"/>
        <v>755272628.37245417</v>
      </c>
      <c r="T158" s="120">
        <f t="shared" si="22"/>
        <v>0.16197139789244139</v>
      </c>
    </row>
    <row r="159" spans="1:20">
      <c r="A159" s="138" t="str">
        <f t="shared" si="31"/>
        <v>7511p</v>
      </c>
      <c r="B159" s="568" t="str">
        <f>+VLOOKUP(LEFT($A159,LEN(A159)-1)*1,Master!$D$27:$G$225,4,FALSE)</f>
        <v>Pozajmice i krediti od domaćih izvora</v>
      </c>
      <c r="C159" s="569"/>
      <c r="D159" s="569"/>
      <c r="E159" s="569"/>
      <c r="F159" s="569"/>
      <c r="G159" s="100">
        <f>+INDEX(DataEx!$1:$1048576,MATCH('2018'!$A159,DataEx!$D:$D,0),MATCH('2018'!G$6,DataEx!$7:$7,0))</f>
        <v>0</v>
      </c>
      <c r="H159" s="100">
        <f>+INDEX(DataEx!$1:$1048576,MATCH('2018'!$A159,DataEx!$D:$D,0),MATCH('2018'!H$6,DataEx!$7:$7,0))</f>
        <v>0</v>
      </c>
      <c r="I159" s="100">
        <f>+INDEX(DataEx!$1:$1048576,MATCH('2018'!$A159,DataEx!$D:$D,0),MATCH('2018'!I$6,DataEx!$7:$7,0))</f>
        <v>0</v>
      </c>
      <c r="J159" s="100">
        <f>+INDEX(DataEx!$1:$1048576,MATCH('2018'!$A159,DataEx!$D:$D,0),MATCH('2018'!J$6,DataEx!$7:$7,0))</f>
        <v>0</v>
      </c>
      <c r="K159" s="100">
        <f>+INDEX(DataEx!$1:$1048576,MATCH('2018'!$A159,DataEx!$D:$D,0),MATCH('2018'!K$6,DataEx!$7:$7,0))</f>
        <v>0</v>
      </c>
      <c r="L159" s="100">
        <f>+INDEX(DataEx!$1:$1048576,MATCH('2018'!$A159,DataEx!$D:$D,0),MATCH('2018'!L$6,DataEx!$7:$7,0))</f>
        <v>0</v>
      </c>
      <c r="M159" s="100">
        <f>+INDEX(DataEx!$1:$1048576,MATCH('2018'!$A159,DataEx!$D:$D,0),MATCH('2018'!M$6,DataEx!$7:$7,0))</f>
        <v>0</v>
      </c>
      <c r="N159" s="100">
        <f>+INDEX(DataEx!$1:$1048576,MATCH('2018'!$A159,DataEx!$D:$D,0),MATCH('2018'!N$6,DataEx!$7:$7,0))</f>
        <v>0</v>
      </c>
      <c r="O159" s="100">
        <f>+INDEX(DataEx!$1:$1048576,MATCH('2018'!$A159,DataEx!$D:$D,0),MATCH('2018'!O$6,DataEx!$7:$7,0))</f>
        <v>0</v>
      </c>
      <c r="P159" s="100">
        <f>+INDEX(DataEx!$1:$1048576,MATCH('2018'!$A159,DataEx!$D:$D,0),MATCH('2018'!P$6,DataEx!$7:$7,0))</f>
        <v>0</v>
      </c>
      <c r="Q159" s="100">
        <f>+INDEX(DataEx!$1:$1048576,MATCH('2018'!$A159,DataEx!$D:$D,0),MATCH('2018'!Q$6,DataEx!$7:$7,0))</f>
        <v>0</v>
      </c>
      <c r="R159" s="100">
        <f>+INDEX(DataEx!$1:$1048576,MATCH('2018'!$A159,DataEx!$D:$D,0),MATCH('2018'!R$6,DataEx!$7:$7,0))</f>
        <v>0</v>
      </c>
      <c r="S159" s="107">
        <f t="shared" si="21"/>
        <v>0</v>
      </c>
      <c r="T159" s="108">
        <f t="shared" si="22"/>
        <v>0</v>
      </c>
    </row>
    <row r="160" spans="1:20">
      <c r="A160" s="138" t="str">
        <f t="shared" si="31"/>
        <v>7512p</v>
      </c>
      <c r="B160" s="566" t="str">
        <f>+VLOOKUP(LEFT($A160,LEN(A160)-1)*1,Master!$D$27:$G$225,4,FALSE)</f>
        <v>Pozajmice i krediti od inostranih izvora</v>
      </c>
      <c r="C160" s="567"/>
      <c r="D160" s="567"/>
      <c r="E160" s="567"/>
      <c r="F160" s="567"/>
      <c r="G160" s="100">
        <f>+INDEX(DataEx!$1:$1048576,MATCH('2018'!$A160,DataEx!$D:$D,0),MATCH('2018'!G$6,DataEx!$7:$7,0))</f>
        <v>24658333.329999998</v>
      </c>
      <c r="H160" s="100">
        <f>+INDEX(DataEx!$1:$1048576,MATCH('2018'!$A160,DataEx!$D:$D,0),MATCH('2018'!H$6,DataEx!$7:$7,0))</f>
        <v>24658333.329999998</v>
      </c>
      <c r="I160" s="100">
        <f>+INDEX(DataEx!$1:$1048576,MATCH('2018'!$A160,DataEx!$D:$D,0),MATCH('2018'!I$6,DataEx!$7:$7,0))</f>
        <v>24658333.329999998</v>
      </c>
      <c r="J160" s="100">
        <f>+INDEX(DataEx!$1:$1048576,MATCH('2018'!$A160,DataEx!$D:$D,0),MATCH('2018'!J$6,DataEx!$7:$7,0))</f>
        <v>24658333.329999998</v>
      </c>
      <c r="K160" s="100">
        <f>+INDEX(DataEx!$1:$1048576,MATCH('2018'!$A160,DataEx!$D:$D,0),MATCH('2018'!K$6,DataEx!$7:$7,0))</f>
        <v>24658333.329999998</v>
      </c>
      <c r="L160" s="100">
        <f>+INDEX(DataEx!$1:$1048576,MATCH('2018'!$A160,DataEx!$D:$D,0),MATCH('2018'!L$6,DataEx!$7:$7,0))</f>
        <v>24658333.329999998</v>
      </c>
      <c r="M160" s="100">
        <f>+INDEX(DataEx!$1:$1048576,MATCH('2018'!$A160,DataEx!$D:$D,0),MATCH('2018'!M$6,DataEx!$7:$7,0))</f>
        <v>24658333.329999998</v>
      </c>
      <c r="N160" s="100">
        <f>+INDEX(DataEx!$1:$1048576,MATCH('2018'!$A160,DataEx!$D:$D,0),MATCH('2018'!N$6,DataEx!$7:$7,0))</f>
        <v>24658333.329999998</v>
      </c>
      <c r="O160" s="100">
        <f>+INDEX(DataEx!$1:$1048576,MATCH('2018'!$A160,DataEx!$D:$D,0),MATCH('2018'!O$6,DataEx!$7:$7,0))</f>
        <v>24658333.329999998</v>
      </c>
      <c r="P160" s="100">
        <f>+INDEX(DataEx!$1:$1048576,MATCH('2018'!$A160,DataEx!$D:$D,0),MATCH('2018'!P$6,DataEx!$7:$7,0))</f>
        <v>24658333.329999998</v>
      </c>
      <c r="Q160" s="100">
        <f>+INDEX(DataEx!$1:$1048576,MATCH('2018'!$A160,DataEx!$D:$D,0),MATCH('2018'!Q$6,DataEx!$7:$7,0))</f>
        <v>24658333.329999998</v>
      </c>
      <c r="R160" s="100">
        <f>+INDEX(DataEx!$1:$1048576,MATCH('2018'!$A160,DataEx!$D:$D,0),MATCH('2018'!R$6,DataEx!$7:$7,0))</f>
        <v>468022681.93578738</v>
      </c>
      <c r="S160" s="107">
        <f t="shared" si="21"/>
        <v>739264348.56578732</v>
      </c>
      <c r="T160" s="108">
        <f t="shared" si="22"/>
        <v>0.15853835482860548</v>
      </c>
    </row>
    <row r="161" spans="1:20">
      <c r="A161" s="138" t="str">
        <f t="shared" si="31"/>
        <v>72p</v>
      </c>
      <c r="B161" s="566" t="str">
        <f>+VLOOKUP(LEFT($A161,LEN(A161)-1)*1,Master!$D$27:$G$225,4,FALSE)</f>
        <v>Primici od prodaje imovine</v>
      </c>
      <c r="C161" s="567"/>
      <c r="D161" s="567"/>
      <c r="E161" s="567"/>
      <c r="F161" s="567"/>
      <c r="G161" s="100">
        <f>+INDEX(DataEx!$1:$1048576,MATCH('2018'!$A161,DataEx!$D:$D,0),MATCH('2018'!G$6,DataEx!$7:$7,0))</f>
        <v>0</v>
      </c>
      <c r="H161" s="100">
        <f>+INDEX(DataEx!$1:$1048576,MATCH('2018'!$A161,DataEx!$D:$D,0),MATCH('2018'!H$6,DataEx!$7:$7,0))</f>
        <v>0</v>
      </c>
      <c r="I161" s="100">
        <f>+INDEX(DataEx!$1:$1048576,MATCH('2018'!$A161,DataEx!$D:$D,0),MATCH('2018'!I$6,DataEx!$7:$7,0))</f>
        <v>0</v>
      </c>
      <c r="J161" s="100">
        <f>+INDEX(DataEx!$1:$1048576,MATCH('2018'!$A161,DataEx!$D:$D,0),MATCH('2018'!J$6,DataEx!$7:$7,0))</f>
        <v>0</v>
      </c>
      <c r="K161" s="100">
        <f>+INDEX(DataEx!$1:$1048576,MATCH('2018'!$A161,DataEx!$D:$D,0),MATCH('2018'!K$6,DataEx!$7:$7,0))</f>
        <v>0</v>
      </c>
      <c r="L161" s="100">
        <f>+INDEX(DataEx!$1:$1048576,MATCH('2018'!$A161,DataEx!$D:$D,0),MATCH('2018'!L$6,DataEx!$7:$7,0))</f>
        <v>0</v>
      </c>
      <c r="M161" s="100">
        <f>+INDEX(DataEx!$1:$1048576,MATCH('2018'!$A161,DataEx!$D:$D,0),MATCH('2018'!M$6,DataEx!$7:$7,0))</f>
        <v>0</v>
      </c>
      <c r="N161" s="100">
        <f>+INDEX(DataEx!$1:$1048576,MATCH('2018'!$A161,DataEx!$D:$D,0),MATCH('2018'!N$6,DataEx!$7:$7,0))</f>
        <v>0</v>
      </c>
      <c r="O161" s="100">
        <f>+INDEX(DataEx!$1:$1048576,MATCH('2018'!$A161,DataEx!$D:$D,0),MATCH('2018'!O$6,DataEx!$7:$7,0))</f>
        <v>0</v>
      </c>
      <c r="P161" s="100">
        <f>+INDEX(DataEx!$1:$1048576,MATCH('2018'!$A161,DataEx!$D:$D,0),MATCH('2018'!P$6,DataEx!$7:$7,0))</f>
        <v>0</v>
      </c>
      <c r="Q161" s="100">
        <f>+INDEX(DataEx!$1:$1048576,MATCH('2018'!$A161,DataEx!$D:$D,0),MATCH('2018'!Q$6,DataEx!$7:$7,0))</f>
        <v>0</v>
      </c>
      <c r="R161" s="100">
        <f>+INDEX(DataEx!$1:$1048576,MATCH('2018'!$A161,DataEx!$D:$D,0),MATCH('2018'!R$6,DataEx!$7:$7,0))</f>
        <v>16000000</v>
      </c>
      <c r="S161" s="107">
        <f t="shared" si="21"/>
        <v>16000000</v>
      </c>
      <c r="T161" s="108">
        <f t="shared" si="22"/>
        <v>3.4312674244048897E-3</v>
      </c>
    </row>
    <row r="162" spans="1:20" ht="13.5" thickBot="1">
      <c r="A162" s="138" t="str">
        <f t="shared" si="31"/>
        <v>1004p</v>
      </c>
      <c r="B162" s="102" t="str">
        <f>+VLOOKUP(LEFT($A162,LEN(A162)-1)*1,Master!$D$27:$G$225,4,FALSE)</f>
        <v>Povećanje / smanjenje depozita</v>
      </c>
      <c r="C162" s="103"/>
      <c r="D162" s="103"/>
      <c r="E162" s="103"/>
      <c r="F162" s="103"/>
      <c r="G162" s="101">
        <f t="shared" ref="G162:R162" si="34">-G157-SUM(G159:G161)</f>
        <v>43562282.561910361</v>
      </c>
      <c r="H162" s="101">
        <f t="shared" si="34"/>
        <v>19643217.402706854</v>
      </c>
      <c r="I162" s="101">
        <f t="shared" si="34"/>
        <v>4459248.3655740432</v>
      </c>
      <c r="J162" s="101">
        <f t="shared" si="34"/>
        <v>-8766357.6046480462</v>
      </c>
      <c r="K162" s="101">
        <f t="shared" si="34"/>
        <v>76004547.415868476</v>
      </c>
      <c r="L162" s="101">
        <f t="shared" si="34"/>
        <v>1619820.1230214573</v>
      </c>
      <c r="M162" s="101">
        <f t="shared" si="34"/>
        <v>-17590782.134992588</v>
      </c>
      <c r="N162" s="101">
        <f t="shared" si="34"/>
        <v>-13008195.486710075</v>
      </c>
      <c r="O162" s="101">
        <f t="shared" si="34"/>
        <v>-17502049.761474326</v>
      </c>
      <c r="P162" s="101">
        <f t="shared" si="34"/>
        <v>7157361.787477605</v>
      </c>
      <c r="Q162" s="101">
        <f t="shared" si="34"/>
        <v>23913027.18768625</v>
      </c>
      <c r="R162" s="101">
        <f t="shared" si="34"/>
        <v>-119483840.04975313</v>
      </c>
      <c r="S162" s="111">
        <f t="shared" si="21"/>
        <v>8279.8066668957472</v>
      </c>
      <c r="T162" s="112">
        <f t="shared" si="22"/>
        <v>1.7756394310306128E-6</v>
      </c>
    </row>
  </sheetData>
  <mergeCells count="116">
    <mergeCell ref="B161:F161"/>
    <mergeCell ref="B154:F154"/>
    <mergeCell ref="B155:F155"/>
    <mergeCell ref="B157:F157"/>
    <mergeCell ref="B158:F158"/>
    <mergeCell ref="B159:F159"/>
    <mergeCell ref="B160:F160"/>
    <mergeCell ref="B147:F147"/>
    <mergeCell ref="B148:F148"/>
    <mergeCell ref="B150:F150"/>
    <mergeCell ref="B151:F151"/>
    <mergeCell ref="B152:F152"/>
    <mergeCell ref="B153:F153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29:F129"/>
    <mergeCell ref="B130:F130"/>
    <mergeCell ref="B131:F131"/>
    <mergeCell ref="B132:F132"/>
    <mergeCell ref="B133:F133"/>
    <mergeCell ref="B134:F134"/>
    <mergeCell ref="B123:F123"/>
    <mergeCell ref="B124:F124"/>
    <mergeCell ref="B125:F125"/>
    <mergeCell ref="B126:F126"/>
    <mergeCell ref="B127:F127"/>
    <mergeCell ref="B128:F128"/>
    <mergeCell ref="B117:F117"/>
    <mergeCell ref="B118:F118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S104:T104"/>
    <mergeCell ref="B106:F106"/>
    <mergeCell ref="B107:F107"/>
    <mergeCell ref="B108:F108"/>
    <mergeCell ref="B109:F109"/>
    <mergeCell ref="B110:F110"/>
    <mergeCell ref="B63:F63"/>
    <mergeCell ref="B64:F64"/>
    <mergeCell ref="B65:F65"/>
    <mergeCell ref="B66:F66"/>
    <mergeCell ref="B103:F105"/>
    <mergeCell ref="G103:R103"/>
    <mergeCell ref="B55:F55"/>
    <mergeCell ref="B57:F57"/>
    <mergeCell ref="B58:F58"/>
    <mergeCell ref="B59:F59"/>
    <mergeCell ref="B60:F60"/>
    <mergeCell ref="B62:F62"/>
    <mergeCell ref="B49:F49"/>
    <mergeCell ref="B50:F50"/>
    <mergeCell ref="B51:F51"/>
    <mergeCell ref="B52:F52"/>
    <mergeCell ref="B53:F53"/>
    <mergeCell ref="B54:F54"/>
    <mergeCell ref="B61:F61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5" activePane="bottomLeft" state="frozen"/>
      <selection pane="bottomLeft" activeCell="B12" sqref="B12:F1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">
        <v>792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18" t="s">
        <v>560</v>
      </c>
      <c r="C7" s="499"/>
      <c r="D7" s="499"/>
      <c r="E7" s="499"/>
      <c r="F7" s="499"/>
      <c r="G7" s="507">
        <v>2017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+[1]Master!G246</f>
        <v>BDP</v>
      </c>
      <c r="T7" s="261">
        <v>4299000000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tr">
        <f>+[1]Master!G243</f>
        <v>Jan - Dec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466" t="s">
        <v>20</v>
      </c>
      <c r="C10" s="467"/>
      <c r="D10" s="467"/>
      <c r="E10" s="467"/>
      <c r="F10" s="467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68" t="s">
        <v>24</v>
      </c>
      <c r="C11" s="469"/>
      <c r="D11" s="469"/>
      <c r="E11" s="469"/>
      <c r="F11" s="469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70" t="s">
        <v>26</v>
      </c>
      <c r="C12" s="471"/>
      <c r="D12" s="471"/>
      <c r="E12" s="471"/>
      <c r="F12" s="471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70" t="s">
        <v>28</v>
      </c>
      <c r="C13" s="471"/>
      <c r="D13" s="471"/>
      <c r="E13" s="471"/>
      <c r="F13" s="471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70" t="s">
        <v>30</v>
      </c>
      <c r="C14" s="471"/>
      <c r="D14" s="471"/>
      <c r="E14" s="471"/>
      <c r="F14" s="471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70" t="s">
        <v>32</v>
      </c>
      <c r="C15" s="471"/>
      <c r="D15" s="471"/>
      <c r="E15" s="471"/>
      <c r="F15" s="471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70" t="s">
        <v>34</v>
      </c>
      <c r="C16" s="471"/>
      <c r="D16" s="471"/>
      <c r="E16" s="471"/>
      <c r="F16" s="471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70" t="s">
        <v>36</v>
      </c>
      <c r="C17" s="471"/>
      <c r="D17" s="471"/>
      <c r="E17" s="471"/>
      <c r="F17" s="471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70" t="s">
        <v>38</v>
      </c>
      <c r="C18" s="471"/>
      <c r="D18" s="471"/>
      <c r="E18" s="471"/>
      <c r="F18" s="471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74" t="s">
        <v>40</v>
      </c>
      <c r="C19" s="475"/>
      <c r="D19" s="475"/>
      <c r="E19" s="475"/>
      <c r="F19" s="475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70" t="s">
        <v>42</v>
      </c>
      <c r="C20" s="471"/>
      <c r="D20" s="471"/>
      <c r="E20" s="471"/>
      <c r="F20" s="471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70" t="s">
        <v>44</v>
      </c>
      <c r="C21" s="471"/>
      <c r="D21" s="471"/>
      <c r="E21" s="471"/>
      <c r="F21" s="471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70" t="s">
        <v>46</v>
      </c>
      <c r="C22" s="471"/>
      <c r="D22" s="471"/>
      <c r="E22" s="471"/>
      <c r="F22" s="471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70" t="s">
        <v>48</v>
      </c>
      <c r="C23" s="471"/>
      <c r="D23" s="471"/>
      <c r="E23" s="471"/>
      <c r="F23" s="471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72" t="s">
        <v>50</v>
      </c>
      <c r="C24" s="473"/>
      <c r="D24" s="473"/>
      <c r="E24" s="473"/>
      <c r="F24" s="473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72" t="s">
        <v>64</v>
      </c>
      <c r="C25" s="473"/>
      <c r="D25" s="473"/>
      <c r="E25" s="473"/>
      <c r="F25" s="473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72" t="s">
        <v>84</v>
      </c>
      <c r="C26" s="473"/>
      <c r="D26" s="473"/>
      <c r="E26" s="473"/>
      <c r="F26" s="473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72" t="s">
        <v>102</v>
      </c>
      <c r="C27" s="473"/>
      <c r="D27" s="473"/>
      <c r="E27" s="473"/>
      <c r="F27" s="473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76" t="s">
        <v>108</v>
      </c>
      <c r="C28" s="477"/>
      <c r="D28" s="477"/>
      <c r="E28" s="477"/>
      <c r="F28" s="477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8" t="s">
        <v>121</v>
      </c>
      <c r="C29" s="479"/>
      <c r="D29" s="479"/>
      <c r="E29" s="479"/>
      <c r="F29" s="479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40</v>
      </c>
      <c r="B30" s="480" t="s">
        <v>123</v>
      </c>
      <c r="C30" s="481"/>
      <c r="D30" s="481"/>
      <c r="E30" s="481"/>
      <c r="F30" s="481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41</v>
      </c>
      <c r="B31" s="482" t="s">
        <v>419</v>
      </c>
      <c r="C31" s="483"/>
      <c r="D31" s="483"/>
      <c r="E31" s="483"/>
      <c r="F31" s="483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70" t="s">
        <v>125</v>
      </c>
      <c r="C32" s="471"/>
      <c r="D32" s="471"/>
      <c r="E32" s="471"/>
      <c r="F32" s="471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70" t="s">
        <v>136</v>
      </c>
      <c r="C33" s="471"/>
      <c r="D33" s="471"/>
      <c r="E33" s="471"/>
      <c r="F33" s="471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70" t="s">
        <v>151</v>
      </c>
      <c r="C34" s="471"/>
      <c r="D34" s="471"/>
      <c r="E34" s="471"/>
      <c r="F34" s="471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70" t="s">
        <v>165</v>
      </c>
      <c r="C35" s="471"/>
      <c r="D35" s="471"/>
      <c r="E35" s="471"/>
      <c r="F35" s="471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70" t="s">
        <v>185</v>
      </c>
      <c r="C36" s="471"/>
      <c r="D36" s="471"/>
      <c r="E36" s="471"/>
      <c r="F36" s="471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70" t="s">
        <v>193</v>
      </c>
      <c r="C37" s="471"/>
      <c r="D37" s="471"/>
      <c r="E37" s="471"/>
      <c r="F37" s="471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70" t="s">
        <v>199</v>
      </c>
      <c r="C38" s="471"/>
      <c r="D38" s="471"/>
      <c r="E38" s="471"/>
      <c r="F38" s="471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70" t="s">
        <v>207</v>
      </c>
      <c r="C39" s="471"/>
      <c r="D39" s="471"/>
      <c r="E39" s="471"/>
      <c r="F39" s="471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70" t="s">
        <v>215</v>
      </c>
      <c r="C40" s="471"/>
      <c r="D40" s="471"/>
      <c r="E40" s="471"/>
      <c r="F40" s="471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70" t="s">
        <v>421</v>
      </c>
      <c r="C41" s="471"/>
      <c r="D41" s="471"/>
      <c r="E41" s="471"/>
      <c r="F41" s="471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6" t="s">
        <v>233</v>
      </c>
      <c r="C42" s="487"/>
      <c r="D42" s="487"/>
      <c r="E42" s="487"/>
      <c r="F42" s="487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70" t="s">
        <v>235</v>
      </c>
      <c r="C43" s="471"/>
      <c r="D43" s="471"/>
      <c r="E43" s="471"/>
      <c r="F43" s="471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70" t="s">
        <v>251</v>
      </c>
      <c r="C44" s="471"/>
      <c r="D44" s="471"/>
      <c r="E44" s="471"/>
      <c r="F44" s="471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70" t="s">
        <v>262</v>
      </c>
      <c r="C45" s="471"/>
      <c r="D45" s="471"/>
      <c r="E45" s="471"/>
      <c r="F45" s="471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70" t="s">
        <v>277</v>
      </c>
      <c r="C46" s="471"/>
      <c r="D46" s="471"/>
      <c r="E46" s="471"/>
      <c r="F46" s="471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70" t="s">
        <v>281</v>
      </c>
      <c r="C47" s="471"/>
      <c r="D47" s="471"/>
      <c r="E47" s="471"/>
      <c r="F47" s="471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4" t="s">
        <v>289</v>
      </c>
      <c r="C48" s="485"/>
      <c r="D48" s="485"/>
      <c r="E48" s="485"/>
      <c r="F48" s="485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4" t="s">
        <v>323</v>
      </c>
      <c r="C49" s="485"/>
      <c r="D49" s="485"/>
      <c r="E49" s="485"/>
      <c r="F49" s="485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88" t="s">
        <v>343</v>
      </c>
      <c r="C50" s="489"/>
      <c r="D50" s="489"/>
      <c r="E50" s="489"/>
      <c r="F50" s="489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88" t="s">
        <v>370</v>
      </c>
      <c r="C51" s="489"/>
      <c r="D51" s="489"/>
      <c r="E51" s="489"/>
      <c r="F51" s="489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90" t="s">
        <v>362</v>
      </c>
      <c r="C52" s="491"/>
      <c r="D52" s="491"/>
      <c r="E52" s="491"/>
      <c r="F52" s="491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90" t="s">
        <v>368</v>
      </c>
      <c r="C53" s="491"/>
      <c r="D53" s="491"/>
      <c r="E53" s="491"/>
      <c r="F53" s="491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76" t="s">
        <v>695</v>
      </c>
      <c r="C54" s="577"/>
      <c r="D54" s="577"/>
      <c r="E54" s="577"/>
      <c r="F54" s="577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92" t="s">
        <v>553</v>
      </c>
      <c r="C55" s="493"/>
      <c r="D55" s="493"/>
      <c r="E55" s="493"/>
      <c r="F55" s="493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791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94" t="s">
        <v>555</v>
      </c>
      <c r="C57" s="495"/>
      <c r="D57" s="495"/>
      <c r="E57" s="495"/>
      <c r="F57" s="495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6" t="s">
        <v>355</v>
      </c>
      <c r="C58" s="487"/>
      <c r="D58" s="487"/>
      <c r="E58" s="487"/>
      <c r="F58" s="487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512" t="s">
        <v>358</v>
      </c>
      <c r="C59" s="513"/>
      <c r="D59" s="513"/>
      <c r="E59" s="513"/>
      <c r="F59" s="513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88" t="s">
        <v>360</v>
      </c>
      <c r="C60" s="489"/>
      <c r="D60" s="489"/>
      <c r="E60" s="489"/>
      <c r="F60" s="489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88" t="str">
        <f>+VLOOKUP($A64,Master!$D$27:$G$225,4,FALSE)</f>
        <v>Pozajmice i krediti od inostranih izvora</v>
      </c>
      <c r="C64" s="489"/>
      <c r="D64" s="489"/>
      <c r="E64" s="489"/>
      <c r="F64" s="489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88" t="str">
        <f>+VLOOKUP($A65,Master!$D$27:$G$225,4,FALSE)</f>
        <v>Primici od prodaje imovine</v>
      </c>
      <c r="C65" s="489"/>
      <c r="D65" s="489"/>
      <c r="E65" s="489"/>
      <c r="F65" s="489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42" t="str">
        <f>+[1]Master!G250</f>
        <v>Plan ostvarenja budžeta</v>
      </c>
      <c r="C102" s="543"/>
      <c r="D102" s="543"/>
      <c r="E102" s="543"/>
      <c r="F102" s="543"/>
      <c r="G102" s="533">
        <v>2017</v>
      </c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5"/>
      <c r="S102" s="115" t="str">
        <f>+S7</f>
        <v>BDP</v>
      </c>
      <c r="T102" s="116">
        <f>+T7</f>
        <v>4299000000</v>
      </c>
    </row>
    <row r="103" spans="1:21" ht="15.75" customHeight="1">
      <c r="B103" s="544"/>
      <c r="C103" s="545"/>
      <c r="D103" s="545"/>
      <c r="E103" s="545"/>
      <c r="F103" s="546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3" t="str">
        <f>+[1]Master!G244</f>
        <v>Jan - Dec</v>
      </c>
      <c r="T103" s="535">
        <f>+T8</f>
        <v>0</v>
      </c>
    </row>
    <row r="104" spans="1:21" ht="13.5" thickBot="1">
      <c r="B104" s="547"/>
      <c r="C104" s="548"/>
      <c r="D104" s="548"/>
      <c r="E104" s="548"/>
      <c r="F104" s="549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+VLOOKUP(LEFT($A105,LEN(A105)-1)*1,[1]Master!$D$25:$G$223,4,FALSE)</f>
        <v>Prihodi budžeta</v>
      </c>
      <c r="C105" s="537"/>
      <c r="D105" s="537"/>
      <c r="E105" s="537"/>
      <c r="F105" s="537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8" t="str">
        <f>+VLOOKUP(LEFT($A106,LEN(A106)-1)*1,[1]Master!$D$25:$G$223,4,FALSE)</f>
        <v>Porezi</v>
      </c>
      <c r="C106" s="539"/>
      <c r="D106" s="539"/>
      <c r="E106" s="539"/>
      <c r="F106" s="539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40" t="str">
        <f>+VLOOKUP(LEFT($A107,LEN(A107)-1)*1,[1]Master!$D$25:$G$223,4,FALSE)</f>
        <v>Porez na dohodak fizičkih lica</v>
      </c>
      <c r="C107" s="541"/>
      <c r="D107" s="541"/>
      <c r="E107" s="541"/>
      <c r="F107" s="541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40" t="str">
        <f>+VLOOKUP(LEFT($A108,LEN(A108)-1)*1,[1]Master!$D$25:$G$223,4,FALSE)</f>
        <v>Porez na dobit pravnih lica</v>
      </c>
      <c r="C108" s="541"/>
      <c r="D108" s="541"/>
      <c r="E108" s="541"/>
      <c r="F108" s="541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40" t="str">
        <f>+VLOOKUP(LEFT($A109,LEN(A109)-1)*1,[1]Master!$D$25:$G$223,4,FALSE)</f>
        <v>Porez na promet nepokretnosti</v>
      </c>
      <c r="C109" s="541"/>
      <c r="D109" s="541"/>
      <c r="E109" s="541"/>
      <c r="F109" s="541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40" t="str">
        <f>+VLOOKUP(LEFT($A110,LEN(A110)-1)*1,[1]Master!$D$25:$G$223,4,FALSE)</f>
        <v>Porez na dodatu vrijednost</v>
      </c>
      <c r="C110" s="541"/>
      <c r="D110" s="541"/>
      <c r="E110" s="541"/>
      <c r="F110" s="541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40" t="str">
        <f>+VLOOKUP(LEFT($A111,LEN(A111)-1)*1,[1]Master!$D$25:$G$223,4,FALSE)</f>
        <v>Akcize</v>
      </c>
      <c r="C111" s="541"/>
      <c r="D111" s="541"/>
      <c r="E111" s="541"/>
      <c r="F111" s="541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40" t="str">
        <f>+VLOOKUP(LEFT($A112,LEN(A112)-1)*1,[1]Master!$D$25:$G$223,4,FALSE)</f>
        <v>Porez na međunarodnu trgovinu i transakcije</v>
      </c>
      <c r="C112" s="541"/>
      <c r="D112" s="541"/>
      <c r="E112" s="541"/>
      <c r="F112" s="541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40" t="str">
        <f>+VLOOKUP(LEFT($A113,LEN(A113)-1)*1,[1]Master!$D$25:$G$223,4,FALSE)</f>
        <v>Ostali državni porezi</v>
      </c>
      <c r="C113" s="541"/>
      <c r="D113" s="541"/>
      <c r="E113" s="541"/>
      <c r="F113" s="541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52" t="str">
        <f>+VLOOKUP(LEFT($A114,LEN(A114)-1)*1,[1]Master!$D$25:$G$223,4,FALSE)</f>
        <v>Doprinosi</v>
      </c>
      <c r="C114" s="553"/>
      <c r="D114" s="553"/>
      <c r="E114" s="553"/>
      <c r="F114" s="553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40" t="str">
        <f>+VLOOKUP(LEFT($A115,LEN(A115)-1)*1,[1]Master!$D$25:$G$223,4,FALSE)</f>
        <v>Doprinosi za penzijsko i invalidsko osiguranje</v>
      </c>
      <c r="C115" s="541"/>
      <c r="D115" s="541"/>
      <c r="E115" s="541"/>
      <c r="F115" s="541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40" t="str">
        <f>+VLOOKUP(LEFT($A116,LEN(A116)-1)*1,[1]Master!$D$25:$G$223,4,FALSE)</f>
        <v>Doprinosi za zdravstveno osiguranje</v>
      </c>
      <c r="C116" s="541"/>
      <c r="D116" s="541"/>
      <c r="E116" s="541"/>
      <c r="F116" s="541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40" t="str">
        <f>+VLOOKUP(LEFT($A117,LEN(A117)-1)*1,[1]Master!$D$25:$G$223,4,FALSE)</f>
        <v>Doprinosi za osiguranje od nezaposlenosti</v>
      </c>
      <c r="C117" s="541"/>
      <c r="D117" s="541"/>
      <c r="E117" s="541"/>
      <c r="F117" s="541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40" t="str">
        <f>+VLOOKUP(LEFT($A118,LEN(A118)-1)*1,[1]Master!$D$25:$G$223,4,FALSE)</f>
        <v>Ostali doprinosi</v>
      </c>
      <c r="C118" s="541"/>
      <c r="D118" s="541"/>
      <c r="E118" s="541"/>
      <c r="F118" s="541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50" t="str">
        <f>+VLOOKUP(LEFT($A119,LEN(A119)-1)*1,[1]Master!$D$25:$G$223,4,FALSE)</f>
        <v>Takse</v>
      </c>
      <c r="C119" s="551"/>
      <c r="D119" s="551"/>
      <c r="E119" s="551"/>
      <c r="F119" s="551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50" t="str">
        <f>+VLOOKUP(LEFT($A120,LEN(A120)-1)*1,[1]Master!$D$25:$G$223,4,FALSE)</f>
        <v>Naknade</v>
      </c>
      <c r="C120" s="551"/>
      <c r="D120" s="551"/>
      <c r="E120" s="551"/>
      <c r="F120" s="551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50" t="str">
        <f>+VLOOKUP(LEFT($A121,LEN(A121)-1)*1,[1]Master!$D$25:$G$223,4,FALSE)</f>
        <v>Ostali prihodi</v>
      </c>
      <c r="C121" s="551"/>
      <c r="D121" s="551"/>
      <c r="E121" s="551"/>
      <c r="F121" s="551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50" t="str">
        <f>+VLOOKUP(LEFT($A122,LEN(A122)-1)*1,[1]Master!$D$25:$G$223,4,FALSE)</f>
        <v>Primici od otplate kredita i sredstva prenesena iz prethodne godine</v>
      </c>
      <c r="C122" s="551"/>
      <c r="D122" s="551"/>
      <c r="E122" s="551"/>
      <c r="F122" s="551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54" t="str">
        <f>+VLOOKUP(LEFT($A123,LEN(A123)-1)*1,[1]Master!$D$25:$G$223,4,FALSE)</f>
        <v>Donacije i transferi</v>
      </c>
      <c r="C123" s="555"/>
      <c r="D123" s="555"/>
      <c r="E123" s="555"/>
      <c r="F123" s="555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56" t="str">
        <f>+VLOOKUP(LEFT($A124,LEN(A124)-1)*1,[1]Master!$D$25:$G$223,4,FALSE)</f>
        <v>Budžetki izdaci</v>
      </c>
      <c r="C124" s="557"/>
      <c r="D124" s="557"/>
      <c r="E124" s="557"/>
      <c r="F124" s="557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40p</v>
      </c>
      <c r="B125" s="558" t="str">
        <f>+VLOOKUP(LEFT($A125,LEN(A125)-1)*1,[1]Master!$D$25:$G$223,4,FALSE)</f>
        <v>Tekući budžetski izdaci</v>
      </c>
      <c r="C125" s="559"/>
      <c r="D125" s="559"/>
      <c r="E125" s="559"/>
      <c r="F125" s="559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41p</v>
      </c>
      <c r="B126" s="560" t="str">
        <f>+VLOOKUP(LEFT($A126,LEN(A126)-1)*1,[1]Master!$D$25:$G$223,4,FALSE)</f>
        <v>Tekući izdaci</v>
      </c>
      <c r="C126" s="561"/>
      <c r="D126" s="561"/>
      <c r="E126" s="561"/>
      <c r="F126" s="561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40" t="str">
        <f>+VLOOKUP(LEFT($A127,LEN(A127)-1)*1,[1]Master!$D$25:$G$223,4,FALSE)</f>
        <v>Bruto zarade i doprinosi na teret poslodavca</v>
      </c>
      <c r="C127" s="541"/>
      <c r="D127" s="541"/>
      <c r="E127" s="541"/>
      <c r="F127" s="541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40" t="str">
        <f>+VLOOKUP(LEFT($A128,LEN(A128)-1)*1,[1]Master!$D$25:$G$223,4,FALSE)</f>
        <v>Ostala lična primanja</v>
      </c>
      <c r="C128" s="541"/>
      <c r="D128" s="541"/>
      <c r="E128" s="541"/>
      <c r="F128" s="541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40" t="str">
        <f>+VLOOKUP(LEFT($A129,LEN(A129)-1)*1,[1]Master!$D$25:$G$223,4,FALSE)</f>
        <v>Rashodi za materijal</v>
      </c>
      <c r="C129" s="541"/>
      <c r="D129" s="541"/>
      <c r="E129" s="541"/>
      <c r="F129" s="541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40" t="str">
        <f>+VLOOKUP(LEFT($A130,LEN(A130)-1)*1,[1]Master!$D$25:$G$223,4,FALSE)</f>
        <v>Rashodi za usluge</v>
      </c>
      <c r="C130" s="541"/>
      <c r="D130" s="541"/>
      <c r="E130" s="541"/>
      <c r="F130" s="541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40" t="str">
        <f>+VLOOKUP(LEFT($A131,LEN(A131)-1)*1,[1]Master!$D$25:$G$223,4,FALSE)</f>
        <v>Rashodi za tekuće održavanje</v>
      </c>
      <c r="C131" s="541"/>
      <c r="D131" s="541"/>
      <c r="E131" s="541"/>
      <c r="F131" s="541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40" t="str">
        <f>+VLOOKUP(LEFT($A132,LEN(A132)-1)*1,[1]Master!$D$25:$G$223,4,FALSE)</f>
        <v>Kamate</v>
      </c>
      <c r="C132" s="541"/>
      <c r="D132" s="541"/>
      <c r="E132" s="541"/>
      <c r="F132" s="541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40" t="str">
        <f>+VLOOKUP(LEFT($A133,LEN(A133)-1)*1,[1]Master!$D$25:$G$223,4,FALSE)</f>
        <v>Renta</v>
      </c>
      <c r="C133" s="541"/>
      <c r="D133" s="541"/>
      <c r="E133" s="541"/>
      <c r="F133" s="541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40" t="str">
        <f>+VLOOKUP(LEFT($A134,LEN(A134)-1)*1,[1]Master!$D$25:$G$223,4,FALSE)</f>
        <v>Subvencije</v>
      </c>
      <c r="C134" s="541"/>
      <c r="D134" s="541"/>
      <c r="E134" s="541"/>
      <c r="F134" s="541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40" t="str">
        <f>+VLOOKUP(LEFT($A135,LEN(A135)-1)*1,[1]Master!$D$25:$G$223,4,FALSE)</f>
        <v>Ostali izdaci</v>
      </c>
      <c r="C135" s="541"/>
      <c r="D135" s="541"/>
      <c r="E135" s="541"/>
      <c r="F135" s="541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40" t="str">
        <f>+VLOOKUP(LEFT($A136,LEN(A136)-1)*1,[1]Master!$D$25:$G$223,4,FALSE)</f>
        <v>Kapitalni izdaci u tekućem budžetu</v>
      </c>
      <c r="C136" s="541"/>
      <c r="D136" s="541"/>
      <c r="E136" s="541"/>
      <c r="F136" s="541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64" t="str">
        <f>+VLOOKUP(LEFT($A137,LEN(A137)-1)*1,[1]Master!$D$25:$G$223,4,FALSE)</f>
        <v>Transferi za socijalnu zaštitu</v>
      </c>
      <c r="C137" s="565"/>
      <c r="D137" s="565"/>
      <c r="E137" s="565"/>
      <c r="F137" s="565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40" t="str">
        <f>+VLOOKUP(LEFT($A138,LEN(A138)-1)*1,[1]Master!$D$25:$G$223,4,FALSE)</f>
        <v>Prava iz oblasti socijalne zaštite</v>
      </c>
      <c r="C138" s="541"/>
      <c r="D138" s="541"/>
      <c r="E138" s="541"/>
      <c r="F138" s="541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40" t="str">
        <f>+VLOOKUP(LEFT($A139,LEN(A139)-1)*1,[1]Master!$D$25:$G$223,4,FALSE)</f>
        <v>Sredstva za tehnološke viškove</v>
      </c>
      <c r="C139" s="541"/>
      <c r="D139" s="541"/>
      <c r="E139" s="541"/>
      <c r="F139" s="541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40" t="str">
        <f>+VLOOKUP(LEFT($A140,LEN(A140)-1)*1,[1]Master!$D$25:$G$223,4,FALSE)</f>
        <v>Prava iz oblasti penzijskog i invalidskog osiguranja</v>
      </c>
      <c r="C140" s="541"/>
      <c r="D140" s="541"/>
      <c r="E140" s="541"/>
      <c r="F140" s="541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40" t="str">
        <f>+VLOOKUP(LEFT($A141,LEN(A141)-1)*1,[1]Master!$D$25:$G$223,4,FALSE)</f>
        <v>Ostala prava iz oblasti zdravstvene zaštite</v>
      </c>
      <c r="C141" s="541"/>
      <c r="D141" s="541"/>
      <c r="E141" s="541"/>
      <c r="F141" s="541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40" t="str">
        <f>+VLOOKUP(LEFT($A142,LEN(A142)-1)*1,[1]Master!$D$25:$G$223,4,FALSE)</f>
        <v>Ostala prava iz zdravstvenog osiguranja</v>
      </c>
      <c r="C142" s="541"/>
      <c r="D142" s="541"/>
      <c r="E142" s="541"/>
      <c r="F142" s="541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62" t="str">
        <f>+VLOOKUP(LEFT($A143,LEN(A143)-1)*1,[1]Master!$D$25:$G$223,4,FALSE)</f>
        <v xml:space="preserve">Transferi institucijama, pojedincima, nevladinom i javnom sektoru </v>
      </c>
      <c r="C143" s="563"/>
      <c r="D143" s="563"/>
      <c r="E143" s="563"/>
      <c r="F143" s="563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62" t="str">
        <f>+VLOOKUP(LEFT($A144,LEN(A144)-1)*1,[1]Master!$D$25:$G$223,4,FALSE)</f>
        <v>Kapitalni budžet</v>
      </c>
      <c r="C144" s="563"/>
      <c r="D144" s="563"/>
      <c r="E144" s="563"/>
      <c r="F144" s="563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66" t="str">
        <f>+VLOOKUP(LEFT($A145,LEN(A145)-1)*1,[1]Master!$D$25:$G$223,4,FALSE)</f>
        <v>Pozajmice i krediti</v>
      </c>
      <c r="C145" s="567"/>
      <c r="D145" s="567"/>
      <c r="E145" s="567"/>
      <c r="F145" s="567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66" t="str">
        <f>+VLOOKUP(LEFT($A146,LEN(A146)-1)*1,[1]Master!$D$25:$G$223,4,FALSE)</f>
        <v>Rezerve</v>
      </c>
      <c r="C146" s="567"/>
      <c r="D146" s="567"/>
      <c r="E146" s="567"/>
      <c r="F146" s="567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66" t="str">
        <f>+VLOOKUP(LEFT($A147,LEN(A147)-1)*1,[1]Master!$D$25:$G$223,4,FALSE)</f>
        <v>Otplata garancija</v>
      </c>
      <c r="C147" s="567"/>
      <c r="D147" s="567"/>
      <c r="E147" s="567"/>
      <c r="F147" s="567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72" t="str">
        <f>+VLOOKUP(LEFT($A149,LEN(A149)-1)*1,[1]Master!$D$25:$G$223,4,FALSE)</f>
        <v>Suficit / deficit</v>
      </c>
      <c r="C149" s="573"/>
      <c r="D149" s="573"/>
      <c r="E149" s="573"/>
      <c r="F149" s="573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74" t="str">
        <f>+VLOOKUP(LEFT($A150,LEN(A150)-1)*1,[1]Master!$D$25:$G$223,4,FALSE)</f>
        <v>Primarni bilans</v>
      </c>
      <c r="C150" s="575"/>
      <c r="D150" s="575"/>
      <c r="E150" s="575"/>
      <c r="F150" s="575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64" t="str">
        <f>+VLOOKUP(LEFT($A151,LEN(A151)-1)*1,[1]Master!$D$25:$G$223,4,FALSE)</f>
        <v>Otplata dugova</v>
      </c>
      <c r="C151" s="565"/>
      <c r="D151" s="565"/>
      <c r="E151" s="565"/>
      <c r="F151" s="565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68" t="str">
        <f>+VLOOKUP(LEFT($A152,LEN(A152)-1)*1,[1]Master!$D$25:$G$223,4,FALSE)</f>
        <v>Otplata hartija od vrijednosti i kredita rezidentima</v>
      </c>
      <c r="C152" s="569"/>
      <c r="D152" s="569"/>
      <c r="E152" s="569"/>
      <c r="F152" s="569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66" t="str">
        <f>+VLOOKUP(LEFT($A153,LEN(A153)-1)*1,[1]Master!$D$25:$G$223,4,FALSE)</f>
        <v>Otplata hartija od vrijednosti i kredita nerezidentima</v>
      </c>
      <c r="C153" s="567"/>
      <c r="D153" s="567"/>
      <c r="E153" s="567"/>
      <c r="F153" s="567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76" t="str">
        <f>+VLOOKUP(LEFT($A154,LEN(A154)-1)*1,[1]Master!$D$25:$G$223,4,FALSE)</f>
        <v>Otplata obaveza iz prethodnih godina</v>
      </c>
      <c r="C154" s="577"/>
      <c r="D154" s="577"/>
      <c r="E154" s="577"/>
      <c r="F154" s="577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70" t="str">
        <f>+VLOOKUP(LEFT($A155,LEN(A155)-1)*1,[1]Master!$D$25:$G$223,4,FALSE)</f>
        <v>Nedostajuća sredstva</v>
      </c>
      <c r="C155" s="571"/>
      <c r="D155" s="571"/>
      <c r="E155" s="571"/>
      <c r="F155" s="571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56" t="str">
        <f>+VLOOKUP(LEFT($A156,LEN(A156)-1)*1,[1]Master!$D$25:$G$223,4,FALSE)</f>
        <v>Finansiranje</v>
      </c>
      <c r="C156" s="557"/>
      <c r="D156" s="557"/>
      <c r="E156" s="557"/>
      <c r="F156" s="557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68" t="str">
        <f>+VLOOKUP(LEFT($A157,LEN(A157)-1)*1,[1]Master!$D$25:$G$223,4,FALSE)</f>
        <v>Pozajmice i krediti od domaćih izvora</v>
      </c>
      <c r="C157" s="569"/>
      <c r="D157" s="569"/>
      <c r="E157" s="569"/>
      <c r="F157" s="569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66" t="str">
        <f>+VLOOKUP(LEFT($A158,LEN(A158)-1)*1,[1]Master!$D$25:$G$223,4,FALSE)</f>
        <v>Pozajmice i krediti od inostranih izvora</v>
      </c>
      <c r="C158" s="567"/>
      <c r="D158" s="567"/>
      <c r="E158" s="567"/>
      <c r="F158" s="567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66" t="str">
        <f>+VLOOKUP(LEFT($A159,LEN(A159)-1)*1,[1]Master!$D$25:$G$223,4,FALSE)</f>
        <v>Primici od prodaje imovine</v>
      </c>
      <c r="C159" s="567"/>
      <c r="D159" s="567"/>
      <c r="E159" s="567"/>
      <c r="F159" s="567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J25" sqref="J2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18" t="str">
        <f>+Master!G251</f>
        <v>Ostvarenje budžeta</v>
      </c>
      <c r="C7" s="499"/>
      <c r="D7" s="499"/>
      <c r="E7" s="499"/>
      <c r="F7" s="499"/>
      <c r="G7" s="507">
        <v>2016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+Master!G248</f>
        <v>BDP</v>
      </c>
      <c r="T7" s="261">
        <v>3954200000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tr">
        <f>+Master!G245</f>
        <v>Jan - Okt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40</v>
      </c>
      <c r="B30" s="480" t="str">
        <f>+VLOOKUP($A30,Master!$D$27:$G$225,4,FALSE)</f>
        <v>Tekuća budžetska potrošnja</v>
      </c>
      <c r="C30" s="481"/>
      <c r="D30" s="481"/>
      <c r="E30" s="481"/>
      <c r="F30" s="481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41</v>
      </c>
      <c r="B31" s="482" t="str">
        <f>+VLOOKUP($A31,Master!$D$27:$G$225,4,FALSE)</f>
        <v>Tekući izdaci</v>
      </c>
      <c r="C31" s="483"/>
      <c r="D31" s="483"/>
      <c r="E31" s="483"/>
      <c r="F31" s="483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70" t="str">
        <f>+VLOOKUP($A35,Master!$D$27:$G$225,4,FALSE)</f>
        <v>Rashodi za usluge</v>
      </c>
      <c r="C35" s="471"/>
      <c r="D35" s="471"/>
      <c r="E35" s="471"/>
      <c r="F35" s="471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70" t="str">
        <f>+VLOOKUP($A40,Master!$D$27:$G$225,4,FALSE)</f>
        <v>Ostali izdaci</v>
      </c>
      <c r="C40" s="471"/>
      <c r="D40" s="471"/>
      <c r="E40" s="471"/>
      <c r="F40" s="471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70" t="str">
        <f>+VLOOKUP($A47,Master!$D$27:$G$225,4,FALSE)</f>
        <v>Ostala prava iz zdravstvenog osiguranja</v>
      </c>
      <c r="C47" s="471"/>
      <c r="D47" s="471"/>
      <c r="E47" s="471"/>
      <c r="F47" s="471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88" t="str">
        <f>+VLOOKUP($A50,Master!$D$27:$G$225,4,FALSE)</f>
        <v>Pozajmice i krediti</v>
      </c>
      <c r="C50" s="489"/>
      <c r="D50" s="489"/>
      <c r="E50" s="489"/>
      <c r="F50" s="489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88" t="str">
        <f>+VLOOKUP($A51,Master!$D$27:$G$225,4,FALSE)</f>
        <v>Rezerve</v>
      </c>
      <c r="C51" s="489"/>
      <c r="D51" s="489"/>
      <c r="E51" s="489"/>
      <c r="F51" s="489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90" t="str">
        <f>+VLOOKUP($A53,Master!$D$27:$G$225,4,TRUE)</f>
        <v>Otplata obaveza iz prethodnih godina</v>
      </c>
      <c r="C53" s="491"/>
      <c r="D53" s="491"/>
      <c r="E53" s="491"/>
      <c r="F53" s="491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76" t="str">
        <f>+VLOOKUP($A54,Master!$D$27:$G$227,4,FALSE)</f>
        <v>Neto povećanje obaveza</v>
      </c>
      <c r="C54" s="577"/>
      <c r="D54" s="577"/>
      <c r="E54" s="577"/>
      <c r="F54" s="577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7" t="s">
        <v>791</v>
      </c>
      <c r="C56" s="448"/>
      <c r="D56" s="448"/>
      <c r="E56" s="448"/>
      <c r="F56" s="448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92" t="str">
        <f>+VLOOKUP($A57,Master!$D$27:$G$225,4,FALSE)</f>
        <v>Primarni bilans</v>
      </c>
      <c r="C57" s="493"/>
      <c r="D57" s="493"/>
      <c r="E57" s="493"/>
      <c r="F57" s="493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6" t="str">
        <f>+VLOOKUP($A58,Master!$D$27:$G$225,4,FALSE)</f>
        <v>Otplata dugova</v>
      </c>
      <c r="C58" s="487"/>
      <c r="D58" s="487"/>
      <c r="E58" s="487"/>
      <c r="F58" s="487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512" t="str">
        <f>+VLOOKUP($A59,Master!$D$27:$G$225,4,FALSE)</f>
        <v>Otplata hartija od vrijednosti i kredita rezidentima</v>
      </c>
      <c r="C59" s="513"/>
      <c r="D59" s="513"/>
      <c r="E59" s="513"/>
      <c r="F59" s="513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88" t="str">
        <f>+VLOOKUP($A60,Master!$D$27:$G$225,4,FALSE)</f>
        <v>Otplata hartija od vrijednosti i kredita nerezidentima</v>
      </c>
      <c r="C60" s="489"/>
      <c r="D60" s="489"/>
      <c r="E60" s="489"/>
      <c r="F60" s="489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88" t="str">
        <f>+VLOOKUP($A64,Master!$D$27:$G$225,4,FALSE)</f>
        <v>Pozajmice i krediti od inostranih izvora</v>
      </c>
      <c r="C64" s="489"/>
      <c r="D64" s="489"/>
      <c r="E64" s="489"/>
      <c r="F64" s="489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88" t="str">
        <f>+VLOOKUP($A65,Master!$D$27:$G$225,4,FALSE)</f>
        <v>Primici od prodaje imovine</v>
      </c>
      <c r="C65" s="489"/>
      <c r="D65" s="489"/>
      <c r="E65" s="489"/>
      <c r="F65" s="489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42" t="str">
        <f>+Master!G252</f>
        <v>Plan ostvarenja budžeta</v>
      </c>
      <c r="C102" s="543"/>
      <c r="D102" s="543"/>
      <c r="E102" s="543"/>
      <c r="F102" s="543"/>
      <c r="G102" s="533">
        <v>2016</v>
      </c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5"/>
      <c r="S102" s="115" t="str">
        <f>+S7</f>
        <v>BDP</v>
      </c>
      <c r="T102" s="116">
        <f>+T7</f>
        <v>3954200000</v>
      </c>
    </row>
    <row r="103" spans="1:21" ht="15.75" customHeight="1">
      <c r="B103" s="544"/>
      <c r="C103" s="545"/>
      <c r="D103" s="545"/>
      <c r="E103" s="545"/>
      <c r="F103" s="546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3" t="str">
        <f>+Master!G246</f>
        <v>Jan - Dec</v>
      </c>
      <c r="T103" s="535">
        <f>+T8</f>
        <v>0</v>
      </c>
    </row>
    <row r="104" spans="1:21" ht="13.5" thickBot="1">
      <c r="B104" s="547"/>
      <c r="C104" s="548"/>
      <c r="D104" s="548"/>
      <c r="E104" s="548"/>
      <c r="F104" s="549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+VLOOKUP(LEFT($A105,LEN(A105)-1)*1,Master!$D$27:$G$225,4,FALSE)</f>
        <v>Prihodi budžeta</v>
      </c>
      <c r="C105" s="537"/>
      <c r="D105" s="537"/>
      <c r="E105" s="537"/>
      <c r="F105" s="537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8" t="str">
        <f>+VLOOKUP(LEFT($A106,LEN(A106)-1)*1,Master!$D$27:$G$225,4,FALSE)</f>
        <v>Porezi</v>
      </c>
      <c r="C106" s="539"/>
      <c r="D106" s="539"/>
      <c r="E106" s="539"/>
      <c r="F106" s="539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40" t="str">
        <f>+VLOOKUP(LEFT($A107,LEN(A107)-1)*1,Master!$D$27:$G$225,4,FALSE)</f>
        <v>Porez na dohodak fizičkih lica</v>
      </c>
      <c r="C107" s="541"/>
      <c r="D107" s="541"/>
      <c r="E107" s="541"/>
      <c r="F107" s="541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40" t="str">
        <f>+VLOOKUP(LEFT($A108,LEN(A108)-1)*1,Master!$D$27:$G$225,4,FALSE)</f>
        <v>Porez na dobit pravnih lica</v>
      </c>
      <c r="C108" s="541"/>
      <c r="D108" s="541"/>
      <c r="E108" s="541"/>
      <c r="F108" s="541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40" t="str">
        <f>+VLOOKUP(LEFT($A109,LEN(A109)-1)*1,Master!$D$27:$G$225,4,FALSE)</f>
        <v>Porez na promet nepokretnosti</v>
      </c>
      <c r="C109" s="541"/>
      <c r="D109" s="541"/>
      <c r="E109" s="541"/>
      <c r="F109" s="541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40" t="str">
        <f>+VLOOKUP(LEFT($A110,LEN(A110)-1)*1,Master!$D$27:$G$225,4,FALSE)</f>
        <v>Porez na dodatu vrijednost</v>
      </c>
      <c r="C110" s="541"/>
      <c r="D110" s="541"/>
      <c r="E110" s="541"/>
      <c r="F110" s="541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40" t="str">
        <f>+VLOOKUP(LEFT($A111,LEN(A111)-1)*1,Master!$D$27:$G$225,4,FALSE)</f>
        <v>Akcize</v>
      </c>
      <c r="C111" s="541"/>
      <c r="D111" s="541"/>
      <c r="E111" s="541"/>
      <c r="F111" s="541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40" t="str">
        <f>+VLOOKUP(LEFT($A112,LEN(A112)-1)*1,Master!$D$27:$G$225,4,FALSE)</f>
        <v>Porez na međunarodnu trgovinu i transakcije</v>
      </c>
      <c r="C112" s="541"/>
      <c r="D112" s="541"/>
      <c r="E112" s="541"/>
      <c r="F112" s="541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40" t="str">
        <f>+VLOOKUP(LEFT($A113,LEN(A113)-1)*1,Master!$D$27:$G$225,4,FALSE)</f>
        <v>Ostali državni porezi</v>
      </c>
      <c r="C113" s="541"/>
      <c r="D113" s="541"/>
      <c r="E113" s="541"/>
      <c r="F113" s="541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52" t="str">
        <f>+VLOOKUP(LEFT($A114,LEN(A114)-1)*1,Master!$D$27:$G$225,4,FALSE)</f>
        <v>Doprinosi</v>
      </c>
      <c r="C114" s="553"/>
      <c r="D114" s="553"/>
      <c r="E114" s="553"/>
      <c r="F114" s="553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40" t="str">
        <f>+VLOOKUP(LEFT($A115,LEN(A115)-1)*1,Master!$D$27:$G$225,4,FALSE)</f>
        <v>Doprinosi za penzijsko i invalidsko osiguranje</v>
      </c>
      <c r="C115" s="541"/>
      <c r="D115" s="541"/>
      <c r="E115" s="541"/>
      <c r="F115" s="541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40" t="str">
        <f>+VLOOKUP(LEFT($A116,LEN(A116)-1)*1,Master!$D$27:$G$225,4,FALSE)</f>
        <v>Doprinosi za zdravstveno osiguranje</v>
      </c>
      <c r="C116" s="541"/>
      <c r="D116" s="541"/>
      <c r="E116" s="541"/>
      <c r="F116" s="541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40" t="str">
        <f>+VLOOKUP(LEFT($A117,LEN(A117)-1)*1,Master!$D$27:$G$225,4,FALSE)</f>
        <v>Doprinosi za osiguranje od nezaposlenosti</v>
      </c>
      <c r="C117" s="541"/>
      <c r="D117" s="541"/>
      <c r="E117" s="541"/>
      <c r="F117" s="541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40" t="str">
        <f>+VLOOKUP(LEFT($A118,LEN(A118)-1)*1,Master!$D$27:$G$225,4,FALSE)</f>
        <v>Ostali doprinosi</v>
      </c>
      <c r="C118" s="541"/>
      <c r="D118" s="541"/>
      <c r="E118" s="541"/>
      <c r="F118" s="541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50" t="str">
        <f>+VLOOKUP(LEFT($A119,LEN(A119)-1)*1,Master!$D$27:$G$225,4,FALSE)</f>
        <v>Takse</v>
      </c>
      <c r="C119" s="551"/>
      <c r="D119" s="551"/>
      <c r="E119" s="551"/>
      <c r="F119" s="551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50" t="str">
        <f>+VLOOKUP(LEFT($A120,LEN(A120)-1)*1,Master!$D$27:$G$225,4,FALSE)</f>
        <v>Naknade</v>
      </c>
      <c r="C120" s="551"/>
      <c r="D120" s="551"/>
      <c r="E120" s="551"/>
      <c r="F120" s="551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50" t="str">
        <f>+VLOOKUP(LEFT($A121,LEN(A121)-1)*1,Master!$D$27:$G$225,4,FALSE)</f>
        <v>Ostali prihodi</v>
      </c>
      <c r="C121" s="551"/>
      <c r="D121" s="551"/>
      <c r="E121" s="551"/>
      <c r="F121" s="551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50" t="str">
        <f>+VLOOKUP(LEFT($A122,LEN(A122)-1)*1,Master!$D$27:$G$225,4,FALSE)</f>
        <v>Primici od otplate kredita i sredstva prenesena iz prethodne godine</v>
      </c>
      <c r="C122" s="551"/>
      <c r="D122" s="551"/>
      <c r="E122" s="551"/>
      <c r="F122" s="551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54" t="str">
        <f>+VLOOKUP(LEFT($A123,LEN(A123)-1)*1,Master!$D$27:$G$225,4,FALSE)</f>
        <v>Donacije i transferi</v>
      </c>
      <c r="C123" s="555"/>
      <c r="D123" s="555"/>
      <c r="E123" s="555"/>
      <c r="F123" s="555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56" t="str">
        <f>+VLOOKUP(LEFT($A124,LEN(A124)-1)*1,Master!$D$27:$G$225,4,FALSE)</f>
        <v>Budžetski izdaci</v>
      </c>
      <c r="C124" s="557"/>
      <c r="D124" s="557"/>
      <c r="E124" s="557"/>
      <c r="F124" s="557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40p</v>
      </c>
      <c r="B125" s="558" t="str">
        <f>+VLOOKUP(LEFT($A125,LEN(A125)-1)*1,Master!$D$27:$G$225,4,FALSE)</f>
        <v>Tekuća budžetska potrošnja</v>
      </c>
      <c r="C125" s="559"/>
      <c r="D125" s="559"/>
      <c r="E125" s="559"/>
      <c r="F125" s="559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41p</v>
      </c>
      <c r="B126" s="560" t="str">
        <f>+VLOOKUP(LEFT($A126,LEN(A126)-1)*1,Master!$D$27:$G$225,4,FALSE)</f>
        <v>Tekući izdaci</v>
      </c>
      <c r="C126" s="561"/>
      <c r="D126" s="561"/>
      <c r="E126" s="561"/>
      <c r="F126" s="561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40" t="str">
        <f>+VLOOKUP(LEFT($A127,LEN(A127)-1)*1,Master!$D$27:$G$225,4,FALSE)</f>
        <v>Bruto zarade i doprinosi na teret poslodavca</v>
      </c>
      <c r="C127" s="541"/>
      <c r="D127" s="541"/>
      <c r="E127" s="541"/>
      <c r="F127" s="541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40" t="str">
        <f>+VLOOKUP(LEFT($A128,LEN(A128)-1)*1,Master!$D$27:$G$225,4,FALSE)</f>
        <v>Ostala lična primanja</v>
      </c>
      <c r="C128" s="541"/>
      <c r="D128" s="541"/>
      <c r="E128" s="541"/>
      <c r="F128" s="541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40" t="str">
        <f>+VLOOKUP(LEFT($A129,LEN(A129)-1)*1,Master!$D$27:$G$225,4,FALSE)</f>
        <v>Rashodi za materijal</v>
      </c>
      <c r="C129" s="541"/>
      <c r="D129" s="541"/>
      <c r="E129" s="541"/>
      <c r="F129" s="541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40" t="str">
        <f>+VLOOKUP(LEFT($A130,LEN(A130)-1)*1,Master!$D$27:$G$225,4,FALSE)</f>
        <v>Rashodi za usluge</v>
      </c>
      <c r="C130" s="541"/>
      <c r="D130" s="541"/>
      <c r="E130" s="541"/>
      <c r="F130" s="541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40" t="str">
        <f>+VLOOKUP(LEFT($A131,LEN(A131)-1)*1,Master!$D$27:$G$225,4,FALSE)</f>
        <v>Rashodi za tekuće održavanje</v>
      </c>
      <c r="C131" s="541"/>
      <c r="D131" s="541"/>
      <c r="E131" s="541"/>
      <c r="F131" s="541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40" t="str">
        <f>+VLOOKUP(LEFT($A132,LEN(A132)-1)*1,Master!$D$27:$G$225,4,FALSE)</f>
        <v>Kamate</v>
      </c>
      <c r="C132" s="541"/>
      <c r="D132" s="541"/>
      <c r="E132" s="541"/>
      <c r="F132" s="541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40" t="str">
        <f>+VLOOKUP(LEFT($A133,LEN(A133)-1)*1,Master!$D$27:$G$225,4,FALSE)</f>
        <v>Renta</v>
      </c>
      <c r="C133" s="541"/>
      <c r="D133" s="541"/>
      <c r="E133" s="541"/>
      <c r="F133" s="541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40" t="str">
        <f>+VLOOKUP(LEFT($A134,LEN(A134)-1)*1,Master!$D$27:$G$225,4,FALSE)</f>
        <v>Subvencije</v>
      </c>
      <c r="C134" s="541"/>
      <c r="D134" s="541"/>
      <c r="E134" s="541"/>
      <c r="F134" s="541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40" t="str">
        <f>+VLOOKUP(LEFT($A135,LEN(A135)-1)*1,Master!$D$27:$G$225,4,FALSE)</f>
        <v>Ostali izdaci</v>
      </c>
      <c r="C135" s="541"/>
      <c r="D135" s="541"/>
      <c r="E135" s="541"/>
      <c r="F135" s="541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40" t="str">
        <f>+VLOOKUP(LEFT($A136,LEN(A136)-1)*1,Master!$D$27:$G$225,4,FALSE)</f>
        <v>Kapitalni izdaci u tekućem budžetu</v>
      </c>
      <c r="C136" s="541"/>
      <c r="D136" s="541"/>
      <c r="E136" s="541"/>
      <c r="F136" s="541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64" t="str">
        <f>+VLOOKUP(LEFT($A137,LEN(A137)-1)*1,Master!$D$27:$G$225,4,FALSE)</f>
        <v>Transferi za socijalnu zaštitu</v>
      </c>
      <c r="C137" s="565"/>
      <c r="D137" s="565"/>
      <c r="E137" s="565"/>
      <c r="F137" s="565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40" t="str">
        <f>+VLOOKUP(LEFT($A138,LEN(A138)-1)*1,Master!$D$27:$G$225,4,FALSE)</f>
        <v>Prava iz oblasti socijalne zaštite</v>
      </c>
      <c r="C138" s="541"/>
      <c r="D138" s="541"/>
      <c r="E138" s="541"/>
      <c r="F138" s="541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40" t="str">
        <f>+VLOOKUP(LEFT($A139,LEN(A139)-1)*1,Master!$D$27:$G$225,4,FALSE)</f>
        <v>Sredstva za tehnološke viškove</v>
      </c>
      <c r="C139" s="541"/>
      <c r="D139" s="541"/>
      <c r="E139" s="541"/>
      <c r="F139" s="541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40" t="str">
        <f>+VLOOKUP(LEFT($A140,LEN(A140)-1)*1,Master!$D$27:$G$225,4,FALSE)</f>
        <v>Prava iz oblasti penzijskog i invalidskog osiguranja</v>
      </c>
      <c r="C140" s="541"/>
      <c r="D140" s="541"/>
      <c r="E140" s="541"/>
      <c r="F140" s="541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40" t="str">
        <f>+VLOOKUP(LEFT($A141,LEN(A141)-1)*1,Master!$D$27:$G$225,4,FALSE)</f>
        <v>Ostala prava iz oblasti zdravstvene zaštite</v>
      </c>
      <c r="C141" s="541"/>
      <c r="D141" s="541"/>
      <c r="E141" s="541"/>
      <c r="F141" s="541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40" t="str">
        <f>+VLOOKUP(LEFT($A142,LEN(A142)-1)*1,Master!$D$27:$G$225,4,FALSE)</f>
        <v>Ostala prava iz zdravstvenog osiguranja</v>
      </c>
      <c r="C142" s="541"/>
      <c r="D142" s="541"/>
      <c r="E142" s="541"/>
      <c r="F142" s="541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62" t="str">
        <f>+VLOOKUP(LEFT($A143,LEN(A143)-1)*1,Master!$D$27:$G$225,4,FALSE)</f>
        <v xml:space="preserve">Transferi institucijama, pojedincima, nevladinom i javnom sektoru </v>
      </c>
      <c r="C143" s="563"/>
      <c r="D143" s="563"/>
      <c r="E143" s="563"/>
      <c r="F143" s="563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62" t="str">
        <f>+VLOOKUP(LEFT($A144,LEN(A144)-1)*1,Master!$D$27:$G$225,4,FALSE)</f>
        <v>Kapitalni budžet</v>
      </c>
      <c r="C144" s="563"/>
      <c r="D144" s="563"/>
      <c r="E144" s="563"/>
      <c r="F144" s="563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66" t="str">
        <f>+VLOOKUP(LEFT($A145,LEN(A145)-1)*1,Master!$D$27:$G$225,4,FALSE)</f>
        <v>Pozajmice i krediti</v>
      </c>
      <c r="C145" s="567"/>
      <c r="D145" s="567"/>
      <c r="E145" s="567"/>
      <c r="F145" s="567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66" t="str">
        <f>+VLOOKUP(LEFT($A146,LEN(A146)-1)*1,Master!$D$27:$G$225,4,FALSE)</f>
        <v>Rezerve</v>
      </c>
      <c r="C146" s="567"/>
      <c r="D146" s="567"/>
      <c r="E146" s="567"/>
      <c r="F146" s="567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66" t="str">
        <f>+VLOOKUP(LEFT($A147,LEN(A147)-1)*1,Master!$D$27:$G$225,4,FALSE)</f>
        <v>Otplata garancija</v>
      </c>
      <c r="C147" s="567"/>
      <c r="D147" s="567"/>
      <c r="E147" s="567"/>
      <c r="F147" s="567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695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72" t="str">
        <f>+VLOOKUP(LEFT($A149,LEN(A149)-1)*1,Master!$D$27:$G$225,4,FALSE)</f>
        <v>Suficit / deficit</v>
      </c>
      <c r="C149" s="573"/>
      <c r="D149" s="573"/>
      <c r="E149" s="573"/>
      <c r="F149" s="573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74" t="str">
        <f>+VLOOKUP(LEFT($A150,LEN(A150)-1)*1,Master!$D$27:$G$225,4,FALSE)</f>
        <v>Primarni bilans</v>
      </c>
      <c r="C150" s="575"/>
      <c r="D150" s="575"/>
      <c r="E150" s="575"/>
      <c r="F150" s="575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64" t="str">
        <f>+VLOOKUP(LEFT($A151,LEN(A151)-1)*1,Master!$D$27:$G$225,4,FALSE)</f>
        <v>Otplata dugova</v>
      </c>
      <c r="C151" s="565"/>
      <c r="D151" s="565"/>
      <c r="E151" s="565"/>
      <c r="F151" s="565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68" t="str">
        <f>+VLOOKUP(LEFT($A152,LEN(A152)-1)*1,Master!$D$27:$G$225,4,FALSE)</f>
        <v>Otplata hartija od vrijednosti i kredita rezidentima</v>
      </c>
      <c r="C152" s="569"/>
      <c r="D152" s="569"/>
      <c r="E152" s="569"/>
      <c r="F152" s="569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66" t="str">
        <f>+VLOOKUP(LEFT($A153,LEN(A153)-1)*1,Master!$D$27:$G$225,4,FALSE)</f>
        <v>Otplata hartija od vrijednosti i kredita nerezidentima</v>
      </c>
      <c r="C153" s="567"/>
      <c r="D153" s="567"/>
      <c r="E153" s="567"/>
      <c r="F153" s="567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76" t="str">
        <f>+VLOOKUP(LEFT($A154,LEN(A154)-1)*1,Master!$D$27:$G$225,4,FALSE)</f>
        <v>Otplata obaveza iz prethodnih godina</v>
      </c>
      <c r="C154" s="577"/>
      <c r="D154" s="577"/>
      <c r="E154" s="577"/>
      <c r="F154" s="577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70" t="str">
        <f>+VLOOKUP(LEFT($A155,LEN(A155)-1)*1,Master!$D$27:$G$225,4,FALSE)</f>
        <v>Nedostajuća sredstva</v>
      </c>
      <c r="C155" s="571"/>
      <c r="D155" s="571"/>
      <c r="E155" s="571"/>
      <c r="F155" s="571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56" t="str">
        <f>+VLOOKUP(LEFT($A156,LEN(A156)-1)*1,Master!$D$27:$G$225,4,FALSE)</f>
        <v>Finansiranje</v>
      </c>
      <c r="C156" s="557"/>
      <c r="D156" s="557"/>
      <c r="E156" s="557"/>
      <c r="F156" s="557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68" t="str">
        <f>+VLOOKUP(LEFT($A157,LEN(A157)-1)*1,Master!$D$27:$G$225,4,FALSE)</f>
        <v>Pozajmice i krediti od domaćih izvora</v>
      </c>
      <c r="C157" s="569"/>
      <c r="D157" s="569"/>
      <c r="E157" s="569"/>
      <c r="F157" s="569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66" t="str">
        <f>+VLOOKUP(LEFT($A158,LEN(A158)-1)*1,Master!$D$27:$G$225,4,FALSE)</f>
        <v>Pozajmice i krediti od inostranih izvora</v>
      </c>
      <c r="C158" s="567"/>
      <c r="D158" s="567"/>
      <c r="E158" s="567"/>
      <c r="F158" s="567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66" t="str">
        <f>+VLOOKUP(LEFT($A159,LEN(A159)-1)*1,Master!$D$27:$G$225,4,FALSE)</f>
        <v>Primici od prodaje imovine</v>
      </c>
      <c r="C159" s="567"/>
      <c r="D159" s="567"/>
      <c r="E159" s="567"/>
      <c r="F159" s="567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18" t="str">
        <f>+Master!G251</f>
        <v>Ostvarenje budžeta</v>
      </c>
      <c r="C7" s="499"/>
      <c r="D7" s="499"/>
      <c r="E7" s="499"/>
      <c r="F7" s="499"/>
      <c r="G7" s="507">
        <v>2015</v>
      </c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11"/>
      <c r="S7" s="260" t="str">
        <f>+Master!G248</f>
        <v>BDP</v>
      </c>
      <c r="T7" s="261">
        <v>3655000000</v>
      </c>
    </row>
    <row r="8" spans="1:20" ht="16.5" customHeight="1">
      <c r="A8" s="169"/>
      <c r="B8" s="500"/>
      <c r="C8" s="501"/>
      <c r="D8" s="501"/>
      <c r="E8" s="501"/>
      <c r="F8" s="50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507" t="s">
        <v>735</v>
      </c>
      <c r="T8" s="511"/>
    </row>
    <row r="9" spans="1:20" ht="13.5" thickBot="1">
      <c r="A9" s="169"/>
      <c r="B9" s="503"/>
      <c r="C9" s="504"/>
      <c r="D9" s="504"/>
      <c r="E9" s="504"/>
      <c r="F9" s="505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66" t="str">
        <f>+VLOOKUP($A10,Master!$D$27:$G$225,4,FALSE)</f>
        <v>Prihodi budžeta</v>
      </c>
      <c r="C10" s="467"/>
      <c r="D10" s="467"/>
      <c r="E10" s="467"/>
      <c r="F10" s="467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68" t="str">
        <f>+VLOOKUP($A11,Master!$D$27:$G$225,4,FALSE)</f>
        <v>Porezi</v>
      </c>
      <c r="C11" s="469"/>
      <c r="D11" s="469"/>
      <c r="E11" s="469"/>
      <c r="F11" s="469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70" t="str">
        <f>+VLOOKUP($A12,Master!$D$27:$G$225,4,FALSE)</f>
        <v>Porez na dohodak fizičkih lica</v>
      </c>
      <c r="C12" s="471"/>
      <c r="D12" s="471"/>
      <c r="E12" s="471"/>
      <c r="F12" s="471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70" t="str">
        <f>+VLOOKUP($A13,Master!$D$27:$G$225,4,FALSE)</f>
        <v>Porez na dobit pravnih lica</v>
      </c>
      <c r="C13" s="471"/>
      <c r="D13" s="471"/>
      <c r="E13" s="471"/>
      <c r="F13" s="471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70" t="str">
        <f>+VLOOKUP($A14,Master!$D$27:$G$225,4,FALSE)</f>
        <v>Porez na promet nepokretnosti</v>
      </c>
      <c r="C14" s="471"/>
      <c r="D14" s="471"/>
      <c r="E14" s="471"/>
      <c r="F14" s="471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70" t="str">
        <f>+VLOOKUP($A15,Master!$D$27:$G$225,4,FALSE)</f>
        <v>Porez na dodatu vrijednost</v>
      </c>
      <c r="C15" s="471"/>
      <c r="D15" s="471"/>
      <c r="E15" s="471"/>
      <c r="F15" s="471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70" t="str">
        <f>+VLOOKUP($A16,Master!$D$27:$G$225,4,FALSE)</f>
        <v>Akcize</v>
      </c>
      <c r="C16" s="471"/>
      <c r="D16" s="471"/>
      <c r="E16" s="471"/>
      <c r="F16" s="471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70" t="str">
        <f>+VLOOKUP($A17,Master!$D$27:$G$225,4,FALSE)</f>
        <v>Porez na međunarodnu trgovinu i transakcije</v>
      </c>
      <c r="C17" s="471"/>
      <c r="D17" s="471"/>
      <c r="E17" s="471"/>
      <c r="F17" s="471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70" t="str">
        <f>+VLOOKUP($A18,Master!$D$27:$G$225,4,FALSE)</f>
        <v>Ostali državni porezi</v>
      </c>
      <c r="C18" s="471"/>
      <c r="D18" s="471"/>
      <c r="E18" s="471"/>
      <c r="F18" s="471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74" t="str">
        <f>+VLOOKUP($A19,Master!$D$27:$G$225,4,FALSE)</f>
        <v>Doprinosi</v>
      </c>
      <c r="C19" s="475"/>
      <c r="D19" s="475"/>
      <c r="E19" s="475"/>
      <c r="F19" s="475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70" t="str">
        <f>+VLOOKUP($A20,Master!$D$27:$G$225,4,FALSE)</f>
        <v>Doprinosi za penzijsko i invalidsko osiguranje</v>
      </c>
      <c r="C20" s="471"/>
      <c r="D20" s="471"/>
      <c r="E20" s="471"/>
      <c r="F20" s="471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70" t="str">
        <f>+VLOOKUP($A21,Master!$D$27:$G$225,4,FALSE)</f>
        <v>Doprinosi za zdravstveno osiguranje</v>
      </c>
      <c r="C21" s="471"/>
      <c r="D21" s="471"/>
      <c r="E21" s="471"/>
      <c r="F21" s="471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70" t="str">
        <f>+VLOOKUP($A22,Master!$D$27:$G$225,4,FALSE)</f>
        <v>Doprinosi za osiguranje od nezaposlenosti</v>
      </c>
      <c r="C22" s="471"/>
      <c r="D22" s="471"/>
      <c r="E22" s="471"/>
      <c r="F22" s="471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70" t="str">
        <f>+VLOOKUP($A23,Master!$D$27:$G$225,4,FALSE)</f>
        <v>Ostali doprinosi</v>
      </c>
      <c r="C23" s="471"/>
      <c r="D23" s="471"/>
      <c r="E23" s="471"/>
      <c r="F23" s="471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72" t="str">
        <f>+VLOOKUP($A24,Master!$D$27:$G$225,4,FALSE)</f>
        <v>Takse</v>
      </c>
      <c r="C24" s="473"/>
      <c r="D24" s="473"/>
      <c r="E24" s="473"/>
      <c r="F24" s="473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72" t="str">
        <f>+VLOOKUP($A25,Master!$D$27:$G$225,4,FALSE)</f>
        <v>Naknade</v>
      </c>
      <c r="C25" s="473"/>
      <c r="D25" s="473"/>
      <c r="E25" s="473"/>
      <c r="F25" s="473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72" t="str">
        <f>+VLOOKUP($A26,Master!$D$27:$G$225,4,FALSE)</f>
        <v>Ostali prihodi</v>
      </c>
      <c r="C26" s="473"/>
      <c r="D26" s="473"/>
      <c r="E26" s="473"/>
      <c r="F26" s="473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72" t="str">
        <f>+VLOOKUP($A27,Master!$D$27:$G$225,4,FALSE)</f>
        <v>Primici od otplate kredita i sredstva prenesena iz prethodne godine</v>
      </c>
      <c r="C27" s="473"/>
      <c r="D27" s="473"/>
      <c r="E27" s="473"/>
      <c r="F27" s="473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76" t="str">
        <f>+VLOOKUP($A28,Master!$D$27:$G$225,4,FALSE)</f>
        <v>Donacije i transferi</v>
      </c>
      <c r="C28" s="477"/>
      <c r="D28" s="477"/>
      <c r="E28" s="477"/>
      <c r="F28" s="47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80" t="str">
        <f>+VLOOKUP($A30,Master!$D$27:$G$225,4,FALSE)</f>
        <v>Tekući izdaci</v>
      </c>
      <c r="C30" s="481"/>
      <c r="D30" s="481"/>
      <c r="E30" s="481"/>
      <c r="F30" s="481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82" t="str">
        <f>+VLOOKUP($A31,Master!$D$27:$G$225,4,FALSE)</f>
        <v>Tekuća budžetska potrošnja</v>
      </c>
      <c r="C31" s="483"/>
      <c r="D31" s="483"/>
      <c r="E31" s="483"/>
      <c r="F31" s="483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70" t="str">
        <f>+VLOOKUP($A32,Master!$D$27:$G$225,4,FALSE)</f>
        <v>Bruto zarade i doprinosi na teret poslodavca</v>
      </c>
      <c r="C32" s="471"/>
      <c r="D32" s="471"/>
      <c r="E32" s="471"/>
      <c r="F32" s="471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70" t="str">
        <f>+VLOOKUP($A33,Master!$D$27:$G$225,4,FALSE)</f>
        <v>Ostala lična primanja</v>
      </c>
      <c r="C33" s="471"/>
      <c r="D33" s="471"/>
      <c r="E33" s="471"/>
      <c r="F33" s="471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70" t="str">
        <f>+VLOOKUP($A34,Master!$D$27:$G$225,4,FALSE)</f>
        <v>Rashodi za materijal</v>
      </c>
      <c r="C34" s="471"/>
      <c r="D34" s="471"/>
      <c r="E34" s="471"/>
      <c r="F34" s="471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70" t="str">
        <f>+VLOOKUP($A35,Master!$D$27:$G$225,4,FALSE)</f>
        <v>Rashodi za usluge</v>
      </c>
      <c r="C35" s="471"/>
      <c r="D35" s="471"/>
      <c r="E35" s="471"/>
      <c r="F35" s="471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70" t="str">
        <f>+VLOOKUP($A36,Master!$D$27:$G$225,4,FALSE)</f>
        <v>Rashodi za tekuće održavanje</v>
      </c>
      <c r="C36" s="471"/>
      <c r="D36" s="471"/>
      <c r="E36" s="471"/>
      <c r="F36" s="471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70" t="str">
        <f>+VLOOKUP($A37,Master!$D$27:$G$225,4,FALSE)</f>
        <v>Kamate</v>
      </c>
      <c r="C37" s="471"/>
      <c r="D37" s="471"/>
      <c r="E37" s="471"/>
      <c r="F37" s="471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70" t="str">
        <f>+VLOOKUP($A38,Master!$D$27:$G$225,4,FALSE)</f>
        <v>Renta</v>
      </c>
      <c r="C38" s="471"/>
      <c r="D38" s="471"/>
      <c r="E38" s="471"/>
      <c r="F38" s="471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70" t="str">
        <f>+VLOOKUP($A39,Master!$D$27:$G$225,4,FALSE)</f>
        <v>Subvencije</v>
      </c>
      <c r="C39" s="471"/>
      <c r="D39" s="471"/>
      <c r="E39" s="471"/>
      <c r="F39" s="471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70" t="str">
        <f>+VLOOKUP($A40,Master!$D$27:$G$225,4,FALSE)</f>
        <v>Ostali izdaci</v>
      </c>
      <c r="C40" s="471"/>
      <c r="D40" s="471"/>
      <c r="E40" s="471"/>
      <c r="F40" s="471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70" t="str">
        <f>+VLOOKUP($A41,Master!$D$27:$G$225,4,FALSE)</f>
        <v>Kapitalni izdaci u tekućem budžetu</v>
      </c>
      <c r="C41" s="471"/>
      <c r="D41" s="471"/>
      <c r="E41" s="471"/>
      <c r="F41" s="471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6" t="str">
        <f>+VLOOKUP($A42,Master!$D$27:$G$225,4,FALSE)</f>
        <v>Transferi za socijalnu zaštitu</v>
      </c>
      <c r="C42" s="487"/>
      <c r="D42" s="487"/>
      <c r="E42" s="487"/>
      <c r="F42" s="487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70" t="str">
        <f>+VLOOKUP($A43,Master!$D$27:$G$225,4,FALSE)</f>
        <v>Prava iz oblasti socijalne zaštite</v>
      </c>
      <c r="C43" s="471"/>
      <c r="D43" s="471"/>
      <c r="E43" s="471"/>
      <c r="F43" s="471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70" t="str">
        <f>+VLOOKUP($A44,Master!$D$27:$G$225,4,FALSE)</f>
        <v>Sredstva za tehnološke viškove</v>
      </c>
      <c r="C44" s="471"/>
      <c r="D44" s="471"/>
      <c r="E44" s="471"/>
      <c r="F44" s="471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70" t="str">
        <f>+VLOOKUP($A45,Master!$D$27:$G$225,4,FALSE)</f>
        <v>Prava iz oblasti penzijskog i invalidskog osiguranja</v>
      </c>
      <c r="C45" s="471"/>
      <c r="D45" s="471"/>
      <c r="E45" s="471"/>
      <c r="F45" s="471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70" t="str">
        <f>+VLOOKUP($A46,Master!$D$27:$G$225,4,FALSE)</f>
        <v>Ostala prava iz oblasti zdravstvene zaštite</v>
      </c>
      <c r="C46" s="471"/>
      <c r="D46" s="471"/>
      <c r="E46" s="471"/>
      <c r="F46" s="471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70" t="str">
        <f>+VLOOKUP($A47,Master!$D$27:$G$225,4,FALSE)</f>
        <v>Ostala prava iz zdravstvenog osiguranja</v>
      </c>
      <c r="C47" s="471"/>
      <c r="D47" s="471"/>
      <c r="E47" s="471"/>
      <c r="F47" s="471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88" t="str">
        <f>+VLOOKUP($A50,Master!$D$27:$G$225,4,FALSE)</f>
        <v>Pozajmice i krediti</v>
      </c>
      <c r="C50" s="489"/>
      <c r="D50" s="489"/>
      <c r="E50" s="489"/>
      <c r="F50" s="489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88" t="str">
        <f>+VLOOKUP($A51,Master!$D$27:$G$225,4,FALSE)</f>
        <v>Rezerve</v>
      </c>
      <c r="C51" s="489"/>
      <c r="D51" s="489"/>
      <c r="E51" s="489"/>
      <c r="F51" s="489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90" t="str">
        <f>+VLOOKUP($A52,Master!$D$27:$G$225,4,FALSE)</f>
        <v>Otplata garancija</v>
      </c>
      <c r="C52" s="491"/>
      <c r="D52" s="491"/>
      <c r="E52" s="491"/>
      <c r="F52" s="491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90" t="str">
        <f>+VLOOKUP($A53,Master!$D$27:$G$225,4,TRUE)</f>
        <v>Otplata obaveza iz prethodnih godina</v>
      </c>
      <c r="C53" s="491"/>
      <c r="D53" s="491"/>
      <c r="E53" s="491"/>
      <c r="F53" s="491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76" t="str">
        <f>+VLOOKUP($A54,Master!$D$27:$G$227,4,FALSE)</f>
        <v>Neto povećanje obaveza</v>
      </c>
      <c r="C54" s="577"/>
      <c r="D54" s="577"/>
      <c r="E54" s="577"/>
      <c r="F54" s="577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772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6" t="str">
        <f>+VLOOKUP($A58,Master!$D$27:$G$225,4,FALSE)</f>
        <v>Otplata dugova</v>
      </c>
      <c r="C58" s="487"/>
      <c r="D58" s="487"/>
      <c r="E58" s="487"/>
      <c r="F58" s="487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512" t="str">
        <f>+VLOOKUP($A59,Master!$D$27:$G$225,4,FALSE)</f>
        <v>Otplata hartija od vrijednosti i kredita rezidentima</v>
      </c>
      <c r="C59" s="513"/>
      <c r="D59" s="513"/>
      <c r="E59" s="513"/>
      <c r="F59" s="513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88" t="str">
        <f>+VLOOKUP($A60,Master!$D$27:$G$225,4,FALSE)</f>
        <v>Otplata hartija od vrijednosti i kredita nerezidentima</v>
      </c>
      <c r="C60" s="489"/>
      <c r="D60" s="489"/>
      <c r="E60" s="489"/>
      <c r="F60" s="489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88" t="str">
        <f>+VLOOKUP($A64,Master!$D$27:$G$225,4,FALSE)</f>
        <v>Pozajmice i krediti od inostranih izvora</v>
      </c>
      <c r="C64" s="489"/>
      <c r="D64" s="489"/>
      <c r="E64" s="489"/>
      <c r="F64" s="489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88" t="str">
        <f>+VLOOKUP($A65,Master!$D$27:$G$225,4,FALSE)</f>
        <v>Primici od prodaje imovine</v>
      </c>
      <c r="C65" s="489"/>
      <c r="D65" s="489"/>
      <c r="E65" s="489"/>
      <c r="F65" s="489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42" t="str">
        <f>+Master!G252</f>
        <v>Plan ostvarenja budžeta</v>
      </c>
      <c r="C102" s="543"/>
      <c r="D102" s="543"/>
      <c r="E102" s="543"/>
      <c r="F102" s="543"/>
      <c r="G102" s="533">
        <v>2015</v>
      </c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5"/>
      <c r="S102" s="115" t="str">
        <f>+S7</f>
        <v>BDP</v>
      </c>
      <c r="T102" s="116">
        <f>+T7</f>
        <v>3655000000</v>
      </c>
    </row>
    <row r="103" spans="1:21" ht="15.75" customHeight="1">
      <c r="B103" s="544"/>
      <c r="C103" s="545"/>
      <c r="D103" s="545"/>
      <c r="E103" s="545"/>
      <c r="F103" s="546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3" t="str">
        <f>+Master!G246</f>
        <v>Jan - Dec</v>
      </c>
      <c r="T103" s="535">
        <f>+T8</f>
        <v>0</v>
      </c>
    </row>
    <row r="104" spans="1:21" ht="13.5" thickBot="1">
      <c r="B104" s="547"/>
      <c r="C104" s="548"/>
      <c r="D104" s="548"/>
      <c r="E104" s="548"/>
      <c r="F104" s="549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+VLOOKUP(LEFT($A105,LEN(A105)-1)*1,Master!$D$27:$G$225,4,FALSE)</f>
        <v>Prihodi budžeta</v>
      </c>
      <c r="C105" s="537"/>
      <c r="D105" s="537"/>
      <c r="E105" s="537"/>
      <c r="F105" s="537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8" t="str">
        <f>+VLOOKUP(LEFT($A106,LEN(A106)-1)*1,Master!$D$27:$G$225,4,FALSE)</f>
        <v>Porezi</v>
      </c>
      <c r="C106" s="539"/>
      <c r="D106" s="539"/>
      <c r="E106" s="539"/>
      <c r="F106" s="539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40" t="str">
        <f>+VLOOKUP(LEFT($A107,LEN(A107)-1)*1,Master!$D$27:$G$225,4,FALSE)</f>
        <v>Porez na dohodak fizičkih lica</v>
      </c>
      <c r="C107" s="541"/>
      <c r="D107" s="541"/>
      <c r="E107" s="541"/>
      <c r="F107" s="541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40" t="str">
        <f>+VLOOKUP(LEFT($A108,LEN(A108)-1)*1,Master!$D$27:$G$225,4,FALSE)</f>
        <v>Porez na dobit pravnih lica</v>
      </c>
      <c r="C108" s="541"/>
      <c r="D108" s="541"/>
      <c r="E108" s="541"/>
      <c r="F108" s="541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40" t="str">
        <f>+VLOOKUP(LEFT($A109,LEN(A109)-1)*1,Master!$D$27:$G$225,4,FALSE)</f>
        <v>Porez na promet nepokretnosti</v>
      </c>
      <c r="C109" s="541"/>
      <c r="D109" s="541"/>
      <c r="E109" s="541"/>
      <c r="F109" s="541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40" t="str">
        <f>+VLOOKUP(LEFT($A110,LEN(A110)-1)*1,Master!$D$27:$G$225,4,FALSE)</f>
        <v>Porez na dodatu vrijednost</v>
      </c>
      <c r="C110" s="541"/>
      <c r="D110" s="541"/>
      <c r="E110" s="541"/>
      <c r="F110" s="541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40" t="str">
        <f>+VLOOKUP(LEFT($A111,LEN(A111)-1)*1,Master!$D$27:$G$225,4,FALSE)</f>
        <v>Akcize</v>
      </c>
      <c r="C111" s="541"/>
      <c r="D111" s="541"/>
      <c r="E111" s="541"/>
      <c r="F111" s="541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40" t="str">
        <f>+VLOOKUP(LEFT($A112,LEN(A112)-1)*1,Master!$D$27:$G$225,4,FALSE)</f>
        <v>Porez na međunarodnu trgovinu i transakcije</v>
      </c>
      <c r="C112" s="541"/>
      <c r="D112" s="541"/>
      <c r="E112" s="541"/>
      <c r="F112" s="541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40" t="str">
        <f>+VLOOKUP(LEFT($A113,LEN(A113)-1)*1,Master!$D$27:$G$225,4,FALSE)</f>
        <v>Ostali državni porezi</v>
      </c>
      <c r="C113" s="541"/>
      <c r="D113" s="541"/>
      <c r="E113" s="541"/>
      <c r="F113" s="541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52" t="str">
        <f>+VLOOKUP(LEFT($A114,LEN(A114)-1)*1,Master!$D$27:$G$225,4,FALSE)</f>
        <v>Doprinosi</v>
      </c>
      <c r="C114" s="553"/>
      <c r="D114" s="553"/>
      <c r="E114" s="553"/>
      <c r="F114" s="553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40" t="str">
        <f>+VLOOKUP(LEFT($A115,LEN(A115)-1)*1,Master!$D$27:$G$225,4,FALSE)</f>
        <v>Doprinosi za penzijsko i invalidsko osiguranje</v>
      </c>
      <c r="C115" s="541"/>
      <c r="D115" s="541"/>
      <c r="E115" s="541"/>
      <c r="F115" s="541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40" t="str">
        <f>+VLOOKUP(LEFT($A116,LEN(A116)-1)*1,Master!$D$27:$G$225,4,FALSE)</f>
        <v>Doprinosi za zdravstveno osiguranje</v>
      </c>
      <c r="C116" s="541"/>
      <c r="D116" s="541"/>
      <c r="E116" s="541"/>
      <c r="F116" s="541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40" t="str">
        <f>+VLOOKUP(LEFT($A117,LEN(A117)-1)*1,Master!$D$27:$G$225,4,FALSE)</f>
        <v>Doprinosi za osiguranje od nezaposlenosti</v>
      </c>
      <c r="C117" s="541"/>
      <c r="D117" s="541"/>
      <c r="E117" s="541"/>
      <c r="F117" s="541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40" t="str">
        <f>+VLOOKUP(LEFT($A118,LEN(A118)-1)*1,Master!$D$27:$G$225,4,FALSE)</f>
        <v>Ostali doprinosi</v>
      </c>
      <c r="C118" s="541"/>
      <c r="D118" s="541"/>
      <c r="E118" s="541"/>
      <c r="F118" s="541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50" t="str">
        <f>+VLOOKUP(LEFT($A119,LEN(A119)-1)*1,Master!$D$27:$G$225,4,FALSE)</f>
        <v>Takse</v>
      </c>
      <c r="C119" s="551"/>
      <c r="D119" s="551"/>
      <c r="E119" s="551"/>
      <c r="F119" s="551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50" t="str">
        <f>+VLOOKUP(LEFT($A120,LEN(A120)-1)*1,Master!$D$27:$G$225,4,FALSE)</f>
        <v>Naknade</v>
      </c>
      <c r="C120" s="551"/>
      <c r="D120" s="551"/>
      <c r="E120" s="551"/>
      <c r="F120" s="551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50" t="str">
        <f>+VLOOKUP(LEFT($A121,LEN(A121)-1)*1,Master!$D$27:$G$225,4,FALSE)</f>
        <v>Ostali prihodi</v>
      </c>
      <c r="C121" s="551"/>
      <c r="D121" s="551"/>
      <c r="E121" s="551"/>
      <c r="F121" s="551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50" t="str">
        <f>+VLOOKUP(LEFT($A122,LEN(A122)-1)*1,Master!$D$27:$G$225,4,FALSE)</f>
        <v>Primici od otplate kredita i sredstva prenesena iz prethodne godine</v>
      </c>
      <c r="C122" s="551"/>
      <c r="D122" s="551"/>
      <c r="E122" s="551"/>
      <c r="F122" s="551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54" t="str">
        <f>+VLOOKUP(LEFT($A123,LEN(A123)-1)*1,Master!$D$27:$G$225,4,FALSE)</f>
        <v>Donacije i transferi</v>
      </c>
      <c r="C123" s="555"/>
      <c r="D123" s="555"/>
      <c r="E123" s="555"/>
      <c r="F123" s="555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56" t="str">
        <f>+VLOOKUP(LEFT($A124,LEN(A124)-1)*1,Master!$D$27:$G$225,4,FALSE)</f>
        <v>Budžetski izdaci</v>
      </c>
      <c r="C124" s="557"/>
      <c r="D124" s="557"/>
      <c r="E124" s="557"/>
      <c r="F124" s="557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58" t="str">
        <f>+VLOOKUP(LEFT($A125,LEN(A125)-1)*1,Master!$D$27:$G$225,4,FALSE)</f>
        <v>Tekući izdaci</v>
      </c>
      <c r="C125" s="559"/>
      <c r="D125" s="559"/>
      <c r="E125" s="559"/>
      <c r="F125" s="559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60" t="str">
        <f>+VLOOKUP(LEFT($A126,LEN(A126)-1)*1,Master!$D$27:$G$225,4,FALSE)</f>
        <v>Tekuća budžetska potrošnja</v>
      </c>
      <c r="C126" s="561"/>
      <c r="D126" s="561"/>
      <c r="E126" s="561"/>
      <c r="F126" s="561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40" t="str">
        <f>+VLOOKUP(LEFT($A127,LEN(A127)-1)*1,Master!$D$27:$G$225,4,FALSE)</f>
        <v>Bruto zarade i doprinosi na teret poslodavca</v>
      </c>
      <c r="C127" s="541"/>
      <c r="D127" s="541"/>
      <c r="E127" s="541"/>
      <c r="F127" s="541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40" t="str">
        <f>+VLOOKUP(LEFT($A128,LEN(A128)-1)*1,Master!$D$27:$G$225,4,FALSE)</f>
        <v>Ostala lična primanja</v>
      </c>
      <c r="C128" s="541"/>
      <c r="D128" s="541"/>
      <c r="E128" s="541"/>
      <c r="F128" s="541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40" t="str">
        <f>+VLOOKUP(LEFT($A129,LEN(A129)-1)*1,Master!$D$27:$G$225,4,FALSE)</f>
        <v>Rashodi za materijal</v>
      </c>
      <c r="C129" s="541"/>
      <c r="D129" s="541"/>
      <c r="E129" s="541"/>
      <c r="F129" s="541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40" t="str">
        <f>+VLOOKUP(LEFT($A130,LEN(A130)-1)*1,Master!$D$27:$G$225,4,FALSE)</f>
        <v>Rashodi za usluge</v>
      </c>
      <c r="C130" s="541"/>
      <c r="D130" s="541"/>
      <c r="E130" s="541"/>
      <c r="F130" s="541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40" t="str">
        <f>+VLOOKUP(LEFT($A131,LEN(A131)-1)*1,Master!$D$27:$G$225,4,FALSE)</f>
        <v>Rashodi za tekuće održavanje</v>
      </c>
      <c r="C131" s="541"/>
      <c r="D131" s="541"/>
      <c r="E131" s="541"/>
      <c r="F131" s="541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40" t="str">
        <f>+VLOOKUP(LEFT($A132,LEN(A132)-1)*1,Master!$D$27:$G$225,4,FALSE)</f>
        <v>Kamate</v>
      </c>
      <c r="C132" s="541"/>
      <c r="D132" s="541"/>
      <c r="E132" s="541"/>
      <c r="F132" s="541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40" t="str">
        <f>+VLOOKUP(LEFT($A133,LEN(A133)-1)*1,Master!$D$27:$G$225,4,FALSE)</f>
        <v>Renta</v>
      </c>
      <c r="C133" s="541"/>
      <c r="D133" s="541"/>
      <c r="E133" s="541"/>
      <c r="F133" s="541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40" t="str">
        <f>+VLOOKUP(LEFT($A134,LEN(A134)-1)*1,Master!$D$27:$G$225,4,FALSE)</f>
        <v>Subvencije</v>
      </c>
      <c r="C134" s="541"/>
      <c r="D134" s="541"/>
      <c r="E134" s="541"/>
      <c r="F134" s="541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40" t="str">
        <f>+VLOOKUP(LEFT($A135,LEN(A135)-1)*1,Master!$D$27:$G$225,4,FALSE)</f>
        <v>Ostali izdaci</v>
      </c>
      <c r="C135" s="541"/>
      <c r="D135" s="541"/>
      <c r="E135" s="541"/>
      <c r="F135" s="541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40" t="str">
        <f>+VLOOKUP(LEFT($A136,LEN(A136)-1)*1,Master!$D$27:$G$225,4,FALSE)</f>
        <v>Kapitalni izdaci u tekućem budžetu</v>
      </c>
      <c r="C136" s="541"/>
      <c r="D136" s="541"/>
      <c r="E136" s="541"/>
      <c r="F136" s="541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64" t="str">
        <f>+VLOOKUP(LEFT($A137,LEN(A137)-1)*1,Master!$D$27:$G$225,4,FALSE)</f>
        <v>Transferi za socijalnu zaštitu</v>
      </c>
      <c r="C137" s="565"/>
      <c r="D137" s="565"/>
      <c r="E137" s="565"/>
      <c r="F137" s="565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40" t="str">
        <f>+VLOOKUP(LEFT($A138,LEN(A138)-1)*1,Master!$D$27:$G$225,4,FALSE)</f>
        <v>Prava iz oblasti socijalne zaštite</v>
      </c>
      <c r="C138" s="541"/>
      <c r="D138" s="541"/>
      <c r="E138" s="541"/>
      <c r="F138" s="541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40" t="str">
        <f>+VLOOKUP(LEFT($A139,LEN(A139)-1)*1,Master!$D$27:$G$225,4,FALSE)</f>
        <v>Sredstva za tehnološke viškove</v>
      </c>
      <c r="C139" s="541"/>
      <c r="D139" s="541"/>
      <c r="E139" s="541"/>
      <c r="F139" s="541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40" t="str">
        <f>+VLOOKUP(LEFT($A140,LEN(A140)-1)*1,Master!$D$27:$G$225,4,FALSE)</f>
        <v>Prava iz oblasti penzijskog i invalidskog osiguranja</v>
      </c>
      <c r="C140" s="541"/>
      <c r="D140" s="541"/>
      <c r="E140" s="541"/>
      <c r="F140" s="541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40" t="str">
        <f>+VLOOKUP(LEFT($A141,LEN(A141)-1)*1,Master!$D$27:$G$225,4,FALSE)</f>
        <v>Ostala prava iz oblasti zdravstvene zaštite</v>
      </c>
      <c r="C141" s="541"/>
      <c r="D141" s="541"/>
      <c r="E141" s="541"/>
      <c r="F141" s="541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40" t="str">
        <f>+VLOOKUP(LEFT($A142,LEN(A142)-1)*1,Master!$D$27:$G$225,4,FALSE)</f>
        <v>Ostala prava iz zdravstvenog osiguranja</v>
      </c>
      <c r="C142" s="541"/>
      <c r="D142" s="541"/>
      <c r="E142" s="541"/>
      <c r="F142" s="541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62" t="str">
        <f>+VLOOKUP(LEFT($A143,LEN(A143)-1)*1,Master!$D$27:$G$225,4,FALSE)</f>
        <v xml:space="preserve">Transferi institucijama, pojedincima, nevladinom i javnom sektoru </v>
      </c>
      <c r="C143" s="563"/>
      <c r="D143" s="563"/>
      <c r="E143" s="563"/>
      <c r="F143" s="563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62" t="str">
        <f>+VLOOKUP(LEFT($A144,LEN(A144)-1)*1,Master!$D$27:$G$225,4,FALSE)</f>
        <v>Kapitalni budžet</v>
      </c>
      <c r="C144" s="563"/>
      <c r="D144" s="563"/>
      <c r="E144" s="563"/>
      <c r="F144" s="563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66" t="str">
        <f>+VLOOKUP(LEFT($A145,LEN(A145)-1)*1,Master!$D$27:$G$225,4,FALSE)</f>
        <v>Pozajmice i krediti</v>
      </c>
      <c r="C145" s="567"/>
      <c r="D145" s="567"/>
      <c r="E145" s="567"/>
      <c r="F145" s="567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66" t="str">
        <f>+VLOOKUP(LEFT($A146,LEN(A146)-1)*1,Master!$D$27:$G$225,4,FALSE)</f>
        <v>Rezerve</v>
      </c>
      <c r="C146" s="567"/>
      <c r="D146" s="567"/>
      <c r="E146" s="567"/>
      <c r="F146" s="567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76" t="str">
        <f>+VLOOKUP(LEFT($A147,LEN(A147)-1)*1,Master!$D$27:$G$225,4,FALSE)</f>
        <v>Otplata garancija</v>
      </c>
      <c r="C147" s="577"/>
      <c r="D147" s="577"/>
      <c r="E147" s="577"/>
      <c r="F147" s="577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72" t="str">
        <f>+VLOOKUP(LEFT($A148,LEN(A148)-1)*1,Master!$D$27:$G$225,4,FALSE)</f>
        <v>Suficit / deficit</v>
      </c>
      <c r="C148" s="573"/>
      <c r="D148" s="573"/>
      <c r="E148" s="573"/>
      <c r="F148" s="573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74" t="str">
        <f>+VLOOKUP(LEFT($A149,LEN(A149)-1)*1,Master!$D$27:$G$225,4,FALSE)</f>
        <v>Primarni bilans</v>
      </c>
      <c r="C149" s="575"/>
      <c r="D149" s="575"/>
      <c r="E149" s="575"/>
      <c r="F149" s="575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64" t="str">
        <f>+VLOOKUP(LEFT($A150,LEN(A150)-1)*1,Master!$D$27:$G$225,4,FALSE)</f>
        <v>Otplata dugova</v>
      </c>
      <c r="C150" s="565"/>
      <c r="D150" s="565"/>
      <c r="E150" s="565"/>
      <c r="F150" s="565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68" t="str">
        <f>+VLOOKUP(LEFT($A151,LEN(A151)-1)*1,Master!$D$27:$G$225,4,FALSE)</f>
        <v>Otplata hartija od vrijednosti i kredita rezidentima</v>
      </c>
      <c r="C151" s="569"/>
      <c r="D151" s="569"/>
      <c r="E151" s="569"/>
      <c r="F151" s="569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66" t="str">
        <f>+VLOOKUP(LEFT($A152,LEN(A152)-1)*1,Master!$D$27:$G$225,4,FALSE)</f>
        <v>Otplata hartija od vrijednosti i kredita nerezidentima</v>
      </c>
      <c r="C152" s="567"/>
      <c r="D152" s="567"/>
      <c r="E152" s="567"/>
      <c r="F152" s="567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76" t="str">
        <f>+VLOOKUP(LEFT($A153,LEN(A153)-1)*1,Master!$D$27:$G$225,4,FALSE)</f>
        <v>Otplata obaveza iz prethodnih godina</v>
      </c>
      <c r="C153" s="577"/>
      <c r="D153" s="577"/>
      <c r="E153" s="577"/>
      <c r="F153" s="577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70" t="str">
        <f>+VLOOKUP(LEFT($A154,LEN(A154)-1)*1,Master!$D$27:$G$225,4,FALSE)</f>
        <v>Nedostajuća sredstva</v>
      </c>
      <c r="C154" s="571"/>
      <c r="D154" s="571"/>
      <c r="E154" s="571"/>
      <c r="F154" s="571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56" t="str">
        <f>+VLOOKUP(LEFT($A155,LEN(A155)-1)*1,Master!$D$27:$G$225,4,FALSE)</f>
        <v>Finansiranje</v>
      </c>
      <c r="C155" s="557"/>
      <c r="D155" s="557"/>
      <c r="E155" s="557"/>
      <c r="F155" s="557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68" t="str">
        <f>+VLOOKUP(LEFT($A156,LEN(A156)-1)*1,Master!$D$27:$G$225,4,FALSE)</f>
        <v>Pozajmice i krediti od domaćih izvora</v>
      </c>
      <c r="C156" s="569"/>
      <c r="D156" s="569"/>
      <c r="E156" s="569"/>
      <c r="F156" s="569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66" t="str">
        <f>+VLOOKUP(LEFT($A157,LEN(A157)-1)*1,Master!$D$27:$G$225,4,FALSE)</f>
        <v>Pozajmice i krediti od inostranih izvora</v>
      </c>
      <c r="C157" s="567"/>
      <c r="D157" s="567"/>
      <c r="E157" s="567"/>
      <c r="F157" s="567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66" t="str">
        <f>+VLOOKUP(LEFT($A158,LEN(A158)-1)*1,Master!$D$27:$G$225,4,FALSE)</f>
        <v>Primici od prodaje imovine</v>
      </c>
      <c r="C158" s="567"/>
      <c r="D158" s="567"/>
      <c r="E158" s="567"/>
      <c r="F158" s="567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Nevena Cobeljic</cp:lastModifiedBy>
  <cp:lastPrinted>2017-03-01T13:10:49Z</cp:lastPrinted>
  <dcterms:created xsi:type="dcterms:W3CDTF">2014-09-15T13:41:17Z</dcterms:created>
  <dcterms:modified xsi:type="dcterms:W3CDTF">2019-12-16T12:55:42Z</dcterms:modified>
</cp:coreProperties>
</file>