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24000" windowHeight="9000" tabRatio="587" firstSheet="1" activeTab="1"/>
  </bookViews>
  <sheets>
    <sheet name="Analitika - 2014" sheetId="3" state="hidden" r:id="rId1"/>
    <sheet name="Breakdown" sheetId="1" r:id="rId2"/>
    <sheet name="Analytics - 2018" sheetId="11" r:id="rId3"/>
    <sheet name="2018" sheetId="13" r:id="rId4"/>
    <sheet name="2017" sheetId="16" r:id="rId5"/>
    <sheet name="2016" sheetId="12" r:id="rId6"/>
    <sheet name="2015" sheetId="10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'2015'!$A$102:$A$159</definedName>
    <definedName name="_2015plan" localSheetId="5">'2016'!$A$102:$A$160</definedName>
    <definedName name="_2015plan" localSheetId="4">'2017'!$A$102:$A$160</definedName>
    <definedName name="_2015plan" localSheetId="3">'2018'!$A$102:$A$161</definedName>
  </definedNames>
  <calcPr calcId="162913"/>
</workbook>
</file>

<file path=xl/calcChain.xml><?xml version="1.0" encoding="utf-8"?>
<calcChain xmlns="http://schemas.openxmlformats.org/spreadsheetml/2006/main">
  <c r="R59" i="11" l="1"/>
  <c r="R58" i="11"/>
  <c r="R57" i="11"/>
  <c r="R67" i="11"/>
  <c r="R66" i="11"/>
  <c r="R65" i="11"/>
  <c r="R64" i="11"/>
  <c r="R63" i="11"/>
  <c r="R62" i="11"/>
  <c r="R56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N61" i="11"/>
  <c r="N67" i="11"/>
  <c r="N66" i="11"/>
  <c r="N65" i="11"/>
  <c r="N64" i="11"/>
  <c r="N63" i="11"/>
  <c r="N62" i="11"/>
  <c r="N57" i="11"/>
  <c r="N58" i="11"/>
  <c r="N59" i="11"/>
  <c r="N56" i="11"/>
  <c r="N55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R10" i="11"/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T61" i="11" l="1"/>
  <c r="S61" i="11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Q61" i="11" l="1"/>
  <c r="P61" i="11"/>
  <c r="S155" i="13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1" i="11" l="1"/>
  <c r="L61" i="11" s="1"/>
  <c r="G64" i="13"/>
  <c r="M61" i="11" l="1"/>
  <c r="A160" i="16"/>
  <c r="A159" i="16"/>
  <c r="A158" i="16"/>
  <c r="A157" i="16"/>
  <c r="A156" i="16"/>
  <c r="A155" i="16"/>
  <c r="G154" i="16"/>
  <c r="A154" i="16"/>
  <c r="M154" i="16" s="1"/>
  <c r="I153" i="16"/>
  <c r="G153" i="16"/>
  <c r="A153" i="16"/>
  <c r="M153" i="16" s="1"/>
  <c r="I152" i="16"/>
  <c r="G152" i="16"/>
  <c r="A152" i="16"/>
  <c r="M152" i="16" s="1"/>
  <c r="A151" i="16"/>
  <c r="A150" i="16"/>
  <c r="A149" i="16"/>
  <c r="S148" i="16"/>
  <c r="T148" i="16" s="1"/>
  <c r="G148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N143" i="16" l="1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K13" i="11"/>
  <c r="K17" i="11"/>
  <c r="K21" i="11"/>
  <c r="K25" i="11"/>
  <c r="K33" i="11"/>
  <c r="K37" i="11"/>
  <c r="K41" i="11"/>
  <c r="K45" i="11"/>
  <c r="K49" i="11"/>
  <c r="K53" i="11"/>
  <c r="Q58" i="16"/>
  <c r="G137" i="16"/>
  <c r="K137" i="16"/>
  <c r="O137" i="16"/>
  <c r="I137" i="16"/>
  <c r="M137" i="16"/>
  <c r="Q137" i="16"/>
  <c r="K64" i="11"/>
  <c r="K65" i="11"/>
  <c r="K66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K57" i="11"/>
  <c r="K31" i="11"/>
  <c r="G124" i="16"/>
  <c r="G125" i="16" s="1"/>
  <c r="R105" i="16"/>
  <c r="I29" i="16"/>
  <c r="H10" i="16"/>
  <c r="K42" i="11"/>
  <c r="I124" i="16"/>
  <c r="I125" i="16" s="1"/>
  <c r="G10" i="16"/>
  <c r="K11" i="11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K10" i="1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K29" i="11"/>
  <c r="G55" i="16"/>
  <c r="K155" i="16"/>
  <c r="K160" i="16" s="1"/>
  <c r="K156" i="16" s="1"/>
  <c r="S124" i="16"/>
  <c r="T124" i="16" s="1"/>
  <c r="Q55" i="16"/>
  <c r="Q56" i="16" s="1"/>
  <c r="Q57" i="16" s="1"/>
  <c r="P149" i="16"/>
  <c r="P150" i="16" s="1"/>
  <c r="S29" i="16"/>
  <c r="T29" i="16" s="1"/>
  <c r="R55" i="16"/>
  <c r="R56" i="16" s="1"/>
  <c r="R57" i="16" s="1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P57" i="16" s="1"/>
  <c r="G149" i="16"/>
  <c r="S105" i="16"/>
  <c r="T105" i="16" s="1"/>
  <c r="L155" i="16"/>
  <c r="L160" i="16" s="1"/>
  <c r="L156" i="16" s="1"/>
  <c r="L150" i="16"/>
  <c r="M125" i="16"/>
  <c r="S125" i="16" s="1"/>
  <c r="T125" i="16" s="1"/>
  <c r="M149" i="16"/>
  <c r="S151" i="16"/>
  <c r="T151" i="16" s="1"/>
  <c r="O66" i="16" l="1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K55" i="11"/>
  <c r="K30" i="11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R66" i="16" s="1"/>
  <c r="R62" i="16" s="1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O62" i="16" l="1"/>
  <c r="G57" i="16"/>
  <c r="K56" i="11" s="1"/>
  <c r="S56" i="16"/>
  <c r="N66" i="16"/>
  <c r="M66" i="16"/>
  <c r="J66" i="16"/>
  <c r="I66" i="16"/>
  <c r="K62" i="11"/>
  <c r="H66" i="16"/>
  <c r="G160" i="16"/>
  <c r="S155" i="16"/>
  <c r="T155" i="16" s="1"/>
  <c r="G62" i="16"/>
  <c r="S150" i="16"/>
  <c r="T150" i="16" s="1"/>
  <c r="S57" i="16" l="1"/>
  <c r="T57" i="16" s="1"/>
  <c r="S61" i="16"/>
  <c r="T61" i="16" s="1"/>
  <c r="T56" i="16"/>
  <c r="N62" i="16"/>
  <c r="M62" i="16"/>
  <c r="T60" i="11"/>
  <c r="S60" i="11"/>
  <c r="J62" i="16"/>
  <c r="I62" i="16"/>
  <c r="S66" i="16"/>
  <c r="K67" i="11"/>
  <c r="H62" i="16"/>
  <c r="S160" i="16"/>
  <c r="T160" i="16" s="1"/>
  <c r="G156" i="16"/>
  <c r="S156" i="16" s="1"/>
  <c r="T156" i="16" s="1"/>
  <c r="T66" i="16" l="1"/>
  <c r="S62" i="16"/>
  <c r="T62" i="16" s="1"/>
  <c r="K63" i="1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M60" i="11" l="1"/>
  <c r="L60" i="11"/>
  <c r="O60" i="11" l="1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7" i="2" l="1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61" i="11" l="1"/>
  <c r="H53" i="11"/>
  <c r="G28" i="11"/>
  <c r="T64" i="11"/>
  <c r="S64" i="11"/>
  <c r="T65" i="11"/>
  <c r="S65" i="11"/>
  <c r="T66" i="11"/>
  <c r="S66" i="11"/>
  <c r="G12" i="11"/>
  <c r="G26" i="11"/>
  <c r="G27" i="11"/>
  <c r="G32" i="11"/>
  <c r="G33" i="11"/>
  <c r="G34" i="11"/>
  <c r="G19" i="11"/>
  <c r="G21" i="11"/>
  <c r="G24" i="11"/>
  <c r="G13" i="11"/>
  <c r="G15" i="11"/>
  <c r="G17" i="11"/>
  <c r="G22" i="11"/>
  <c r="G25" i="11"/>
  <c r="G14" i="11"/>
  <c r="G16" i="11"/>
  <c r="G18" i="11"/>
  <c r="G20" i="11"/>
  <c r="G23" i="11"/>
  <c r="G66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4" i="11"/>
  <c r="G65" i="11"/>
  <c r="H12" i="11"/>
  <c r="H41" i="1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N10" i="11" s="1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H43" i="11"/>
  <c r="S32" i="13"/>
  <c r="T32" i="13" s="1"/>
  <c r="S44" i="13"/>
  <c r="T44" i="13" s="1"/>
  <c r="S65" i="13"/>
  <c r="T65" i="13" s="1"/>
  <c r="H32" i="11"/>
  <c r="H34" i="11"/>
  <c r="H36" i="11"/>
  <c r="H38" i="11"/>
  <c r="H40" i="11"/>
  <c r="G11" i="13"/>
  <c r="H13" i="11"/>
  <c r="H14" i="11"/>
  <c r="H15" i="11"/>
  <c r="H16" i="11"/>
  <c r="H17" i="11"/>
  <c r="Q106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6" i="13"/>
  <c r="T136" i="13" s="1"/>
  <c r="S138" i="13"/>
  <c r="T138" i="13" s="1"/>
  <c r="H44" i="11"/>
  <c r="H45" i="11"/>
  <c r="H47" i="11"/>
  <c r="H51" i="11"/>
  <c r="R35" i="12"/>
  <c r="R19" i="12"/>
  <c r="I61" i="11" l="1"/>
  <c r="J61" i="11"/>
  <c r="O10" i="13"/>
  <c r="N10" i="13"/>
  <c r="G31" i="11"/>
  <c r="M10" i="13"/>
  <c r="L10" i="13"/>
  <c r="K10" i="13"/>
  <c r="J10" i="13"/>
  <c r="I10" i="13"/>
  <c r="G11" i="11"/>
  <c r="G57" i="11"/>
  <c r="G42" i="11"/>
  <c r="H10" i="13"/>
  <c r="L29" i="13"/>
  <c r="P29" i="13"/>
  <c r="P30" i="13" s="1"/>
  <c r="G29" i="13"/>
  <c r="O29" i="13"/>
  <c r="N29" i="13"/>
  <c r="S147" i="13"/>
  <c r="T147" i="13" s="1"/>
  <c r="H52" i="11"/>
  <c r="S141" i="13"/>
  <c r="T141" i="13" s="1"/>
  <c r="H46" i="11"/>
  <c r="S130" i="13"/>
  <c r="T130" i="13" s="1"/>
  <c r="H35" i="11"/>
  <c r="J29" i="13"/>
  <c r="I29" i="13"/>
  <c r="S145" i="13"/>
  <c r="T145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O30" i="13" l="1"/>
  <c r="N55" i="13"/>
  <c r="L30" i="13"/>
  <c r="J30" i="13"/>
  <c r="G10" i="11"/>
  <c r="I30" i="13"/>
  <c r="G30" i="13"/>
  <c r="G29" i="11"/>
  <c r="G124" i="13"/>
  <c r="P55" i="13"/>
  <c r="N30" i="13"/>
  <c r="L55" i="13"/>
  <c r="H31" i="11"/>
  <c r="H19" i="11"/>
  <c r="H11" i="11"/>
  <c r="O55" i="13"/>
  <c r="J55" i="13"/>
  <c r="J61" i="13" s="1"/>
  <c r="I55" i="13"/>
  <c r="I61" i="13" s="1"/>
  <c r="S137" i="13"/>
  <c r="T137" i="13" s="1"/>
  <c r="H42" i="11"/>
  <c r="R55" i="13"/>
  <c r="H55" i="13"/>
  <c r="S29" i="13"/>
  <c r="T29" i="13" s="1"/>
  <c r="K30" i="13"/>
  <c r="K55" i="13"/>
  <c r="Q30" i="13"/>
  <c r="Q55" i="13"/>
  <c r="Q61" i="13" s="1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G61" i="13" s="1"/>
  <c r="S114" i="13"/>
  <c r="T114" i="13" s="1"/>
  <c r="Q19" i="12"/>
  <c r="O61" i="13" l="1"/>
  <c r="N56" i="13"/>
  <c r="N61" i="13"/>
  <c r="M61" i="13"/>
  <c r="H61" i="13"/>
  <c r="H66" i="13" s="1"/>
  <c r="H62" i="13" s="1"/>
  <c r="R61" i="13"/>
  <c r="R66" i="13" s="1"/>
  <c r="R62" i="13" s="1"/>
  <c r="L61" i="13"/>
  <c r="K61" i="13"/>
  <c r="P56" i="13"/>
  <c r="P61" i="13"/>
  <c r="P66" i="13" s="1"/>
  <c r="P62" i="13" s="1"/>
  <c r="G30" i="11"/>
  <c r="I56" i="13"/>
  <c r="H10" i="11"/>
  <c r="G55" i="11"/>
  <c r="L56" i="13"/>
  <c r="O66" i="13"/>
  <c r="O56" i="13"/>
  <c r="J56" i="13"/>
  <c r="R56" i="13"/>
  <c r="H56" i="13"/>
  <c r="S30" i="13"/>
  <c r="T30" i="13" s="1"/>
  <c r="Q56" i="13"/>
  <c r="Q66" i="13"/>
  <c r="Q62" i="13" s="1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O62" i="13" l="1"/>
  <c r="N66" i="13"/>
  <c r="M66" i="13"/>
  <c r="M62" i="13" s="1"/>
  <c r="L66" i="13"/>
  <c r="K66" i="13"/>
  <c r="J66" i="13"/>
  <c r="I66" i="13"/>
  <c r="G62" i="11"/>
  <c r="G56" i="11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4" i="2"/>
  <c r="K35" i="12"/>
  <c r="G146" i="2"/>
  <c r="CY40" i="6"/>
  <c r="J35" i="12"/>
  <c r="G40" i="12"/>
  <c r="H35" i="12"/>
  <c r="I35" i="12"/>
  <c r="G242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 s="1"/>
  <c r="P8" i="11" s="1"/>
  <c r="S8" i="11" s="1"/>
  <c r="G256" i="2"/>
  <c r="G255" i="2"/>
  <c r="G250" i="2"/>
  <c r="B102" i="13" s="1"/>
  <c r="G249" i="2"/>
  <c r="B7" i="13" s="1"/>
  <c r="G246" i="2"/>
  <c r="S7" i="13" s="1"/>
  <c r="S102" i="13" s="1"/>
  <c r="G240" i="2"/>
  <c r="R8" i="13" s="1"/>
  <c r="R103" i="13" s="1"/>
  <c r="G239" i="2"/>
  <c r="Q8" i="13" s="1"/>
  <c r="Q103" i="13" s="1"/>
  <c r="G238" i="2"/>
  <c r="P8" i="13" s="1"/>
  <c r="P103" i="13" s="1"/>
  <c r="G237" i="2"/>
  <c r="O8" i="13" s="1"/>
  <c r="O103" i="13" s="1"/>
  <c r="G236" i="2"/>
  <c r="N8" i="13" s="1"/>
  <c r="N103" i="13" s="1"/>
  <c r="G235" i="2"/>
  <c r="M8" i="13" s="1"/>
  <c r="M103" i="13" s="1"/>
  <c r="G234" i="2"/>
  <c r="L8" i="13" s="1"/>
  <c r="L103" i="13" s="1"/>
  <c r="G233" i="2"/>
  <c r="K8" i="13" s="1"/>
  <c r="K103" i="13" s="1"/>
  <c r="G232" i="2"/>
  <c r="J8" i="13" s="1"/>
  <c r="J103" i="13" s="1"/>
  <c r="G231" i="2"/>
  <c r="I8" i="13" s="1"/>
  <c r="I103" i="13" s="1"/>
  <c r="G230" i="2"/>
  <c r="H8" i="13" s="1"/>
  <c r="H103" i="13" s="1"/>
  <c r="G229" i="2"/>
  <c r="G8" i="13" s="1"/>
  <c r="G103" i="13" s="1"/>
  <c r="G228" i="2"/>
  <c r="G227" i="2"/>
  <c r="G225" i="2"/>
  <c r="B54" i="13" s="1"/>
  <c r="G223" i="2"/>
  <c r="B66" i="12" s="1"/>
  <c r="G222" i="2"/>
  <c r="G221" i="2"/>
  <c r="B62" i="12" s="1"/>
  <c r="G220" i="2"/>
  <c r="B61" i="12" s="1"/>
  <c r="G219" i="2"/>
  <c r="G218" i="2"/>
  <c r="B57" i="12" s="1"/>
  <c r="G217" i="2"/>
  <c r="B55" i="12" s="1"/>
  <c r="G215" i="2"/>
  <c r="G214" i="2"/>
  <c r="G213" i="2"/>
  <c r="G212" i="2"/>
  <c r="B51" i="12" s="1"/>
  <c r="G211" i="2"/>
  <c r="B154" i="12" s="1"/>
  <c r="G210" i="2"/>
  <c r="G209" i="2"/>
  <c r="G208" i="2"/>
  <c r="B52" i="12" s="1"/>
  <c r="G207" i="2"/>
  <c r="B60" i="12" s="1"/>
  <c r="G206" i="2"/>
  <c r="B59" i="12" s="1"/>
  <c r="G205" i="2"/>
  <c r="G204" i="2"/>
  <c r="B58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4" i="12" s="1"/>
  <c r="G75" i="2"/>
  <c r="B63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5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B22" i="8" s="1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8" i="3" s="1"/>
  <c r="N8" i="3" s="1"/>
  <c r="G20" i="2"/>
  <c r="H8" i="3" s="1"/>
  <c r="O8" i="3" s="1"/>
  <c r="G19" i="2"/>
  <c r="G18" i="2"/>
  <c r="G15" i="2"/>
  <c r="G14" i="2"/>
  <c r="G13" i="2"/>
  <c r="G12" i="2"/>
  <c r="G10" i="2"/>
  <c r="G9" i="2"/>
  <c r="G8" i="2"/>
  <c r="E4" i="4" s="1"/>
  <c r="G7" i="2"/>
  <c r="E3" i="3" s="1"/>
  <c r="G6" i="2"/>
  <c r="E2" i="3" s="1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Q386" i="6" s="1"/>
  <c r="DP390" i="6"/>
  <c r="DO390" i="6"/>
  <c r="DN390" i="6"/>
  <c r="DM390" i="6"/>
  <c r="DL390" i="6"/>
  <c r="DK390" i="6"/>
  <c r="DJ390" i="6"/>
  <c r="DI390" i="6"/>
  <c r="DI386" i="6" s="1"/>
  <c r="DH390" i="6"/>
  <c r="DG390" i="6"/>
  <c r="DF390" i="6"/>
  <c r="DE390" i="6"/>
  <c r="DE386" i="6" s="1"/>
  <c r="DD390" i="6"/>
  <c r="DC390" i="6"/>
  <c r="DB390" i="6"/>
  <c r="DA390" i="6"/>
  <c r="DA386" i="6" s="1"/>
  <c r="CZ390" i="6"/>
  <c r="CY390" i="6"/>
  <c r="CX390" i="6"/>
  <c r="CW390" i="6"/>
  <c r="CW386" i="6" s="1"/>
  <c r="CV390" i="6"/>
  <c r="CU390" i="6"/>
  <c r="CT390" i="6"/>
  <c r="CS390" i="6"/>
  <c r="CS386" i="6" s="1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O350" i="6" s="1"/>
  <c r="DN361" i="6"/>
  <c r="DM361" i="6"/>
  <c r="DL361" i="6"/>
  <c r="DK361" i="6"/>
  <c r="DK350" i="6" s="1"/>
  <c r="DJ361" i="6"/>
  <c r="DI361" i="6"/>
  <c r="DH361" i="6"/>
  <c r="DG361" i="6"/>
  <c r="DG350" i="6" s="1"/>
  <c r="DF361" i="6"/>
  <c r="DE361" i="6"/>
  <c r="DD361" i="6"/>
  <c r="DC361" i="6"/>
  <c r="DC350" i="6" s="1"/>
  <c r="DB361" i="6"/>
  <c r="DA361" i="6"/>
  <c r="CZ361" i="6"/>
  <c r="CY361" i="6"/>
  <c r="CY350" i="6" s="1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0" i="6" s="1"/>
  <c r="CL361" i="6"/>
  <c r="D361" i="6"/>
  <c r="D360" i="6"/>
  <c r="D359" i="6"/>
  <c r="D358" i="6"/>
  <c r="D357" i="6"/>
  <c r="D356" i="6"/>
  <c r="D355" i="6"/>
  <c r="D354" i="6"/>
  <c r="D353" i="6"/>
  <c r="D352" i="6"/>
  <c r="DU351" i="6"/>
  <c r="DU350" i="6" s="1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X321" i="6" s="1"/>
  <c r="CW330" i="6"/>
  <c r="CV330" i="6"/>
  <c r="CU330" i="6"/>
  <c r="CT330" i="6"/>
  <c r="CT321" i="6" s="1"/>
  <c r="CS330" i="6"/>
  <c r="CR330" i="6"/>
  <c r="CQ330" i="6"/>
  <c r="CP330" i="6"/>
  <c r="CP321" i="6" s="1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R321" i="6" s="1"/>
  <c r="DQ322" i="6"/>
  <c r="DP322" i="6"/>
  <c r="DO322" i="6"/>
  <c r="DN322" i="6"/>
  <c r="DN321" i="6" s="1"/>
  <c r="DM322" i="6"/>
  <c r="DL322" i="6"/>
  <c r="DK322" i="6"/>
  <c r="DJ322" i="6"/>
  <c r="DJ321" i="6" s="1"/>
  <c r="DI322" i="6"/>
  <c r="DH322" i="6"/>
  <c r="DG322" i="6"/>
  <c r="DF322" i="6"/>
  <c r="DF321" i="6" s="1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 s="1"/>
  <c r="H8" i="4"/>
  <c r="H102" i="4" s="1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B119" i="10" s="1"/>
  <c r="A120" i="10"/>
  <c r="A121" i="10"/>
  <c r="P121" i="10" s="1"/>
  <c r="A122" i="10"/>
  <c r="A123" i="10"/>
  <c r="A127" i="10"/>
  <c r="A128" i="10"/>
  <c r="L128" i="10" s="1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A136" i="10"/>
  <c r="A138" i="10"/>
  <c r="L138" i="10" s="1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B124" i="10" s="1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32" i="11"/>
  <c r="B27" i="11"/>
  <c r="B15" i="11"/>
  <c r="B12" i="11"/>
  <c r="E4" i="11"/>
  <c r="E3" i="11"/>
  <c r="H21" i="1"/>
  <c r="D17" i="1"/>
  <c r="D21" i="1" s="1"/>
  <c r="H17" i="1"/>
  <c r="H13" i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39" i="4"/>
  <c r="T25" i="4"/>
  <c r="T26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H141" i="12"/>
  <c r="B141" i="12"/>
  <c r="P115" i="12"/>
  <c r="H118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1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H117" i="10"/>
  <c r="M112" i="10"/>
  <c r="K112" i="10"/>
  <c r="Q110" i="10"/>
  <c r="Q109" i="10"/>
  <c r="Q116" i="10"/>
  <c r="I145" i="10"/>
  <c r="I107" i="10"/>
  <c r="I120" i="10"/>
  <c r="I117" i="10"/>
  <c r="I113" i="10"/>
  <c r="L130" i="10"/>
  <c r="Q108" i="10"/>
  <c r="Q107" i="10"/>
  <c r="B151" i="10"/>
  <c r="N144" i="10"/>
  <c r="Q135" i="10"/>
  <c r="H133" i="10"/>
  <c r="B115" i="10"/>
  <c r="J115" i="10"/>
  <c r="N115" i="10"/>
  <c r="R115" i="10"/>
  <c r="L115" i="10"/>
  <c r="P115" i="10"/>
  <c r="R111" i="10"/>
  <c r="I111" i="10"/>
  <c r="B153" i="10"/>
  <c r="P153" i="10"/>
  <c r="H153" i="10"/>
  <c r="O122" i="10"/>
  <c r="G122" i="10"/>
  <c r="P118" i="10"/>
  <c r="Q118" i="10"/>
  <c r="G118" i="10"/>
  <c r="N118" i="10"/>
  <c r="Q132" i="10"/>
  <c r="P130" i="10"/>
  <c r="I157" i="10"/>
  <c r="K120" i="12"/>
  <c r="P121" i="12"/>
  <c r="H115" i="12"/>
  <c r="H110" i="12"/>
  <c r="R158" i="12"/>
  <c r="J140" i="12"/>
  <c r="Q153" i="12"/>
  <c r="L123" i="12"/>
  <c r="H154" i="12"/>
  <c r="P122" i="12"/>
  <c r="L121" i="12"/>
  <c r="L117" i="12"/>
  <c r="P113" i="12"/>
  <c r="H111" i="12"/>
  <c r="P109" i="12"/>
  <c r="B158" i="12"/>
  <c r="M140" i="12"/>
  <c r="B153" i="12"/>
  <c r="B127" i="4"/>
  <c r="H120" i="10" l="1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3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2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S62" i="11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7" i="2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4" i="2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4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G67" i="11"/>
  <c r="Q60" i="11"/>
  <c r="P60" i="11"/>
  <c r="I62" i="13"/>
  <c r="O6" i="11"/>
  <c r="O20" i="11" s="1"/>
  <c r="B157" i="4"/>
  <c r="B25" i="11"/>
  <c r="B41" i="11"/>
  <c r="B58" i="11"/>
  <c r="B67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5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1" i="2"/>
  <c r="G251" i="2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4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1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O32" i="11" l="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9" i="11"/>
  <c r="P19" i="11" s="1"/>
  <c r="O10" i="11"/>
  <c r="O151" i="8"/>
  <c r="H138" i="8"/>
  <c r="J105" i="9"/>
  <c r="O29" i="10"/>
  <c r="O30" i="10" s="1"/>
  <c r="G137" i="4"/>
  <c r="G106" i="10"/>
  <c r="L114" i="4"/>
  <c r="L104" i="4" s="1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P104" i="4" s="1"/>
  <c r="L105" i="9"/>
  <c r="L104" i="9" s="1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M105" i="8" s="1"/>
  <c r="O105" i="9"/>
  <c r="O104" i="9" s="1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G124" i="12" s="1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O124" i="10" s="1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7" i="11"/>
  <c r="T67" i="11"/>
  <c r="S63" i="11"/>
  <c r="O51" i="11"/>
  <c r="Q51" i="11" s="1"/>
  <c r="O42" i="11"/>
  <c r="Q42" i="11" s="1"/>
  <c r="O41" i="11"/>
  <c r="Q41" i="11" s="1"/>
  <c r="O16" i="11"/>
  <c r="Q16" i="11" s="1"/>
  <c r="O43" i="11"/>
  <c r="P43" i="11" s="1"/>
  <c r="O22" i="11"/>
  <c r="P22" i="11" s="1"/>
  <c r="O21" i="11"/>
  <c r="P21" i="11" s="1"/>
  <c r="O15" i="11"/>
  <c r="P15" i="11" s="1"/>
  <c r="O47" i="11"/>
  <c r="Q47" i="11" s="1"/>
  <c r="O48" i="11"/>
  <c r="Q48" i="11" s="1"/>
  <c r="O35" i="11"/>
  <c r="P35" i="11" s="1"/>
  <c r="O58" i="11"/>
  <c r="Q58" i="11" s="1"/>
  <c r="O38" i="11"/>
  <c r="Q38" i="11" s="1"/>
  <c r="O18" i="11"/>
  <c r="Q18" i="11" s="1"/>
  <c r="O39" i="11"/>
  <c r="P39" i="11" s="1"/>
  <c r="O11" i="11"/>
  <c r="P11" i="11" s="1"/>
  <c r="O37" i="11"/>
  <c r="Q37" i="11" s="1"/>
  <c r="O17" i="11"/>
  <c r="P17" i="11" s="1"/>
  <c r="O44" i="11"/>
  <c r="Q44" i="11" s="1"/>
  <c r="O28" i="11"/>
  <c r="P28" i="11" s="1"/>
  <c r="O12" i="11"/>
  <c r="Q12" i="11" s="1"/>
  <c r="O27" i="11"/>
  <c r="Q27" i="11" s="1"/>
  <c r="O50" i="11"/>
  <c r="P50" i="11" s="1"/>
  <c r="O34" i="11"/>
  <c r="Q34" i="11" s="1"/>
  <c r="O14" i="11"/>
  <c r="Q14" i="11" s="1"/>
  <c r="O31" i="11"/>
  <c r="Q31" i="11" s="1"/>
  <c r="O49" i="11"/>
  <c r="Q49" i="11" s="1"/>
  <c r="O33" i="11"/>
  <c r="P33" i="11" s="1"/>
  <c r="O13" i="11"/>
  <c r="Q13" i="11" s="1"/>
  <c r="O40" i="11"/>
  <c r="P40" i="11" s="1"/>
  <c r="O24" i="11"/>
  <c r="Q24" i="11" s="1"/>
  <c r="O46" i="11"/>
  <c r="P46" i="11" s="1"/>
  <c r="O26" i="11"/>
  <c r="P26" i="11" s="1"/>
  <c r="O59" i="11"/>
  <c r="P59" i="11" s="1"/>
  <c r="O23" i="11"/>
  <c r="P23" i="11" s="1"/>
  <c r="O45" i="11"/>
  <c r="P45" i="11" s="1"/>
  <c r="O25" i="11"/>
  <c r="P25" i="11" s="1"/>
  <c r="O52" i="11"/>
  <c r="Q52" i="11" s="1"/>
  <c r="O36" i="11"/>
  <c r="P36" i="11" s="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G63" i="11"/>
  <c r="O64" i="11"/>
  <c r="O66" i="11"/>
  <c r="O65" i="1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H58" i="11"/>
  <c r="H59" i="11"/>
  <c r="I59" i="11" s="1"/>
  <c r="H60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H66" i="11"/>
  <c r="I66" i="11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H48" i="11"/>
  <c r="J48" i="11" s="1"/>
  <c r="I151" i="13"/>
  <c r="H64" i="11"/>
  <c r="J64" i="11" s="1"/>
  <c r="S158" i="13"/>
  <c r="T158" i="13" s="1"/>
  <c r="L124" i="13"/>
  <c r="P151" i="13"/>
  <c r="N151" i="13"/>
  <c r="Q125" i="13"/>
  <c r="Q149" i="13"/>
  <c r="K151" i="13"/>
  <c r="H49" i="11"/>
  <c r="I49" i="11" s="1"/>
  <c r="S144" i="13"/>
  <c r="T144" i="13" s="1"/>
  <c r="O124" i="13"/>
  <c r="S152" i="13"/>
  <c r="T152" i="13" s="1"/>
  <c r="H151" i="13"/>
  <c r="S159" i="13"/>
  <c r="T159" i="13" s="1"/>
  <c r="H65" i="11"/>
  <c r="I65" i="11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T49" i="11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Q20" i="11"/>
  <c r="T36" i="11"/>
  <c r="T20" i="11"/>
  <c r="J15" i="11"/>
  <c r="S50" i="11"/>
  <c r="M43" i="11"/>
  <c r="S40" i="11"/>
  <c r="P2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M64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P53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Q53" i="1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P54" i="11"/>
  <c r="Q54" i="11"/>
  <c r="L38" i="11"/>
  <c r="L40" i="11"/>
  <c r="J12" i="11"/>
  <c r="Q32" i="11"/>
  <c r="L47" i="11"/>
  <c r="T22" i="11"/>
  <c r="S38" i="11"/>
  <c r="J46" i="11"/>
  <c r="L26" i="11"/>
  <c r="M39" i="11"/>
  <c r="J47" i="11"/>
  <c r="M66" i="11"/>
  <c r="S25" i="11"/>
  <c r="T44" i="11"/>
  <c r="G7" i="11"/>
  <c r="K8" i="11"/>
  <c r="K8" i="3"/>
  <c r="S8" i="12"/>
  <c r="S8" i="9"/>
  <c r="E252" i="2"/>
  <c r="F252" i="2"/>
  <c r="L48" i="11"/>
  <c r="I26" i="11"/>
  <c r="L34" i="11"/>
  <c r="T54" i="11"/>
  <c r="L65" i="11"/>
  <c r="S58" i="12"/>
  <c r="T58" i="12" s="1"/>
  <c r="J27" i="11"/>
  <c r="J34" i="11"/>
  <c r="I28" i="11"/>
  <c r="I34" i="11"/>
  <c r="J53" i="11"/>
  <c r="M51" i="11"/>
  <c r="I35" i="11"/>
  <c r="L33" i="11"/>
  <c r="I17" i="11"/>
  <c r="L66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H104" i="4" l="1"/>
  <c r="G105" i="12"/>
  <c r="G149" i="12" s="1"/>
  <c r="G150" i="12" s="1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48" i="10" s="1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4" i="11"/>
  <c r="Q64" i="11"/>
  <c r="P65" i="11"/>
  <c r="Q65" i="11"/>
  <c r="P66" i="11"/>
  <c r="Q66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O29" i="11"/>
  <c r="P29" i="11" s="1"/>
  <c r="Q17" i="11"/>
  <c r="P27" i="11"/>
  <c r="P52" i="11"/>
  <c r="Q40" i="11"/>
  <c r="I21" i="1"/>
  <c r="I13" i="1"/>
  <c r="E17" i="1"/>
  <c r="E21" i="1" s="1"/>
  <c r="I17" i="1"/>
  <c r="L31" i="9"/>
  <c r="S56" i="8"/>
  <c r="S61" i="8" s="1"/>
  <c r="S66" i="8" s="1"/>
  <c r="S62" i="8" s="1"/>
  <c r="S31" i="8"/>
  <c r="CV192" i="6"/>
  <c r="T31" i="8"/>
  <c r="H29" i="11"/>
  <c r="I60" i="11"/>
  <c r="J60" i="11"/>
  <c r="O57" i="11"/>
  <c r="P57" i="11" s="1"/>
  <c r="H57" i="11"/>
  <c r="J57" i="11" s="1"/>
  <c r="K125" i="13"/>
  <c r="J67" i="11"/>
  <c r="J66" i="11"/>
  <c r="I64" i="11"/>
  <c r="J65" i="11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2" i="2"/>
  <c r="B7" i="11" s="1"/>
  <c r="S126" i="4"/>
  <c r="T126" i="4" s="1"/>
  <c r="I30" i="12"/>
  <c r="G125" i="12"/>
  <c r="Q19" i="11"/>
  <c r="P42" i="11"/>
  <c r="H16" i="1"/>
  <c r="I16" i="1" s="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O125" i="10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K149" i="8" l="1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O30" i="11"/>
  <c r="P30" i="11" s="1"/>
  <c r="S57" i="8"/>
  <c r="S31" i="9"/>
  <c r="T31" i="9" s="1"/>
  <c r="O55" i="11"/>
  <c r="H55" i="1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H30" i="11"/>
  <c r="P161" i="13"/>
  <c r="P157" i="13" s="1"/>
  <c r="P150" i="13"/>
  <c r="P149" i="9"/>
  <c r="G155" i="12"/>
  <c r="G160" i="12" s="1"/>
  <c r="G156" i="12" s="1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H12" i="1"/>
  <c r="I12" i="1" s="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K150" i="8" l="1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O56" i="11"/>
  <c r="P56" i="11" s="1"/>
  <c r="H56" i="11"/>
  <c r="O62" i="11"/>
  <c r="H62" i="11"/>
  <c r="I55" i="11"/>
  <c r="S150" i="13"/>
  <c r="T150" i="13" s="1"/>
  <c r="H161" i="13"/>
  <c r="O67" i="11" s="1"/>
  <c r="S156" i="13"/>
  <c r="T156" i="13" s="1"/>
  <c r="G65" i="9"/>
  <c r="S60" i="9"/>
  <c r="T60" i="9" s="1"/>
  <c r="M30" i="11"/>
  <c r="S57" i="12"/>
  <c r="T57" i="12" s="1"/>
  <c r="L56" i="11"/>
  <c r="G66" i="12"/>
  <c r="L62" i="1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7" i="11"/>
  <c r="P67" i="11"/>
  <c r="P62" i="11"/>
  <c r="Q62" i="11"/>
  <c r="S159" i="4"/>
  <c r="T159" i="4" s="1"/>
  <c r="J55" i="11"/>
  <c r="H157" i="13"/>
  <c r="O63" i="11" s="1"/>
  <c r="H67" i="11"/>
  <c r="I67" i="11" s="1"/>
  <c r="S161" i="13"/>
  <c r="T161" i="13" s="1"/>
  <c r="G61" i="9"/>
  <c r="S61" i="9" s="1"/>
  <c r="T61" i="9" s="1"/>
  <c r="S65" i="9"/>
  <c r="T65" i="9" s="1"/>
  <c r="M62" i="11"/>
  <c r="L67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J62" i="11"/>
  <c r="I62" i="11"/>
  <c r="T66" i="12" l="1"/>
  <c r="S62" i="12"/>
  <c r="T62" i="12" s="1"/>
  <c r="G156" i="8"/>
  <c r="W156" i="8" s="1"/>
  <c r="X156" i="8" s="1"/>
  <c r="Q63" i="11"/>
  <c r="P63" i="11"/>
  <c r="S157" i="13"/>
  <c r="T157" i="13" s="1"/>
  <c r="H63" i="11"/>
  <c r="M63" i="11"/>
  <c r="G62" i="8"/>
  <c r="W62" i="8" s="1"/>
  <c r="X62" i="8" s="1"/>
  <c r="W66" i="8"/>
  <c r="X66" i="8" s="1"/>
  <c r="S156" i="12"/>
  <c r="T156" i="12" s="1"/>
  <c r="L63" i="11" l="1"/>
  <c r="J63" i="11"/>
  <c r="I63" i="1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<sst xmlns="http://schemas.openxmlformats.org/spreadsheetml/2006/main" count="1540" uniqueCount="780">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</sst>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9" fontId="73" fillId="2" borderId="0" xfId="1" applyFont="1" applyFill="1" applyAlignment="1">
      <alignment horizontal="right" vertical="center" wrapText="1"/>
    </xf>
    <xf numFmtId="164" fontId="0" fillId="3" borderId="0" xfId="131" applyFont="1" applyFill="1" applyAlignment="1">
      <alignment vertical="center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809024"/>
        <c:axId val="655801952"/>
      </c:lineChart>
      <c:catAx>
        <c:axId val="655809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655801952"/>
        <c:crosses val="autoZero"/>
        <c:auto val="1"/>
        <c:lblAlgn val="ctr"/>
        <c:lblOffset val="100"/>
        <c:tickLblSkip val="3"/>
        <c:noMultiLvlLbl val="0"/>
      </c:catAx>
      <c:valAx>
        <c:axId val="655801952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65580902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803040"/>
        <c:axId val="655814464"/>
      </c:lineChart>
      <c:catAx>
        <c:axId val="655803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655814464"/>
        <c:crosses val="autoZero"/>
        <c:auto val="1"/>
        <c:lblAlgn val="ctr"/>
        <c:lblOffset val="100"/>
        <c:tickLblSkip val="3"/>
        <c:noMultiLvlLbl val="0"/>
      </c:catAx>
      <c:valAx>
        <c:axId val="655814464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65580304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371475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PRESS</a:t>
          </a:r>
          <a:r>
            <a:rPr lang="sr-Latn-ME" sz="1100" baseline="0"/>
            <a:t> RELEASE: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January-October amounted to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1.418,8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and they are lower by 5,4% or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0,4% compared to the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plan. Compared to the same period in 2017 revenues are higher by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163,9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13,1%. In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October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budget revenues amounted to 145,7 mill.€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lower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5,3 mill.€ or 3,5% compared to the plan,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 by 6,9 mill.€ or 4,9% compared to the same month 2017.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same period amounted to 1.456,7 mill.€ or 31,6% GDP which is higher by 81,2 mill. € or 5,9% compared to the same period 2017. Compared to the plan budget expenditures are lower by 92,9 mill.€ or 6,0%. Budget expenditures in October amounted to 158,4 mill.€ or 3,4%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higher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1,0% compared to October 2017 and compared to the plan they are lower by 15,9 mill.€ or 9,1%.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January-October of the current year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37,9 mill.€ or 0,8% of the estimated GDP while in October budget deficit was 12,7 mill.€ or 0,3% GDP. In the period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January-October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budget surplus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34,2 mill.€ or 0,7%.</a:t>
          </a:r>
          <a:endParaRPr lang="en-US">
            <a:effectLst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ethodological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remarks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Data on categories "Gross salaries and contributions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 "Pension and disability insurance" have been got on the basis of accrual adjustment, while other categories are in cash.</a:t>
          </a:r>
          <a:endParaRPr lang="en-US">
            <a:effectLst/>
          </a:endParaRPr>
        </a:p>
        <a:p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item Expenditures for purchase of securities is methodologically adjusted according to GFSM2014 and it is the financial transactions and as such it is not a part of the budget deficit.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835998" cy="264560"/>
    <xdr:sp macro="" textlink="Master!G277">
      <xdr:nvSpPr>
        <xdr:cNvPr id="15" name="TextBox 14"/>
        <xdr:cNvSpPr txBox="1"/>
      </xdr:nvSpPr>
      <xdr:spPr>
        <a:xfrm>
          <a:off x="1266825" y="1390650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A2E4D5-84C6-4866-928A-B91A5E1F81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945B525-09FB-46A1-BE6B-8F1C391255F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6600EA0-E325-4DFA-BADE-B9907531E88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666750</xdr:colOff>
      <xdr:row>2</xdr:row>
      <xdr:rowOff>9524</xdr:rowOff>
    </xdr:from>
    <xdr:to>
      <xdr:col>13</xdr:col>
      <xdr:colOff>457200</xdr:colOff>
      <xdr:row>3</xdr:row>
      <xdr:rowOff>152399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742950</xdr:colOff>
      <xdr:row>0</xdr:row>
      <xdr:rowOff>104775</xdr:rowOff>
    </xdr:from>
    <xdr:to>
      <xdr:col>16</xdr:col>
      <xdr:colOff>140981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C419F7B-9B05-4893-B358-EBED170010D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/>
  </xdr:twoCellAnchor>
  <xdr:twoCellAnchor editAs="absolute">
    <xdr:from>
      <xdr:col>13</xdr:col>
      <xdr:colOff>742950</xdr:colOff>
      <xdr:row>2</xdr:row>
      <xdr:rowOff>9525</xdr:rowOff>
    </xdr:from>
    <xdr:to>
      <xdr:col>16</xdr:col>
      <xdr:colOff>140981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6E4D0E7-E0E5-4405-8A17-F0BBA7B55EB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762000</xdr:colOff>
      <xdr:row>3</xdr:row>
      <xdr:rowOff>133350</xdr:rowOff>
    </xdr:from>
    <xdr:to>
      <xdr:col>16</xdr:col>
      <xdr:colOff>160031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D1181E-639E-4B8F-AED5-AAD7C18731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1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0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090121B-1429-4BC2-93DF-640C402FE9E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87FC60F-883D-4E21-99AE-D2324D98E2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F413C21-27AF-4C6D-9735-E2314B0BA24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571500</xdr:colOff>
      <xdr:row>2</xdr:row>
      <xdr:rowOff>123824</xdr:rowOff>
    </xdr:from>
    <xdr:to>
      <xdr:col>12</xdr:col>
      <xdr:colOff>781050</xdr:colOff>
      <xdr:row>3</xdr:row>
      <xdr:rowOff>152399</xdr:rowOff>
    </xdr:to>
    <xdr:sp macro="" textlink="Master!G21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4</xdr:row>
      <xdr:rowOff>28574</xdr:rowOff>
    </xdr:from>
    <xdr:to>
      <xdr:col>12</xdr:col>
      <xdr:colOff>781049</xdr:colOff>
      <xdr:row>4</xdr:row>
      <xdr:rowOff>247649</xdr:rowOff>
    </xdr:to>
    <xdr:sp macro="" textlink="Master!G20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285750</xdr:colOff>
      <xdr:row>1</xdr:row>
      <xdr:rowOff>38100</xdr:rowOff>
    </xdr:from>
    <xdr:to>
      <xdr:col>13</xdr:col>
      <xdr:colOff>37558</xdr:colOff>
      <xdr:row>2</xdr:row>
      <xdr:rowOff>63600</xdr:rowOff>
    </xdr:to>
    <xdr:sp macro="" textlink="Master!G11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826074B-BAD4-43C4-934F-F77BFF15DF8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13</xdr:col>
      <xdr:colOff>695325</xdr:colOff>
      <xdr:row>1</xdr:row>
      <xdr:rowOff>47625</xdr:rowOff>
    </xdr:from>
    <xdr:to>
      <xdr:col>15</xdr:col>
      <xdr:colOff>576037</xdr:colOff>
      <xdr:row>2</xdr:row>
      <xdr:rowOff>73125</xdr:rowOff>
    </xdr:to>
    <xdr:sp macro="" textlink="Master!G12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B0C476-1E32-41E0-8061-D05B79B3EC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695325</xdr:colOff>
      <xdr:row>3</xdr:row>
      <xdr:rowOff>9525</xdr:rowOff>
    </xdr:from>
    <xdr:to>
      <xdr:col>15</xdr:col>
      <xdr:colOff>576037</xdr:colOff>
      <xdr:row>4</xdr:row>
      <xdr:rowOff>35025</xdr:rowOff>
    </xdr:to>
    <xdr:sp macro="" textlink="Master!G13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25E0395-4389-497E-B451-8AC544E57A2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9</xdr:col>
      <xdr:colOff>219075</xdr:colOff>
      <xdr:row>2</xdr:row>
      <xdr:rowOff>95250</xdr:rowOff>
    </xdr:from>
    <xdr:to>
      <xdr:col>10</xdr:col>
      <xdr:colOff>1010285</xdr:colOff>
      <xdr:row>3</xdr:row>
      <xdr:rowOff>171450</xdr:rowOff>
    </xdr:to>
    <xdr:sp macro="" textlink="Master!G22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2018-10</v>
      </c>
      <c r="O6" s="168" t="str">
        <f>+CONCATENATE(N6,"p")</f>
        <v>2018-10p</v>
      </c>
      <c r="P6" s="152"/>
      <c r="Q6" s="152"/>
      <c r="R6" s="168" t="str">
        <f>+IF(Master!B3-10&gt;=0,CONCATENATE(Master!B4-1,"-",Master!B3),CONCATENATE(Master!B4-1,"-0",Master!B3))</f>
        <v>2017-10</v>
      </c>
      <c r="S6" s="152"/>
      <c r="T6" s="152"/>
    </row>
    <row r="7" spans="1:20">
      <c r="A7" s="169"/>
      <c r="B7" s="456" t="s">
        <v>707</v>
      </c>
      <c r="C7" s="457"/>
      <c r="D7" s="457"/>
      <c r="E7" s="457"/>
      <c r="F7" s="457"/>
      <c r="G7" s="465" t="s">
        <v>705</v>
      </c>
      <c r="H7" s="466"/>
      <c r="I7" s="466"/>
      <c r="J7" s="466"/>
      <c r="K7" s="466"/>
      <c r="L7" s="466"/>
      <c r="M7" s="467"/>
      <c r="N7" s="468" t="str">
        <f>+Master!G240</f>
        <v>December</v>
      </c>
      <c r="O7" s="466"/>
      <c r="P7" s="466"/>
      <c r="Q7" s="466"/>
      <c r="R7" s="466"/>
      <c r="S7" s="466"/>
      <c r="T7" s="469"/>
    </row>
    <row r="8" spans="1:20">
      <c r="A8" s="169"/>
      <c r="B8" s="458"/>
      <c r="C8" s="459"/>
      <c r="D8" s="459"/>
      <c r="E8" s="459"/>
      <c r="F8" s="460"/>
      <c r="G8" s="170" t="str">
        <f>+Master!G21</f>
        <v>Execution</v>
      </c>
      <c r="H8" s="170" t="str">
        <f>+Master!G20</f>
        <v>Plan</v>
      </c>
      <c r="I8" s="452" t="str">
        <f>+Master!G258</f>
        <v>Deviation</v>
      </c>
      <c r="J8" s="452"/>
      <c r="K8" s="170" t="str">
        <f>+CONCATENATE(Master!G243," ",Master!B4-1)</f>
        <v>Jan - Oct 2017</v>
      </c>
      <c r="L8" s="452" t="str">
        <f>+I8</f>
        <v>Deviation</v>
      </c>
      <c r="M8" s="464"/>
      <c r="N8" s="171" t="str">
        <f>+G8</f>
        <v>Execution</v>
      </c>
      <c r="O8" s="170" t="str">
        <f>+H8</f>
        <v>Plan</v>
      </c>
      <c r="P8" s="452" t="str">
        <f>+I8</f>
        <v>Deviation</v>
      </c>
      <c r="Q8" s="452"/>
      <c r="R8" s="170" t="str">
        <f>+CONCATENATE(Master!G242," ",Master!B4-1)</f>
        <v>October 2017</v>
      </c>
      <c r="S8" s="452" t="str">
        <f>+P8</f>
        <v>Deviation</v>
      </c>
      <c r="T8" s="453"/>
    </row>
    <row r="9" spans="1:20" ht="15.75" thickBot="1">
      <c r="A9" s="169"/>
      <c r="B9" s="461"/>
      <c r="C9" s="462"/>
      <c r="D9" s="462"/>
      <c r="E9" s="462"/>
      <c r="F9" s="463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8" t="str">
        <f>+VLOOKUP($A10,Master!$D$25:$G$223,4,FALSE)</f>
        <v>Total Revenues</v>
      </c>
      <c r="C10" s="499"/>
      <c r="D10" s="499"/>
      <c r="E10" s="499"/>
      <c r="F10" s="499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500" t="str">
        <f>+VLOOKUP($A11,Master!$D$25:$G$223,4,FALSE)</f>
        <v>Taxes</v>
      </c>
      <c r="C11" s="501"/>
      <c r="D11" s="501"/>
      <c r="E11" s="501"/>
      <c r="F11" s="501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6" t="str">
        <f>+VLOOKUP($A12,Master!$D$25:$G$223,4,FALSE)</f>
        <v>Personal Income Tax</v>
      </c>
      <c r="C12" s="487"/>
      <c r="D12" s="487"/>
      <c r="E12" s="487"/>
      <c r="F12" s="487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6" t="str">
        <f>+VLOOKUP($A13,Master!$D$25:$G$223,4,FALSE)</f>
        <v>Corporate Income Tax</v>
      </c>
      <c r="C13" s="487"/>
      <c r="D13" s="487"/>
      <c r="E13" s="487"/>
      <c r="F13" s="487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6" t="str">
        <f>+VLOOKUP($A14,Master!$D$25:$G$223,4,FALSE)</f>
        <v xml:space="preserve">Taxes on Sales of Property </v>
      </c>
      <c r="C14" s="487"/>
      <c r="D14" s="487"/>
      <c r="E14" s="487"/>
      <c r="F14" s="487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6" t="str">
        <f>+VLOOKUP($A15,Master!$D$25:$G$223,4,FALSE)</f>
        <v>Value Added Tax</v>
      </c>
      <c r="C15" s="487"/>
      <c r="D15" s="487"/>
      <c r="E15" s="487"/>
      <c r="F15" s="487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6" t="str">
        <f>+VLOOKUP($A16,Master!$D$25:$G$223,4,FALSE)</f>
        <v>Excises</v>
      </c>
      <c r="C16" s="487"/>
      <c r="D16" s="487"/>
      <c r="E16" s="487"/>
      <c r="F16" s="487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6" t="str">
        <f>+VLOOKUP($A17,Master!$D$25:$G$223,4,FALSE)</f>
        <v>Tax on International Trade and Transactions</v>
      </c>
      <c r="C17" s="487"/>
      <c r="D17" s="487"/>
      <c r="E17" s="487"/>
      <c r="F17" s="487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6" t="e">
        <f>+VLOOKUP($A18,Master!$D$25:$G$223,4,FALSE)</f>
        <v>#N/A</v>
      </c>
      <c r="C18" s="487"/>
      <c r="D18" s="487"/>
      <c r="E18" s="487"/>
      <c r="F18" s="487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6" t="str">
        <f>+VLOOKUP($A19,Master!$D$25:$G$223,4,FALSE)</f>
        <v>Other Republic Taxes</v>
      </c>
      <c r="C19" s="487"/>
      <c r="D19" s="487"/>
      <c r="E19" s="487"/>
      <c r="F19" s="487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6" t="str">
        <f>+VLOOKUP($A20,Master!$D$25:$G$223,4,FALSE)</f>
        <v>Contributions</v>
      </c>
      <c r="C20" s="497"/>
      <c r="D20" s="497"/>
      <c r="E20" s="497"/>
      <c r="F20" s="497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6" t="str">
        <f>+VLOOKUP($A21,Master!$D$25:$G$223,4,FALSE)</f>
        <v>Contributions for Pension and Disability Insurance</v>
      </c>
      <c r="C21" s="487"/>
      <c r="D21" s="487"/>
      <c r="E21" s="487"/>
      <c r="F21" s="487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6" t="str">
        <f>+VLOOKUP($A22,Master!$D$25:$G$223,4,FALSE)</f>
        <v>Contributions for Health Insurance</v>
      </c>
      <c r="C22" s="487"/>
      <c r="D22" s="487"/>
      <c r="E22" s="487"/>
      <c r="F22" s="487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6" t="str">
        <f>+VLOOKUP($A23,Master!$D$25:$G$223,4,FALSE)</f>
        <v>Contributions for  Unemployment Insurance</v>
      </c>
      <c r="C23" s="487"/>
      <c r="D23" s="487"/>
      <c r="E23" s="487"/>
      <c r="F23" s="487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6" t="str">
        <f>+VLOOKUP($A24,Master!$D$25:$G$223,4,FALSE)</f>
        <v>Other contributions</v>
      </c>
      <c r="C24" s="487"/>
      <c r="D24" s="487"/>
      <c r="E24" s="487"/>
      <c r="F24" s="487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8" t="str">
        <f>+VLOOKUP($A25,Master!$D$25:$G$223,4,FALSE)</f>
        <v>Duties</v>
      </c>
      <c r="C25" s="489"/>
      <c r="D25" s="489"/>
      <c r="E25" s="489"/>
      <c r="F25" s="489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8" t="str">
        <f>+VLOOKUP($A26,Master!$D$25:$G$223,4,FALSE)</f>
        <v>Fees</v>
      </c>
      <c r="C26" s="489"/>
      <c r="D26" s="489"/>
      <c r="E26" s="489"/>
      <c r="F26" s="489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8" t="str">
        <f>+VLOOKUP($A27,Master!$D$25:$G$223,4,FALSE)</f>
        <v>Other revenues</v>
      </c>
      <c r="C27" s="489"/>
      <c r="D27" s="489"/>
      <c r="E27" s="489"/>
      <c r="F27" s="489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8" t="str">
        <f>+VLOOKUP($A28,Master!$D$25:$G$223,4,FALSE)</f>
        <v>Receipts from Repayment of Loans and Funds Carried over from Previous Year</v>
      </c>
      <c r="C28" s="489"/>
      <c r="D28" s="489"/>
      <c r="E28" s="489"/>
      <c r="F28" s="489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90" t="str">
        <f>+VLOOKUP($A29,Master!$D$25:$G$223,4,FALSE)</f>
        <v>Grants and Transfers</v>
      </c>
      <c r="C29" s="491"/>
      <c r="D29" s="491"/>
      <c r="E29" s="491"/>
      <c r="F29" s="491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6" t="str">
        <f>+VLOOKUP($A30,Master!$D$25:$G$223,4,FALSE)</f>
        <v>Total Expenditures</v>
      </c>
      <c r="C30" s="477"/>
      <c r="D30" s="477"/>
      <c r="E30" s="477"/>
      <c r="F30" s="477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2" t="str">
        <f>+VLOOKUP($A31,Master!$D$25:$G$223,4,FALSE)</f>
        <v>Current Expenditures</v>
      </c>
      <c r="C31" s="493"/>
      <c r="D31" s="493"/>
      <c r="E31" s="493"/>
      <c r="F31" s="493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4" t="str">
        <f>+VLOOKUP($A32,Master!$D$25:$G$223,4,FALSE)</f>
        <v>Current Budgetary Expenditures</v>
      </c>
      <c r="C32" s="495"/>
      <c r="D32" s="495"/>
      <c r="E32" s="495"/>
      <c r="F32" s="495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6" t="str">
        <f>+VLOOKUP($A33,Master!$D$25:$G$223,4,FALSE)</f>
        <v>Gross Salaries and Contributions</v>
      </c>
      <c r="C33" s="487"/>
      <c r="D33" s="487"/>
      <c r="E33" s="487"/>
      <c r="F33" s="487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6" t="str">
        <f>+VLOOKUP($A34,Master!$D$25:$G$223,4,FALSE)</f>
        <v>Other Personal Income</v>
      </c>
      <c r="C34" s="487"/>
      <c r="D34" s="487"/>
      <c r="E34" s="487"/>
      <c r="F34" s="487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6" t="str">
        <f>+VLOOKUP($A35,Master!$D$25:$G$223,4,FALSE)</f>
        <v>Expenditures for Supplies</v>
      </c>
      <c r="C35" s="487"/>
      <c r="D35" s="487"/>
      <c r="E35" s="487"/>
      <c r="F35" s="487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6" t="str">
        <f>+VLOOKUP($A36,Master!$D$25:$G$223,4,FALSE)</f>
        <v>Expenditures for Services</v>
      </c>
      <c r="C36" s="487"/>
      <c r="D36" s="487"/>
      <c r="E36" s="487"/>
      <c r="F36" s="487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6" t="str">
        <f>+VLOOKUP($A37,Master!$D$25:$G$223,4,FALSE)</f>
        <v>Current Maintenance</v>
      </c>
      <c r="C37" s="487"/>
      <c r="D37" s="487"/>
      <c r="E37" s="487"/>
      <c r="F37" s="487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6" t="str">
        <f>+VLOOKUP($A38,Master!$D$25:$G$223,4,FALSE)</f>
        <v>Interests</v>
      </c>
      <c r="C38" s="487"/>
      <c r="D38" s="487"/>
      <c r="E38" s="487"/>
      <c r="F38" s="487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6" t="str">
        <f>+VLOOKUP($A39,Master!$D$25:$G$223,4,FALSE)</f>
        <v>Rent</v>
      </c>
      <c r="C39" s="487"/>
      <c r="D39" s="487"/>
      <c r="E39" s="487"/>
      <c r="F39" s="487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6" t="str">
        <f>+VLOOKUP($A40,Master!$D$25:$G$223,4,FALSE)</f>
        <v>Subsidies</v>
      </c>
      <c r="C40" s="487"/>
      <c r="D40" s="487"/>
      <c r="E40" s="487"/>
      <c r="F40" s="487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6" t="str">
        <f>+VLOOKUP($A41,Master!$D$25:$G$223,4,FALSE)</f>
        <v>Other expenditures</v>
      </c>
      <c r="C41" s="487"/>
      <c r="D41" s="487"/>
      <c r="E41" s="487"/>
      <c r="F41" s="487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6" t="str">
        <f>+VLOOKUP($A42,Master!$D$25:$G$223,4,FALSE)</f>
        <v>Current Capital Expenditure</v>
      </c>
      <c r="C42" s="487"/>
      <c r="D42" s="487"/>
      <c r="E42" s="487"/>
      <c r="F42" s="487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2" t="str">
        <f>+VLOOKUP($A43,Master!$D$25:$G$223,4,FALSE)</f>
        <v>Social Security Transfers</v>
      </c>
      <c r="C43" s="483"/>
      <c r="D43" s="483"/>
      <c r="E43" s="483"/>
      <c r="F43" s="483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6" t="str">
        <f>+VLOOKUP($A44,Master!$D$25:$G$223,4,FALSE)</f>
        <v>Social Security</v>
      </c>
      <c r="C44" s="487"/>
      <c r="D44" s="487"/>
      <c r="E44" s="487"/>
      <c r="F44" s="487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6" t="str">
        <f>+VLOOKUP($A45,Master!$D$25:$G$223,4,FALSE)</f>
        <v>Funds for redundant labor</v>
      </c>
      <c r="C45" s="487"/>
      <c r="D45" s="487"/>
      <c r="E45" s="487"/>
      <c r="F45" s="487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6" t="str">
        <f>+VLOOKUP($A46,Master!$D$25:$G$223,4,FALSE)</f>
        <v>Pension and Disability Insurance</v>
      </c>
      <c r="C46" s="487"/>
      <c r="D46" s="487"/>
      <c r="E46" s="487"/>
      <c r="F46" s="487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6" t="str">
        <f>+VLOOKUP($A47,Master!$D$25:$G$223,4,FALSE)</f>
        <v>Other Health Care Transfers</v>
      </c>
      <c r="C47" s="487"/>
      <c r="D47" s="487"/>
      <c r="E47" s="487"/>
      <c r="F47" s="487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6" t="str">
        <f>+VLOOKUP($A48,Master!$D$25:$G$223,4,FALSE)</f>
        <v>Other Health Care Insurance</v>
      </c>
      <c r="C48" s="487"/>
      <c r="D48" s="487"/>
      <c r="E48" s="487"/>
      <c r="F48" s="487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4" t="str">
        <f>+VLOOKUP($A49,Master!$D$25:$G$223,4,FALSE)</f>
        <v xml:space="preserve">Transfers to Institutions, Individuals, NGO and Public Sector </v>
      </c>
      <c r="C49" s="485"/>
      <c r="D49" s="485"/>
      <c r="E49" s="485"/>
      <c r="F49" s="485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4" t="str">
        <f>+VLOOKUP($A50,Master!$D$25:$G$223,4,FALSE)</f>
        <v>Capital Expenditure</v>
      </c>
      <c r="C50" s="485"/>
      <c r="D50" s="485"/>
      <c r="E50" s="485"/>
      <c r="F50" s="485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4" t="str">
        <f>+VLOOKUP($A51,Master!$D$25:$G$223,4,FALSE)</f>
        <v>Credits and Borrowings</v>
      </c>
      <c r="C51" s="455"/>
      <c r="D51" s="455"/>
      <c r="E51" s="455"/>
      <c r="F51" s="455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4" t="str">
        <f>+VLOOKUP($A52,Master!$D$25:$G$223,4,FALSE)</f>
        <v>Reserves</v>
      </c>
      <c r="C52" s="455"/>
      <c r="D52" s="455"/>
      <c r="E52" s="455"/>
      <c r="F52" s="455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2" t="str">
        <f>+VLOOKUP($A53,Master!$D$25:$G$223,4,FALSE)</f>
        <v>Repayment of Guarantees</v>
      </c>
      <c r="C53" s="473"/>
      <c r="D53" s="473"/>
      <c r="E53" s="473"/>
      <c r="F53" s="473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2" t="str">
        <f>+VLOOKUP($A54,Master!$D$25:$G$223,4,FALSE)</f>
        <v>Repayments of Arrears</v>
      </c>
      <c r="C54" s="473"/>
      <c r="D54" s="473"/>
      <c r="E54" s="473"/>
      <c r="F54" s="473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2" t="str">
        <f>+VLOOKUP($A55,Master!$D$25:$G$225,4,FALSE)</f>
        <v>Net increase of liabilities</v>
      </c>
      <c r="C55" s="473"/>
      <c r="D55" s="473"/>
      <c r="E55" s="473"/>
      <c r="F55" s="473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8" t="str">
        <f>+VLOOKUP($A56,Master!$D$25:$G$223,4,FALSE)</f>
        <v>Surplus / deficit</v>
      </c>
      <c r="C56" s="479"/>
      <c r="D56" s="479"/>
      <c r="E56" s="479"/>
      <c r="F56" s="479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80" t="str">
        <f>+VLOOKUP($A57,Master!$D$25:$G$223,4,FALSE)</f>
        <v>Primary balance</v>
      </c>
      <c r="C57" s="481"/>
      <c r="D57" s="481"/>
      <c r="E57" s="481"/>
      <c r="F57" s="481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2" t="str">
        <f>+VLOOKUP($A58,Master!$D$25:$G$223,4,FALSE)</f>
        <v>Repayment of Debt</v>
      </c>
      <c r="C58" s="483"/>
      <c r="D58" s="483"/>
      <c r="E58" s="483"/>
      <c r="F58" s="483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70" t="str">
        <f>+VLOOKUP($A59,Master!$D$25:$G$223,4,FALSE)</f>
        <v>Repayment of Domestic Debt</v>
      </c>
      <c r="C59" s="471"/>
      <c r="D59" s="471"/>
      <c r="E59" s="471"/>
      <c r="F59" s="471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4" t="str">
        <f>+VLOOKUP($A60,Master!$D$25:$G$223,4,FALSE)</f>
        <v>Repayment of Foreign Debt</v>
      </c>
      <c r="C60" s="455"/>
      <c r="D60" s="455"/>
      <c r="E60" s="455"/>
      <c r="F60" s="455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698</v>
      </c>
      <c r="B61" s="299" t="str">
        <f>+B54</f>
        <v>Repayments of Arrears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4" t="str">
        <f>+VLOOKUP($A62,Master!$D$25:$G$223,4,FALSE)</f>
        <v>Financing needs</v>
      </c>
      <c r="C62" s="475"/>
      <c r="D62" s="475"/>
      <c r="E62" s="475"/>
      <c r="F62" s="475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6" t="str">
        <f>+VLOOKUP($A63,Master!$D$25:$G$223,4,FALSE)</f>
        <v>Financing</v>
      </c>
      <c r="C63" s="477"/>
      <c r="D63" s="477"/>
      <c r="E63" s="477"/>
      <c r="F63" s="477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70" t="str">
        <f>+VLOOKUP($A64,Master!$D$25:$G$223,4,FALSE)</f>
        <v>Domestic Loans and Borrowings</v>
      </c>
      <c r="C64" s="471"/>
      <c r="D64" s="471"/>
      <c r="E64" s="471"/>
      <c r="F64" s="471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4" t="str">
        <f>+VLOOKUP($A65,Master!$D$25:$G$223,4,FALSE)</f>
        <v>Foreign Loans and Borrowings</v>
      </c>
      <c r="C65" s="455"/>
      <c r="D65" s="455"/>
      <c r="E65" s="455"/>
      <c r="F65" s="455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4" t="str">
        <f>+VLOOKUP($A66,Master!$D$25:$G$223,4,FALSE)</f>
        <v>Revenues from Selling Assets</v>
      </c>
      <c r="C66" s="455"/>
      <c r="D66" s="455"/>
      <c r="E66" s="455"/>
      <c r="F66" s="455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38" t="str">
        <f>+Master!G249</f>
        <v>Budget Execution</v>
      </c>
      <c r="C7" s="539"/>
      <c r="D7" s="539"/>
      <c r="E7" s="539"/>
      <c r="F7" s="539"/>
      <c r="G7" s="532">
        <v>2013</v>
      </c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33"/>
      <c r="S7" s="115" t="str">
        <f>+Master!G246</f>
        <v>GDP</v>
      </c>
      <c r="T7" s="116">
        <v>3393200615</v>
      </c>
    </row>
    <row r="8" spans="1:20" ht="16.5" customHeight="1">
      <c r="B8" s="540"/>
      <c r="C8" s="541"/>
      <c r="D8" s="541"/>
      <c r="E8" s="541"/>
      <c r="F8" s="542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532" t="str">
        <f>+Master!G243</f>
        <v>Jan - Oct</v>
      </c>
      <c r="T8" s="533"/>
    </row>
    <row r="9" spans="1:20" ht="13.5" thickBot="1">
      <c r="B9" s="543"/>
      <c r="C9" s="544"/>
      <c r="D9" s="544"/>
      <c r="E9" s="544"/>
      <c r="F9" s="545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534" t="str">
        <f>+VLOOKUP($A10,Master!$D$25:$G$223,4,FALSE)</f>
        <v>Total Revenues</v>
      </c>
      <c r="C10" s="535"/>
      <c r="D10" s="535"/>
      <c r="E10" s="535"/>
      <c r="F10" s="535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6" t="str">
        <f>+VLOOKUP($A11,Master!$D$25:$G$223,4,FALSE)</f>
        <v>Taxes</v>
      </c>
      <c r="C11" s="537"/>
      <c r="D11" s="537"/>
      <c r="E11" s="537"/>
      <c r="F11" s="537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8" t="str">
        <f>+VLOOKUP($A12,Master!$D$25:$G$223,4,FALSE)</f>
        <v>Personal Income Tax</v>
      </c>
      <c r="C12" s="519"/>
      <c r="D12" s="519"/>
      <c r="E12" s="519"/>
      <c r="F12" s="519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8" t="str">
        <f>+VLOOKUP($A13,Master!$D$25:$G$223,4,FALSE)</f>
        <v>Corporate Income Tax</v>
      </c>
      <c r="C13" s="519"/>
      <c r="D13" s="519"/>
      <c r="E13" s="519"/>
      <c r="F13" s="519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8" t="str">
        <f>+VLOOKUP($A14,Master!$D$25:$G$223,4,FALSE)</f>
        <v xml:space="preserve">Taxes on Sales of Property </v>
      </c>
      <c r="C14" s="519"/>
      <c r="D14" s="519"/>
      <c r="E14" s="519"/>
      <c r="F14" s="519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8" t="str">
        <f>+VLOOKUP($A15,Master!$D$25:$G$223,4,FALSE)</f>
        <v>Value Added Tax</v>
      </c>
      <c r="C15" s="519"/>
      <c r="D15" s="519"/>
      <c r="E15" s="519"/>
      <c r="F15" s="519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8" t="str">
        <f>+VLOOKUP($A16,Master!$D$25:$G$223,4,FALSE)</f>
        <v>Excises</v>
      </c>
      <c r="C16" s="519"/>
      <c r="D16" s="519"/>
      <c r="E16" s="519"/>
      <c r="F16" s="519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8" t="str">
        <f>+VLOOKUP($A17,Master!$D$25:$G$223,4,FALSE)</f>
        <v>Tax on International Trade and Transactions</v>
      </c>
      <c r="C17" s="519"/>
      <c r="D17" s="519"/>
      <c r="E17" s="519"/>
      <c r="F17" s="519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8" t="e">
        <f>+VLOOKUP($A18,Master!$D$25:$G$223,4,FALSE)</f>
        <v>#N/A</v>
      </c>
      <c r="C18" s="519"/>
      <c r="D18" s="519"/>
      <c r="E18" s="519"/>
      <c r="F18" s="519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8" t="str">
        <f>+VLOOKUP($A19,Master!$D$25:$G$223,4,FALSE)</f>
        <v>Other Republic Taxes</v>
      </c>
      <c r="C19" s="519"/>
      <c r="D19" s="519"/>
      <c r="E19" s="519"/>
      <c r="F19" s="519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30" t="str">
        <f>+VLOOKUP($A20,Master!$D$25:$G$223,4,FALSE)</f>
        <v>Contributions</v>
      </c>
      <c r="C20" s="531"/>
      <c r="D20" s="531"/>
      <c r="E20" s="531"/>
      <c r="F20" s="531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8" t="str">
        <f>+VLOOKUP($A21,Master!$D$25:$G$223,4,FALSE)</f>
        <v>Contributions for Pension and Disability Insurance</v>
      </c>
      <c r="C21" s="519"/>
      <c r="D21" s="519"/>
      <c r="E21" s="519"/>
      <c r="F21" s="519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8" t="str">
        <f>+VLOOKUP($A22,Master!$D$25:$G$223,4,FALSE)</f>
        <v>Contributions for Health Insurance</v>
      </c>
      <c r="C22" s="519"/>
      <c r="D22" s="519"/>
      <c r="E22" s="519"/>
      <c r="F22" s="519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8" t="str">
        <f>+VLOOKUP($A23,Master!$D$25:$G$223,4,FALSE)</f>
        <v>Contributions for  Unemployment Insurance</v>
      </c>
      <c r="C23" s="519"/>
      <c r="D23" s="519"/>
      <c r="E23" s="519"/>
      <c r="F23" s="519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8" t="str">
        <f>+VLOOKUP($A24,Master!$D$25:$G$223,4,FALSE)</f>
        <v>Other contributions</v>
      </c>
      <c r="C24" s="519"/>
      <c r="D24" s="519"/>
      <c r="E24" s="519"/>
      <c r="F24" s="519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2" t="str">
        <f>+VLOOKUP($A25,Master!$D$25:$G$223,4,FALSE)</f>
        <v>Duties</v>
      </c>
      <c r="C25" s="523"/>
      <c r="D25" s="523"/>
      <c r="E25" s="523"/>
      <c r="F25" s="523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2" t="str">
        <f>+VLOOKUP($A26,Master!$D$25:$G$223,4,FALSE)</f>
        <v>Fees</v>
      </c>
      <c r="C26" s="523"/>
      <c r="D26" s="523"/>
      <c r="E26" s="523"/>
      <c r="F26" s="523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2" t="str">
        <f>+VLOOKUP($A27,Master!$D$25:$G$223,4,FALSE)</f>
        <v>Other revenues</v>
      </c>
      <c r="C27" s="523"/>
      <c r="D27" s="523"/>
      <c r="E27" s="523"/>
      <c r="F27" s="523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2" t="str">
        <f>+VLOOKUP($A28,Master!$D$25:$G$223,4,FALSE)</f>
        <v>Receipts from Repayment of Loans and Funds Carried over from Previous Year</v>
      </c>
      <c r="C28" s="523"/>
      <c r="D28" s="523"/>
      <c r="E28" s="523"/>
      <c r="F28" s="523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4" t="str">
        <f>+VLOOKUP($A29,Master!$D$25:$G$223,4,FALSE)</f>
        <v>Grants and Transfers</v>
      </c>
      <c r="C29" s="525"/>
      <c r="D29" s="525"/>
      <c r="E29" s="525"/>
      <c r="F29" s="52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08" t="str">
        <f>+VLOOKUP($A30,Master!$D$25:$G$223,4,FALSE)</f>
        <v>Total Expenditures</v>
      </c>
      <c r="C30" s="509"/>
      <c r="D30" s="509"/>
      <c r="E30" s="509"/>
      <c r="F30" s="509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6" t="str">
        <f>+VLOOKUP($A31,Master!$D$25:$G$223,4,FALSE)</f>
        <v>Current Expenditures</v>
      </c>
      <c r="C31" s="527"/>
      <c r="D31" s="527"/>
      <c r="E31" s="527"/>
      <c r="F31" s="527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8" t="str">
        <f>+VLOOKUP($A32,Master!$D$25:$G$223,4,FALSE)</f>
        <v>Current Budgetary Expenditures</v>
      </c>
      <c r="C32" s="529"/>
      <c r="D32" s="529"/>
      <c r="E32" s="529"/>
      <c r="F32" s="529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8" t="str">
        <f>+VLOOKUP($A33,Master!$D$25:$G$223,4,FALSE)</f>
        <v>Gross Salaries and Contributions</v>
      </c>
      <c r="C33" s="519"/>
      <c r="D33" s="519"/>
      <c r="E33" s="519"/>
      <c r="F33" s="519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8" t="str">
        <f>+VLOOKUP($A34,Master!$D$25:$G$223,4,FALSE)</f>
        <v>Other Personal Income</v>
      </c>
      <c r="C34" s="519"/>
      <c r="D34" s="519"/>
      <c r="E34" s="519"/>
      <c r="F34" s="519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8" t="str">
        <f>+VLOOKUP($A35,Master!$D$25:$G$223,4,FALSE)</f>
        <v>Expenditures for Supplies</v>
      </c>
      <c r="C35" s="519"/>
      <c r="D35" s="519"/>
      <c r="E35" s="519"/>
      <c r="F35" s="519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8" t="str">
        <f>+VLOOKUP($A36,Master!$D$25:$G$223,4,FALSE)</f>
        <v>Expenditures for Services</v>
      </c>
      <c r="C36" s="519"/>
      <c r="D36" s="519"/>
      <c r="E36" s="519"/>
      <c r="F36" s="519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8" t="str">
        <f>+VLOOKUP($A37,Master!$D$25:$G$223,4,FALSE)</f>
        <v>Current Maintenance</v>
      </c>
      <c r="C37" s="519"/>
      <c r="D37" s="519"/>
      <c r="E37" s="519"/>
      <c r="F37" s="519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8" t="str">
        <f>+VLOOKUP($A38,Master!$D$25:$G$223,4,FALSE)</f>
        <v>Interests</v>
      </c>
      <c r="C38" s="519"/>
      <c r="D38" s="519"/>
      <c r="E38" s="519"/>
      <c r="F38" s="519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8" t="str">
        <f>+VLOOKUP($A39,Master!$D$25:$G$223,4,FALSE)</f>
        <v>Rent</v>
      </c>
      <c r="C39" s="519"/>
      <c r="D39" s="519"/>
      <c r="E39" s="519"/>
      <c r="F39" s="519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8" t="str">
        <f>+VLOOKUP($A40,Master!$D$25:$G$223,4,FALSE)</f>
        <v>Subsidies</v>
      </c>
      <c r="C40" s="519"/>
      <c r="D40" s="519"/>
      <c r="E40" s="519"/>
      <c r="F40" s="519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8" t="str">
        <f>+VLOOKUP($A41,Master!$D$25:$G$223,4,FALSE)</f>
        <v>Other expenditures</v>
      </c>
      <c r="C41" s="519"/>
      <c r="D41" s="519"/>
      <c r="E41" s="519"/>
      <c r="F41" s="519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8" t="str">
        <f>+VLOOKUP($A42,Master!$D$25:$G$223,4,FALSE)</f>
        <v>Current Capital Expenditure</v>
      </c>
      <c r="C42" s="519"/>
      <c r="D42" s="519"/>
      <c r="E42" s="519"/>
      <c r="F42" s="519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6" t="str">
        <f>+VLOOKUP($A43,Master!$D$25:$G$223,4,FALSE)</f>
        <v>Social Security Transfers</v>
      </c>
      <c r="C43" s="517"/>
      <c r="D43" s="517"/>
      <c r="E43" s="517"/>
      <c r="F43" s="517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8" t="str">
        <f>+VLOOKUP($A44,Master!$D$25:$G$223,4,FALSE)</f>
        <v>Social Security</v>
      </c>
      <c r="C44" s="519"/>
      <c r="D44" s="519"/>
      <c r="E44" s="519"/>
      <c r="F44" s="519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8" t="str">
        <f>+VLOOKUP($A45,Master!$D$25:$G$223,4,FALSE)</f>
        <v>Funds for redundant labor</v>
      </c>
      <c r="C45" s="519"/>
      <c r="D45" s="519"/>
      <c r="E45" s="519"/>
      <c r="F45" s="519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8" t="str">
        <f>+VLOOKUP($A46,Master!$D$25:$G$223,4,FALSE)</f>
        <v>Pension and Disability Insurance</v>
      </c>
      <c r="C46" s="519"/>
      <c r="D46" s="519"/>
      <c r="E46" s="519"/>
      <c r="F46" s="519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8" t="str">
        <f>+VLOOKUP($A47,Master!$D$25:$G$223,4,FALSE)</f>
        <v>Other Health Care Transfers</v>
      </c>
      <c r="C47" s="519"/>
      <c r="D47" s="519"/>
      <c r="E47" s="519"/>
      <c r="F47" s="519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8" t="str">
        <f>+VLOOKUP($A48,Master!$D$25:$G$223,4,FALSE)</f>
        <v>Other Health Care Insurance</v>
      </c>
      <c r="C48" s="519"/>
      <c r="D48" s="519"/>
      <c r="E48" s="519"/>
      <c r="F48" s="519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20" t="str">
        <f>+VLOOKUP($A49,Master!$D$25:$G$223,4,FALSE)</f>
        <v xml:space="preserve">Transfers to Institutions, Individuals, NGO and Public Sector </v>
      </c>
      <c r="C49" s="521"/>
      <c r="D49" s="521"/>
      <c r="E49" s="521"/>
      <c r="F49" s="521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20" t="str">
        <f>+VLOOKUP($A50,Master!$D$25:$G$223,4,FALSE)</f>
        <v>Capital Expenditure</v>
      </c>
      <c r="C50" s="521"/>
      <c r="D50" s="521"/>
      <c r="E50" s="521"/>
      <c r="F50" s="521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4" t="str">
        <f>+VLOOKUP($A51,Master!$D$25:$G$223,4,FALSE)</f>
        <v>Credits and Borrowings</v>
      </c>
      <c r="C51" s="505"/>
      <c r="D51" s="505"/>
      <c r="E51" s="505"/>
      <c r="F51" s="505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4" t="str">
        <f>+VLOOKUP($A52,Master!$D$25:$G$223,4,FALSE)</f>
        <v>Reserves</v>
      </c>
      <c r="C52" s="505"/>
      <c r="D52" s="505"/>
      <c r="E52" s="505"/>
      <c r="F52" s="505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8" t="str">
        <f>+VLOOKUP($A53,Master!$D$25:$G$223,4,FALSE)</f>
        <v>Repayment of Guarantees</v>
      </c>
      <c r="C53" s="559"/>
      <c r="D53" s="559"/>
      <c r="E53" s="559"/>
      <c r="F53" s="559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2" t="str">
        <f>+VLOOKUP($A54,Master!$D$25:$G$223,4,FALSE)</f>
        <v>Surplus / deficit</v>
      </c>
      <c r="C54" s="513"/>
      <c r="D54" s="513"/>
      <c r="E54" s="513"/>
      <c r="F54" s="513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4" t="str">
        <f>+VLOOKUP($A55,Master!$D$25:$G$223,4,FALSE)</f>
        <v>Primary balance</v>
      </c>
      <c r="C55" s="515"/>
      <c r="D55" s="515"/>
      <c r="E55" s="515"/>
      <c r="F55" s="515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6" t="str">
        <f>+VLOOKUP($A56,Master!$D$25:$G$223,4,FALSE)</f>
        <v>Repayment of Debt</v>
      </c>
      <c r="C56" s="517"/>
      <c r="D56" s="517"/>
      <c r="E56" s="517"/>
      <c r="F56" s="517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10" t="str">
        <f>+VLOOKUP($A57,Master!$D$25:$G$223,4,FALSE)</f>
        <v>Repayment of Domestic Debt</v>
      </c>
      <c r="C57" s="511"/>
      <c r="D57" s="511"/>
      <c r="E57" s="511"/>
      <c r="F57" s="51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4" t="str">
        <f>+VLOOKUP($A58,Master!$D$25:$G$223,4,FALSE)</f>
        <v>Repayment of Foreign Debt</v>
      </c>
      <c r="C58" s="505"/>
      <c r="D58" s="505"/>
      <c r="E58" s="505"/>
      <c r="F58" s="505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8" t="str">
        <f>+VLOOKUP($A59,Master!$D$25:$G$223,4,FALSE)</f>
        <v>Repayments of Arrears</v>
      </c>
      <c r="C59" s="559"/>
      <c r="D59" s="559"/>
      <c r="E59" s="559"/>
      <c r="F59" s="559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6" t="str">
        <f>+VLOOKUP($A60,Master!$D$25:$G$223,4,FALSE)</f>
        <v>Financing needs</v>
      </c>
      <c r="C60" s="507"/>
      <c r="D60" s="507"/>
      <c r="E60" s="507"/>
      <c r="F60" s="507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08" t="str">
        <f>+VLOOKUP($A61,Master!$D$25:$G$223,4,FALSE)</f>
        <v>Financing</v>
      </c>
      <c r="C61" s="509"/>
      <c r="D61" s="509"/>
      <c r="E61" s="509"/>
      <c r="F61" s="509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10" t="str">
        <f>+VLOOKUP($A62,Master!$D$25:$G$223,4,FALSE)</f>
        <v>Domestic Loans and Borrowings</v>
      </c>
      <c r="C62" s="511"/>
      <c r="D62" s="511"/>
      <c r="E62" s="511"/>
      <c r="F62" s="51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4" t="str">
        <f>+VLOOKUP($A63,Master!$D$25:$G$223,4,FALSE)</f>
        <v>Foreign Loans and Borrowings</v>
      </c>
      <c r="C63" s="505"/>
      <c r="D63" s="505"/>
      <c r="E63" s="505"/>
      <c r="F63" s="505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4" t="str">
        <f>+VLOOKUP($A64,Master!$D$25:$G$223,4,FALSE)</f>
        <v>Revenues from Selling Assets</v>
      </c>
      <c r="C64" s="505"/>
      <c r="D64" s="505"/>
      <c r="E64" s="505"/>
      <c r="F64" s="505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7" t="str">
        <f>+Master!G250</f>
        <v>Planned Budget Execution</v>
      </c>
      <c r="C101" s="457"/>
      <c r="D101" s="457"/>
      <c r="E101" s="457"/>
      <c r="F101" s="457"/>
      <c r="G101" s="465">
        <v>2014</v>
      </c>
      <c r="H101" s="466"/>
      <c r="I101" s="466"/>
      <c r="J101" s="466"/>
      <c r="K101" s="466"/>
      <c r="L101" s="466"/>
      <c r="M101" s="466"/>
      <c r="N101" s="466"/>
      <c r="O101" s="466"/>
      <c r="P101" s="466"/>
      <c r="Q101" s="466"/>
      <c r="R101" s="469"/>
      <c r="S101" s="260" t="str">
        <f>+S7</f>
        <v>GDP</v>
      </c>
      <c r="T101" s="261">
        <v>3393200615</v>
      </c>
    </row>
    <row r="102" spans="1:20" ht="15.75" customHeight="1">
      <c r="A102" s="169"/>
      <c r="B102" s="458"/>
      <c r="C102" s="459"/>
      <c r="D102" s="459"/>
      <c r="E102" s="459"/>
      <c r="F102" s="460"/>
      <c r="G102" s="170" t="str">
        <f>+G8</f>
        <v>January</v>
      </c>
      <c r="H102" s="170" t="str">
        <f t="shared" ref="H102:T102" si="16">+H8</f>
        <v>February</v>
      </c>
      <c r="I102" s="170" t="str">
        <f t="shared" si="16"/>
        <v>March</v>
      </c>
      <c r="J102" s="170" t="str">
        <f t="shared" si="16"/>
        <v>April</v>
      </c>
      <c r="K102" s="170" t="str">
        <f t="shared" si="16"/>
        <v>May</v>
      </c>
      <c r="L102" s="170" t="str">
        <f t="shared" si="16"/>
        <v>June</v>
      </c>
      <c r="M102" s="170" t="str">
        <f t="shared" si="16"/>
        <v>July</v>
      </c>
      <c r="N102" s="170" t="str">
        <f t="shared" si="16"/>
        <v>August</v>
      </c>
      <c r="O102" s="170" t="str">
        <f t="shared" si="16"/>
        <v>September</v>
      </c>
      <c r="P102" s="170" t="str">
        <f t="shared" si="16"/>
        <v>October</v>
      </c>
      <c r="Q102" s="170" t="str">
        <f t="shared" si="16"/>
        <v>November</v>
      </c>
      <c r="R102" s="170" t="str">
        <f t="shared" si="16"/>
        <v>December</v>
      </c>
      <c r="S102" s="465" t="str">
        <f>+Master!G244</f>
        <v>Jan - Dec</v>
      </c>
      <c r="T102" s="469">
        <f t="shared" si="16"/>
        <v>0</v>
      </c>
    </row>
    <row r="103" spans="1:20" ht="13.5" thickBot="1">
      <c r="A103" s="169"/>
      <c r="B103" s="461"/>
      <c r="C103" s="462"/>
      <c r="D103" s="462"/>
      <c r="E103" s="462"/>
      <c r="F103" s="463"/>
      <c r="G103" s="162" t="s">
        <v>428</v>
      </c>
      <c r="H103" s="162" t="s">
        <v>428</v>
      </c>
      <c r="I103" s="162" t="s">
        <v>428</v>
      </c>
      <c r="J103" s="162" t="s">
        <v>428</v>
      </c>
      <c r="K103" s="162" t="s">
        <v>428</v>
      </c>
      <c r="L103" s="162" t="s">
        <v>428</v>
      </c>
      <c r="M103" s="162" t="s">
        <v>428</v>
      </c>
      <c r="N103" s="162" t="s">
        <v>428</v>
      </c>
      <c r="O103" s="162" t="s">
        <v>428</v>
      </c>
      <c r="P103" s="162" t="s">
        <v>428</v>
      </c>
      <c r="Q103" s="162" t="s">
        <v>428</v>
      </c>
      <c r="R103" s="162" t="s">
        <v>428</v>
      </c>
      <c r="S103" s="262" t="s">
        <v>428</v>
      </c>
      <c r="T103" s="263" t="str">
        <f>+T9</f>
        <v>% GDP</v>
      </c>
    </row>
    <row r="104" spans="1:20" ht="13.5" thickBot="1">
      <c r="A104" s="297" t="str">
        <f>+CONCATENATE(A10,"p")</f>
        <v>7p</v>
      </c>
      <c r="B104" s="498" t="str">
        <f>+VLOOKUP(LEFT($A104,LEN(A104)-1)*1,Master!$D$25:$G$223,4,FALSE)</f>
        <v>Total Revenues</v>
      </c>
      <c r="C104" s="499"/>
      <c r="D104" s="499"/>
      <c r="E104" s="499"/>
      <c r="F104" s="499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500" t="str">
        <f>+VLOOKUP(LEFT($A105,LEN(A105)-1)*1,Master!$D$25:$G$223,4,FALSE)</f>
        <v>Taxes</v>
      </c>
      <c r="C105" s="501"/>
      <c r="D105" s="501"/>
      <c r="E105" s="501"/>
      <c r="F105" s="501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6" t="str">
        <f>+VLOOKUP(LEFT($A106,LEN(A106)-1)*1,Master!$D$25:$G$223,4,FALSE)</f>
        <v>Personal Income Tax</v>
      </c>
      <c r="C106" s="487"/>
      <c r="D106" s="487"/>
      <c r="E106" s="487"/>
      <c r="F106" s="487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6" t="str">
        <f>+VLOOKUP(LEFT($A107,LEN(A107)-1)*1,Master!$D$25:$G$223,4,FALSE)</f>
        <v>Corporate Income Tax</v>
      </c>
      <c r="C107" s="487"/>
      <c r="D107" s="487"/>
      <c r="E107" s="487"/>
      <c r="F107" s="487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6" t="str">
        <f>+VLOOKUP(LEFT($A108,LEN(A108)-1)*1,Master!$D$25:$G$223,4,FALSE)</f>
        <v xml:space="preserve">Taxes on Sales of Property </v>
      </c>
      <c r="C108" s="487"/>
      <c r="D108" s="487"/>
      <c r="E108" s="487"/>
      <c r="F108" s="487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6" t="str">
        <f>+VLOOKUP(LEFT($A109,LEN(A109)-1)*1,Master!$D$25:$G$223,4,FALSE)</f>
        <v>Value Added Tax</v>
      </c>
      <c r="C109" s="487"/>
      <c r="D109" s="487"/>
      <c r="E109" s="487"/>
      <c r="F109" s="487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6" t="str">
        <f>+VLOOKUP(LEFT($A110,LEN(A110)-1)*1,Master!$D$25:$G$223,4,FALSE)</f>
        <v>Excises</v>
      </c>
      <c r="C110" s="487"/>
      <c r="D110" s="487"/>
      <c r="E110" s="487"/>
      <c r="F110" s="487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6" t="str">
        <f>+VLOOKUP(LEFT($A111,LEN(A111)-1)*1,Master!$D$25:$G$223,4,FALSE)</f>
        <v>Tax on International Trade and Transactions</v>
      </c>
      <c r="C111" s="487"/>
      <c r="D111" s="487"/>
      <c r="E111" s="487"/>
      <c r="F111" s="487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6" t="e">
        <f>+VLOOKUP(LEFT($A112,LEN(A112)-1)*1,Master!$D$25:$G$223,4,FALSE)</f>
        <v>#N/A</v>
      </c>
      <c r="C112" s="487"/>
      <c r="D112" s="487"/>
      <c r="E112" s="487"/>
      <c r="F112" s="487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6" t="str">
        <f>+VLOOKUP(LEFT($A113,LEN(A113)-1)*1,Master!$D$25:$G$223,4,FALSE)</f>
        <v>Other Republic Taxes</v>
      </c>
      <c r="C113" s="487"/>
      <c r="D113" s="487"/>
      <c r="E113" s="487"/>
      <c r="F113" s="487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6" t="str">
        <f>+VLOOKUP(LEFT($A114,LEN(A114)-1)*1,Master!$D$25:$G$223,4,FALSE)</f>
        <v>Contributions</v>
      </c>
      <c r="C114" s="497"/>
      <c r="D114" s="497"/>
      <c r="E114" s="497"/>
      <c r="F114" s="497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6" t="str">
        <f>+VLOOKUP(LEFT($A115,LEN(A115)-1)*1,Master!$D$25:$G$223,4,FALSE)</f>
        <v>Contributions for Pension and Disability Insurance</v>
      </c>
      <c r="C115" s="487"/>
      <c r="D115" s="487"/>
      <c r="E115" s="487"/>
      <c r="F115" s="487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6" t="str">
        <f>+VLOOKUP(LEFT($A116,LEN(A116)-1)*1,Master!$D$25:$G$223,4,FALSE)</f>
        <v>Contributions for Health Insurance</v>
      </c>
      <c r="C116" s="487"/>
      <c r="D116" s="487"/>
      <c r="E116" s="487"/>
      <c r="F116" s="487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6" t="str">
        <f>+VLOOKUP(LEFT($A117,LEN(A117)-1)*1,Master!$D$25:$G$223,4,FALSE)</f>
        <v>Contributions for  Unemployment Insurance</v>
      </c>
      <c r="C117" s="487"/>
      <c r="D117" s="487"/>
      <c r="E117" s="487"/>
      <c r="F117" s="487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6" t="str">
        <f>+VLOOKUP(LEFT($A118,LEN(A118)-1)*1,Master!$D$25:$G$223,4,FALSE)</f>
        <v>Other contributions</v>
      </c>
      <c r="C118" s="487"/>
      <c r="D118" s="487"/>
      <c r="E118" s="487"/>
      <c r="F118" s="487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8" t="str">
        <f>+VLOOKUP(LEFT($A119,LEN(A119)-1)*1,Master!$D$25:$G$223,4,FALSE)</f>
        <v>Duties</v>
      </c>
      <c r="C119" s="489"/>
      <c r="D119" s="489"/>
      <c r="E119" s="489"/>
      <c r="F119" s="489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8" t="str">
        <f>+VLOOKUP(LEFT($A120,LEN(A120)-1)*1,Master!$D$25:$G$223,4,FALSE)</f>
        <v>Fees</v>
      </c>
      <c r="C120" s="489"/>
      <c r="D120" s="489"/>
      <c r="E120" s="489"/>
      <c r="F120" s="489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8" t="str">
        <f>+VLOOKUP(LEFT($A121,LEN(A121)-1)*1,Master!$D$25:$G$223,4,FALSE)</f>
        <v>Other revenues</v>
      </c>
      <c r="C121" s="489"/>
      <c r="D121" s="489"/>
      <c r="E121" s="489"/>
      <c r="F121" s="489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8" t="str">
        <f>+VLOOKUP(LEFT($A122,LEN(A122)-1)*1,Master!$D$25:$G$223,4,FALSE)</f>
        <v>Receipts from Repayment of Loans and Funds Carried over from Previous Year</v>
      </c>
      <c r="C122" s="489"/>
      <c r="D122" s="489"/>
      <c r="E122" s="489"/>
      <c r="F122" s="489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90" t="str">
        <f>+VLOOKUP(LEFT($A123,LEN(A123)-1)*1,Master!$D$25:$G$223,4,FALSE)</f>
        <v>Grants and Transfers</v>
      </c>
      <c r="C123" s="491"/>
      <c r="D123" s="491"/>
      <c r="E123" s="491"/>
      <c r="F123" s="491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6" t="str">
        <f>+VLOOKUP(LEFT($A124,LEN(A124)-1)*1,Master!$D$25:$G$223,4,FALSE)</f>
        <v>Total Expenditures</v>
      </c>
      <c r="C124" s="477"/>
      <c r="D124" s="477"/>
      <c r="E124" s="477"/>
      <c r="F124" s="477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2" t="str">
        <f>+VLOOKUP(LEFT($A125,LEN(A125)-1)*1,Master!$D$25:$G$223,4,FALSE)</f>
        <v>Current Expenditures</v>
      </c>
      <c r="C125" s="493"/>
      <c r="D125" s="493"/>
      <c r="E125" s="493"/>
      <c r="F125" s="493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4" t="str">
        <f>+VLOOKUP(LEFT($A126,LEN(A126)-1)*1,Master!$D$25:$G$223,4,FALSE)</f>
        <v>Current Budgetary Expenditures</v>
      </c>
      <c r="C126" s="495"/>
      <c r="D126" s="495"/>
      <c r="E126" s="495"/>
      <c r="F126" s="495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6" t="str">
        <f>+VLOOKUP(LEFT($A127,LEN(A127)-1)*1,Master!$D$25:$G$223,4,FALSE)</f>
        <v>Gross Salaries and Contributions</v>
      </c>
      <c r="C127" s="487"/>
      <c r="D127" s="487"/>
      <c r="E127" s="487"/>
      <c r="F127" s="487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6" t="str">
        <f>+VLOOKUP(LEFT($A128,LEN(A128)-1)*1,Master!$D$25:$G$223,4,FALSE)</f>
        <v>Other Personal Income</v>
      </c>
      <c r="C128" s="487"/>
      <c r="D128" s="487"/>
      <c r="E128" s="487"/>
      <c r="F128" s="487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6" t="str">
        <f>+VLOOKUP(LEFT($A129,LEN(A129)-1)*1,Master!$D$25:$G$223,4,FALSE)</f>
        <v>Expenditures for Supplies</v>
      </c>
      <c r="C129" s="487"/>
      <c r="D129" s="487"/>
      <c r="E129" s="487"/>
      <c r="F129" s="487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6" t="str">
        <f>+VLOOKUP(LEFT($A130,LEN(A130)-1)*1,Master!$D$25:$G$223,4,FALSE)</f>
        <v>Expenditures for Services</v>
      </c>
      <c r="C130" s="487"/>
      <c r="D130" s="487"/>
      <c r="E130" s="487"/>
      <c r="F130" s="487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6" t="str">
        <f>+VLOOKUP(LEFT($A131,LEN(A131)-1)*1,Master!$D$25:$G$223,4,FALSE)</f>
        <v>Current Maintenance</v>
      </c>
      <c r="C131" s="487"/>
      <c r="D131" s="487"/>
      <c r="E131" s="487"/>
      <c r="F131" s="487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6" t="str">
        <f>+VLOOKUP(LEFT($A132,LEN(A132)-1)*1,Master!$D$25:$G$223,4,FALSE)</f>
        <v>Interests</v>
      </c>
      <c r="C132" s="487"/>
      <c r="D132" s="487"/>
      <c r="E132" s="487"/>
      <c r="F132" s="487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6" t="str">
        <f>+VLOOKUP(LEFT($A133,LEN(A133)-1)*1,Master!$D$25:$G$223,4,FALSE)</f>
        <v>Rent</v>
      </c>
      <c r="C133" s="487"/>
      <c r="D133" s="487"/>
      <c r="E133" s="487"/>
      <c r="F133" s="487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6" t="str">
        <f>+VLOOKUP(LEFT($A134,LEN(A134)-1)*1,Master!$D$25:$G$223,4,FALSE)</f>
        <v>Subsidies</v>
      </c>
      <c r="C134" s="487"/>
      <c r="D134" s="487"/>
      <c r="E134" s="487"/>
      <c r="F134" s="487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6" t="str">
        <f>+VLOOKUP(LEFT($A135,LEN(A135)-1)*1,Master!$D$25:$G$223,4,FALSE)</f>
        <v>Other expenditures</v>
      </c>
      <c r="C135" s="487"/>
      <c r="D135" s="487"/>
      <c r="E135" s="487"/>
      <c r="F135" s="487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6" t="str">
        <f>+VLOOKUP(LEFT($A136,LEN(A136)-1)*1,Master!$D$25:$G$223,4,FALSE)</f>
        <v>Current Capital Expenditure</v>
      </c>
      <c r="C136" s="487"/>
      <c r="D136" s="487"/>
      <c r="E136" s="487"/>
      <c r="F136" s="487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2" t="str">
        <f>+VLOOKUP(LEFT($A137,LEN(A137)-1)*1,Master!$D$25:$G$223,4,FALSE)</f>
        <v>Social Security Transfers</v>
      </c>
      <c r="C137" s="483"/>
      <c r="D137" s="483"/>
      <c r="E137" s="483"/>
      <c r="F137" s="483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6" t="str">
        <f>+VLOOKUP(LEFT($A138,LEN(A138)-1)*1,Master!$D$25:$G$223,4,FALSE)</f>
        <v>Social Security</v>
      </c>
      <c r="C138" s="487"/>
      <c r="D138" s="487"/>
      <c r="E138" s="487"/>
      <c r="F138" s="487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6" t="str">
        <f>+VLOOKUP(LEFT($A139,LEN(A139)-1)*1,Master!$D$25:$G$223,4,FALSE)</f>
        <v>Funds for redundant labor</v>
      </c>
      <c r="C139" s="487"/>
      <c r="D139" s="487"/>
      <c r="E139" s="487"/>
      <c r="F139" s="487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6" t="str">
        <f>+VLOOKUP(LEFT($A140,LEN(A140)-1)*1,Master!$D$25:$G$223,4,FALSE)</f>
        <v>Pension and Disability Insurance</v>
      </c>
      <c r="C140" s="487"/>
      <c r="D140" s="487"/>
      <c r="E140" s="487"/>
      <c r="F140" s="487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6" t="str">
        <f>+VLOOKUP(LEFT($A141,LEN(A141)-1)*1,Master!$D$25:$G$223,4,FALSE)</f>
        <v>Other Health Care Transfers</v>
      </c>
      <c r="C141" s="487"/>
      <c r="D141" s="487"/>
      <c r="E141" s="487"/>
      <c r="F141" s="487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6" t="str">
        <f>+VLOOKUP(LEFT($A142,LEN(A142)-1)*1,Master!$D$25:$G$223,4,FALSE)</f>
        <v>Other Health Care Insurance</v>
      </c>
      <c r="C142" s="487"/>
      <c r="D142" s="487"/>
      <c r="E142" s="487"/>
      <c r="F142" s="487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4" t="str">
        <f>+VLOOKUP(LEFT($A143,LEN(A143)-1)*1,Master!$D$25:$G$223,4,FALSE)</f>
        <v xml:space="preserve">Transfers to Institutions, Individuals, NGO and Public Sector </v>
      </c>
      <c r="C143" s="485"/>
      <c r="D143" s="485"/>
      <c r="E143" s="485"/>
      <c r="F143" s="485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4" t="str">
        <f>+VLOOKUP(LEFT($A144,LEN(A144)-1)*1,Master!$D$25:$G$223,4,FALSE)</f>
        <v>Capital Expenditure</v>
      </c>
      <c r="C144" s="485"/>
      <c r="D144" s="485"/>
      <c r="E144" s="485"/>
      <c r="F144" s="485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4" t="str">
        <f>+VLOOKUP(LEFT($A145,LEN(A145)-1)*1,Master!$D$25:$G$223,4,FALSE)</f>
        <v>Credits and Borrowings</v>
      </c>
      <c r="C145" s="455"/>
      <c r="D145" s="455"/>
      <c r="E145" s="455"/>
      <c r="F145" s="455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4" t="str">
        <f>+VLOOKUP(LEFT($A146,LEN(A146)-1)*1,Master!$D$25:$G$223,4,FALSE)</f>
        <v>Reserves</v>
      </c>
      <c r="C146" s="455"/>
      <c r="D146" s="455"/>
      <c r="E146" s="455"/>
      <c r="F146" s="455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2" t="str">
        <f>+VLOOKUP(LEFT($A147,LEN(A147)-1)*1,Master!$D$25:$G$223,4,FALSE)</f>
        <v>Repayment of Guarantees</v>
      </c>
      <c r="C147" s="473"/>
      <c r="D147" s="473"/>
      <c r="E147" s="473"/>
      <c r="F147" s="473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8" t="str">
        <f>+VLOOKUP(LEFT($A148,LEN(A148)-1)*1,Master!$D$25:$G$223,4,FALSE)</f>
        <v>Surplus / deficit</v>
      </c>
      <c r="C148" s="479"/>
      <c r="D148" s="479"/>
      <c r="E148" s="479"/>
      <c r="F148" s="479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80" t="str">
        <f>+VLOOKUP(LEFT($A149,LEN(A149)-1)*1,Master!$D$25:$G$223,4,FALSE)</f>
        <v>Primary balance</v>
      </c>
      <c r="C149" s="481"/>
      <c r="D149" s="481"/>
      <c r="E149" s="481"/>
      <c r="F149" s="481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2" t="str">
        <f>+VLOOKUP(LEFT($A150,LEN(A150)-1)*1,Master!$D$25:$G$223,4,FALSE)</f>
        <v>Repayment of Debt</v>
      </c>
      <c r="C150" s="483"/>
      <c r="D150" s="483"/>
      <c r="E150" s="483"/>
      <c r="F150" s="483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70" t="str">
        <f>+VLOOKUP(LEFT($A151,LEN(A151)-1)*1,Master!$D$25:$G$223,4,FALSE)</f>
        <v>Repayment of Domestic Debt</v>
      </c>
      <c r="C151" s="471"/>
      <c r="D151" s="471"/>
      <c r="E151" s="471"/>
      <c r="F151" s="471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4" t="str">
        <f>+VLOOKUP(LEFT($A152,LEN(A152)-1)*1,Master!$D$25:$G$223,4,FALSE)</f>
        <v>Repayment of Foreign Debt</v>
      </c>
      <c r="C152" s="455"/>
      <c r="D152" s="455"/>
      <c r="E152" s="455"/>
      <c r="F152" s="455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2" t="str">
        <f>+VLOOKUP(LEFT($A153,LEN(A153)-1)*1,Master!$D$25:$G$223,4,FALSE)</f>
        <v>Repayments of Arrears</v>
      </c>
      <c r="C153" s="473"/>
      <c r="D153" s="473"/>
      <c r="E153" s="473"/>
      <c r="F153" s="473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4" t="str">
        <f>+VLOOKUP(LEFT($A154,LEN(A154)-1)*1,Master!$D$25:$G$223,4,FALSE)</f>
        <v>Financing needs</v>
      </c>
      <c r="C154" s="475"/>
      <c r="D154" s="475"/>
      <c r="E154" s="475"/>
      <c r="F154" s="475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6" t="str">
        <f>+VLOOKUP(LEFT($A155,LEN(A155)-1)*1,Master!$D$25:$G$223,4,FALSE)</f>
        <v>Financing</v>
      </c>
      <c r="C155" s="477"/>
      <c r="D155" s="477"/>
      <c r="E155" s="477"/>
      <c r="F155" s="477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70" t="str">
        <f>+VLOOKUP(LEFT($A156,LEN(A156)-1)*1,Master!$D$25:$G$223,4,FALSE)</f>
        <v>Domestic Loans and Borrowings</v>
      </c>
      <c r="C156" s="471"/>
      <c r="D156" s="471"/>
      <c r="E156" s="471"/>
      <c r="F156" s="471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4" t="str">
        <f>+VLOOKUP(LEFT($A157,LEN(A157)-1)*1,Master!$D$25:$G$223,4,FALSE)</f>
        <v>Foreign Loans and Borrowings</v>
      </c>
      <c r="C157" s="455"/>
      <c r="D157" s="455"/>
      <c r="E157" s="455"/>
      <c r="F157" s="455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4" t="str">
        <f>+VLOOKUP(LEFT($A158,LEN(A158)-1)*1,Master!$D$25:$G$223,4,FALSE)</f>
        <v>Revenues from Selling Assets</v>
      </c>
      <c r="C158" s="455"/>
      <c r="D158" s="455"/>
      <c r="E158" s="455"/>
      <c r="F158" s="455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+VLOOKUP(LEFT($A159,LEN(A159)-1)*1,Master!$D$25:$G$223,4,FALSE)</f>
        <v>Increase / decrease of deposits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ET8" activePane="bottomRight" state="frozen"/>
      <selection pane="topRight" activeCell="F1" sqref="F1"/>
      <selection pane="bottomLeft" activeCell="A8" sqref="A8"/>
      <selection pane="bottomRight" activeCell="ET9" sqref="ET9:FC185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55" width="12.7109375" style="41" customWidth="1"/>
    <col min="156" max="158" width="13.7109375" style="41" bestFit="1" customWidth="1"/>
    <col min="159" max="159" width="12.85546875" style="41" bestFit="1" customWidth="1"/>
    <col min="160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5" t="s">
        <v>569</v>
      </c>
      <c r="F6" s="562">
        <v>2006</v>
      </c>
      <c r="G6" s="563"/>
      <c r="H6" s="563"/>
      <c r="I6" s="563"/>
      <c r="J6" s="563"/>
      <c r="K6" s="563"/>
      <c r="L6" s="563"/>
      <c r="M6" s="563"/>
      <c r="N6" s="563"/>
      <c r="O6" s="563"/>
      <c r="P6" s="563"/>
      <c r="Q6" s="564"/>
      <c r="R6" s="562">
        <v>2007</v>
      </c>
      <c r="S6" s="563"/>
      <c r="T6" s="563"/>
      <c r="U6" s="563"/>
      <c r="V6" s="563"/>
      <c r="W6" s="563"/>
      <c r="X6" s="563"/>
      <c r="Y6" s="563"/>
      <c r="Z6" s="563"/>
      <c r="AA6" s="563"/>
      <c r="AB6" s="563"/>
      <c r="AC6" s="564"/>
      <c r="AD6" s="562">
        <v>2008</v>
      </c>
      <c r="AE6" s="563"/>
      <c r="AF6" s="563"/>
      <c r="AG6" s="563"/>
      <c r="AH6" s="563"/>
      <c r="AI6" s="563"/>
      <c r="AJ6" s="563"/>
      <c r="AK6" s="563"/>
      <c r="AL6" s="563"/>
      <c r="AM6" s="563"/>
      <c r="AN6" s="563"/>
      <c r="AO6" s="564"/>
      <c r="AP6" s="562">
        <v>2009</v>
      </c>
      <c r="AQ6" s="563"/>
      <c r="AR6" s="563"/>
      <c r="AS6" s="563"/>
      <c r="AT6" s="563"/>
      <c r="AU6" s="563"/>
      <c r="AV6" s="563"/>
      <c r="AW6" s="563"/>
      <c r="AX6" s="563"/>
      <c r="AY6" s="563"/>
      <c r="AZ6" s="563"/>
      <c r="BA6" s="564"/>
      <c r="BB6" s="562">
        <v>2010</v>
      </c>
      <c r="BC6" s="563"/>
      <c r="BD6" s="563"/>
      <c r="BE6" s="563"/>
      <c r="BF6" s="563"/>
      <c r="BG6" s="563"/>
      <c r="BH6" s="563"/>
      <c r="BI6" s="563"/>
      <c r="BJ6" s="563"/>
      <c r="BK6" s="563"/>
      <c r="BL6" s="563"/>
      <c r="BM6" s="564"/>
      <c r="BN6" s="562">
        <v>2011</v>
      </c>
      <c r="BO6" s="563"/>
      <c r="BP6" s="563"/>
      <c r="BQ6" s="563"/>
      <c r="BR6" s="563"/>
      <c r="BS6" s="563"/>
      <c r="BT6" s="563"/>
      <c r="BU6" s="563"/>
      <c r="BV6" s="563"/>
      <c r="BW6" s="563"/>
      <c r="BX6" s="563"/>
      <c r="BY6" s="564"/>
      <c r="BZ6" s="563">
        <v>2012</v>
      </c>
      <c r="CA6" s="563"/>
      <c r="CB6" s="563"/>
      <c r="CC6" s="563"/>
      <c r="CD6" s="563"/>
      <c r="CE6" s="563"/>
      <c r="CF6" s="563"/>
      <c r="CG6" s="563"/>
      <c r="CH6" s="563"/>
      <c r="CI6" s="563"/>
      <c r="CJ6" s="563"/>
      <c r="CK6" s="563"/>
      <c r="CL6" s="562">
        <v>2013</v>
      </c>
      <c r="CM6" s="563"/>
      <c r="CN6" s="563"/>
      <c r="CO6" s="563"/>
      <c r="CP6" s="563"/>
      <c r="CQ6" s="563"/>
      <c r="CR6" s="563"/>
      <c r="CS6" s="563"/>
      <c r="CT6" s="563"/>
      <c r="CU6" s="563"/>
      <c r="CV6" s="563"/>
      <c r="CW6" s="564"/>
      <c r="CX6" s="562">
        <v>2014</v>
      </c>
      <c r="CY6" s="563"/>
      <c r="CZ6" s="563"/>
      <c r="DA6" s="563"/>
      <c r="DB6" s="563"/>
      <c r="DC6" s="563"/>
      <c r="DD6" s="563"/>
      <c r="DE6" s="563"/>
      <c r="DF6" s="563"/>
      <c r="DG6" s="563"/>
      <c r="DH6" s="563"/>
      <c r="DI6" s="564"/>
      <c r="DJ6" s="562">
        <v>2015</v>
      </c>
      <c r="DK6" s="563"/>
      <c r="DL6" s="563"/>
      <c r="DM6" s="563"/>
      <c r="DN6" s="563"/>
      <c r="DO6" s="563"/>
      <c r="DP6" s="563"/>
      <c r="DQ6" s="563"/>
      <c r="DR6" s="563"/>
      <c r="DS6" s="563"/>
      <c r="DT6" s="563"/>
      <c r="DU6" s="564"/>
    </row>
    <row r="7" spans="1:321">
      <c r="E7" s="565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708</v>
      </c>
      <c r="DW7" s="42" t="s">
        <v>709</v>
      </c>
      <c r="DX7" s="42" t="s">
        <v>710</v>
      </c>
      <c r="DY7" s="42" t="s">
        <v>711</v>
      </c>
      <c r="DZ7" s="42" t="s">
        <v>712</v>
      </c>
      <c r="EA7" s="42" t="s">
        <v>713</v>
      </c>
      <c r="EB7" s="42" t="s">
        <v>714</v>
      </c>
      <c r="EC7" s="42" t="s">
        <v>715</v>
      </c>
      <c r="ED7" s="42" t="s">
        <v>716</v>
      </c>
      <c r="EE7" s="42" t="s">
        <v>717</v>
      </c>
      <c r="EF7" s="42" t="s">
        <v>718</v>
      </c>
      <c r="EG7" s="42" t="s">
        <v>719</v>
      </c>
      <c r="EH7" s="42" t="s">
        <v>742</v>
      </c>
      <c r="EI7" s="42" t="s">
        <v>743</v>
      </c>
      <c r="EJ7" s="42" t="s">
        <v>744</v>
      </c>
      <c r="EK7" s="42" t="s">
        <v>745</v>
      </c>
      <c r="EL7" s="42" t="s">
        <v>746</v>
      </c>
      <c r="EM7" s="42" t="s">
        <v>747</v>
      </c>
      <c r="EN7" s="42" t="s">
        <v>748</v>
      </c>
      <c r="EO7" s="42" t="s">
        <v>749</v>
      </c>
      <c r="EP7" s="42" t="s">
        <v>750</v>
      </c>
      <c r="EQ7" s="42" t="s">
        <v>751</v>
      </c>
      <c r="ER7" s="42" t="s">
        <v>752</v>
      </c>
      <c r="ES7" s="42" t="s">
        <v>753</v>
      </c>
      <c r="ET7" s="397" t="s">
        <v>760</v>
      </c>
      <c r="EU7" s="397" t="s">
        <v>761</v>
      </c>
      <c r="EV7" s="397" t="s">
        <v>762</v>
      </c>
      <c r="EW7" s="397" t="s">
        <v>763</v>
      </c>
      <c r="EX7" s="397" t="s">
        <v>764</v>
      </c>
      <c r="EY7" s="397" t="s">
        <v>765</v>
      </c>
      <c r="EZ7" s="397" t="s">
        <v>766</v>
      </c>
      <c r="FA7" s="397" t="s">
        <v>767</v>
      </c>
      <c r="FB7" s="397" t="s">
        <v>768</v>
      </c>
      <c r="FC7" s="397" t="s">
        <v>769</v>
      </c>
      <c r="FD7" s="397" t="s">
        <v>770</v>
      </c>
      <c r="FE7" s="397" t="s">
        <v>771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31">
        <v>79855347.849999994</v>
      </c>
      <c r="EU9" s="431">
        <v>106190042</v>
      </c>
      <c r="EV9" s="431">
        <v>137417391.37</v>
      </c>
      <c r="EW9" s="431">
        <v>147833434.00999999</v>
      </c>
      <c r="EX9" s="431">
        <v>135934065.38</v>
      </c>
      <c r="EY9" s="431"/>
      <c r="EZ9" s="431"/>
      <c r="FA9" s="431"/>
      <c r="FB9" s="431"/>
      <c r="FC9" s="431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9">
        <v>60295851.509999998</v>
      </c>
      <c r="EU10" s="449">
        <v>64797597.329999998</v>
      </c>
      <c r="EV10" s="449">
        <v>89261850.609999999</v>
      </c>
      <c r="EW10" s="449">
        <v>97799793.079999998</v>
      </c>
      <c r="EX10" s="449">
        <v>90553351.069999993</v>
      </c>
      <c r="EY10" s="449">
        <v>87503254.430000007</v>
      </c>
      <c r="EZ10" s="449">
        <v>105015545.47</v>
      </c>
      <c r="FA10" s="449">
        <v>107951400.73999999</v>
      </c>
      <c r="FB10" s="449">
        <v>102839740.52</v>
      </c>
      <c r="FC10" s="449">
        <v>89707200.510000005</v>
      </c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431">
        <v>3496624.83</v>
      </c>
      <c r="EU11" s="431">
        <v>8897390.9499999993</v>
      </c>
      <c r="EV11" s="431">
        <v>10001520.890000001</v>
      </c>
      <c r="EW11" s="431">
        <v>9899613.5099999998</v>
      </c>
      <c r="EX11" s="431">
        <v>10330673.77</v>
      </c>
      <c r="EY11" s="431">
        <v>10475384.99</v>
      </c>
      <c r="EZ11" s="431">
        <v>11318576.82</v>
      </c>
      <c r="FA11" s="431">
        <v>11227078</v>
      </c>
      <c r="FB11" s="431">
        <v>9598204.1500000004</v>
      </c>
      <c r="FC11" s="431">
        <v>10275884.26</v>
      </c>
      <c r="FD11" s="376"/>
      <c r="FE11" s="376"/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431">
        <v>475602.8</v>
      </c>
      <c r="EU12" s="431">
        <v>1641570.62</v>
      </c>
      <c r="EV12" s="431">
        <v>22262597.649999999</v>
      </c>
      <c r="EW12" s="431">
        <v>18095823.48</v>
      </c>
      <c r="EX12" s="431">
        <v>3730435.57</v>
      </c>
      <c r="EY12" s="431">
        <v>3402383.37</v>
      </c>
      <c r="EZ12" s="431">
        <v>4232537.58</v>
      </c>
      <c r="FA12" s="431">
        <v>3499255.87</v>
      </c>
      <c r="FB12" s="431">
        <v>7173346.1399999997</v>
      </c>
      <c r="FC12" s="431">
        <v>1043872.54</v>
      </c>
      <c r="FD12" s="376"/>
      <c r="FE12" s="376"/>
      <c r="FF12" s="376"/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431">
        <v>93380.49</v>
      </c>
      <c r="EU13" s="431">
        <v>116565.53</v>
      </c>
      <c r="EV13" s="431">
        <v>203411.31</v>
      </c>
      <c r="EW13" s="431">
        <v>117398.62</v>
      </c>
      <c r="EX13" s="431">
        <v>143886.48000000001</v>
      </c>
      <c r="EY13" s="431">
        <v>122124.66</v>
      </c>
      <c r="EZ13" s="431">
        <v>114234.91</v>
      </c>
      <c r="FA13" s="431">
        <v>218611.11</v>
      </c>
      <c r="FB13" s="431">
        <v>148315.04999999999</v>
      </c>
      <c r="FC13" s="431">
        <v>155540.06</v>
      </c>
      <c r="FD13" s="376"/>
      <c r="FE13" s="376"/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431">
        <v>40926868.810000002</v>
      </c>
      <c r="EU14" s="431">
        <v>38270122.18</v>
      </c>
      <c r="EV14" s="431">
        <v>40510183.409999996</v>
      </c>
      <c r="EW14" s="431">
        <v>50343037.649999999</v>
      </c>
      <c r="EX14" s="431">
        <v>53847636.579999998</v>
      </c>
      <c r="EY14" s="431">
        <v>52130099.289999999</v>
      </c>
      <c r="EZ14" s="431">
        <v>63886169.009999998</v>
      </c>
      <c r="FA14" s="431">
        <v>64152277.310000002</v>
      </c>
      <c r="FB14" s="431">
        <v>57402321.350000001</v>
      </c>
      <c r="FC14" s="431">
        <v>56740213.189999998</v>
      </c>
      <c r="FD14" s="376"/>
      <c r="FE14" s="376"/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431">
        <v>13370061.67</v>
      </c>
      <c r="EU15" s="431">
        <v>13585674.48</v>
      </c>
      <c r="EV15" s="431">
        <v>13376493.630000001</v>
      </c>
      <c r="EW15" s="431">
        <v>16425170.310000001</v>
      </c>
      <c r="EX15" s="431">
        <v>19160303.329999998</v>
      </c>
      <c r="EY15" s="431">
        <v>18124078.879999999</v>
      </c>
      <c r="EZ15" s="431">
        <v>21799989.129999999</v>
      </c>
      <c r="FA15" s="431">
        <v>25150486.629999999</v>
      </c>
      <c r="FB15" s="431">
        <v>25504339.800000001</v>
      </c>
      <c r="FC15" s="431">
        <v>18141856.039999999</v>
      </c>
      <c r="FD15" s="376"/>
      <c r="FE15" s="376"/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431">
        <v>1218936.71</v>
      </c>
      <c r="EU16" s="431">
        <v>1678360</v>
      </c>
      <c r="EV16" s="431">
        <v>2228428.98</v>
      </c>
      <c r="EW16" s="431">
        <v>2192466.4500000002</v>
      </c>
      <c r="EX16" s="431">
        <v>2597651.13</v>
      </c>
      <c r="EY16" s="431">
        <v>2330703.23</v>
      </c>
      <c r="EZ16" s="431">
        <v>2801895.93</v>
      </c>
      <c r="FA16" s="431">
        <v>2858882.98</v>
      </c>
      <c r="FB16" s="431">
        <v>2205218.35</v>
      </c>
      <c r="FC16" s="431">
        <v>2570061.1800000002</v>
      </c>
      <c r="FD16" s="376"/>
      <c r="FE16" s="376"/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431">
        <v>714376.2</v>
      </c>
      <c r="EU17" s="431">
        <v>607913.56999999995</v>
      </c>
      <c r="EV17" s="431">
        <v>679214.74</v>
      </c>
      <c r="EW17" s="431">
        <v>726283.06</v>
      </c>
      <c r="EX17" s="431">
        <v>742764.21</v>
      </c>
      <c r="EY17" s="431">
        <v>918480.01</v>
      </c>
      <c r="EZ17" s="431">
        <v>862142.09</v>
      </c>
      <c r="FA17" s="431">
        <v>844808.84</v>
      </c>
      <c r="FB17" s="431">
        <v>807995.68</v>
      </c>
      <c r="FC17" s="431">
        <v>779773.24</v>
      </c>
      <c r="FD17" s="376"/>
      <c r="FE17" s="376"/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449">
        <v>14572676.99</v>
      </c>
      <c r="EU18" s="449">
        <v>36938118.07</v>
      </c>
      <c r="EV18" s="449">
        <v>43053255.969999999</v>
      </c>
      <c r="EW18" s="449">
        <v>41029948</v>
      </c>
      <c r="EX18" s="449">
        <v>40388291.549999997</v>
      </c>
      <c r="EY18" s="449">
        <v>42077356.240000002</v>
      </c>
      <c r="EZ18" s="449">
        <v>45673467.219999999</v>
      </c>
      <c r="FA18" s="449">
        <v>45633852.549999997</v>
      </c>
      <c r="FB18" s="449">
        <v>41964422.920000002</v>
      </c>
      <c r="FC18" s="449">
        <v>47821348.07</v>
      </c>
      <c r="FD18" s="378"/>
      <c r="FE18" s="378"/>
      <c r="FF18" s="378"/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431">
        <v>8994145.9900000002</v>
      </c>
      <c r="EU19" s="431">
        <v>22424749.280000001</v>
      </c>
      <c r="EV19" s="431">
        <v>26103027.100000001</v>
      </c>
      <c r="EW19" s="431">
        <v>24891690.100000001</v>
      </c>
      <c r="EX19" s="431">
        <v>24475000.460000001</v>
      </c>
      <c r="EY19" s="431">
        <v>25149415.170000002</v>
      </c>
      <c r="EZ19" s="431">
        <v>27081123.02</v>
      </c>
      <c r="FA19" s="431">
        <v>27031179.09</v>
      </c>
      <c r="FB19" s="431">
        <v>25382505.710000001</v>
      </c>
      <c r="FC19" s="431">
        <v>29472537.77</v>
      </c>
      <c r="FD19" s="376"/>
      <c r="FE19" s="376"/>
      <c r="FF19" s="376"/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431">
        <v>4907250.76</v>
      </c>
      <c r="EU20" s="431">
        <v>12702016.77</v>
      </c>
      <c r="EV20" s="431">
        <v>14741947.74</v>
      </c>
      <c r="EW20" s="431">
        <v>14077229.140000001</v>
      </c>
      <c r="EX20" s="431">
        <v>13944751.890000001</v>
      </c>
      <c r="EY20" s="431">
        <v>14898396.42</v>
      </c>
      <c r="EZ20" s="431">
        <v>16253748.59</v>
      </c>
      <c r="FA20" s="431">
        <v>16257992.279999999</v>
      </c>
      <c r="FB20" s="431">
        <v>14479735.869999999</v>
      </c>
      <c r="FC20" s="431">
        <v>16132677.16</v>
      </c>
      <c r="FD20" s="376"/>
      <c r="FE20" s="376"/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431">
        <v>365962.97</v>
      </c>
      <c r="EU21" s="431">
        <v>960588.74</v>
      </c>
      <c r="EV21" s="431">
        <v>1116426.95</v>
      </c>
      <c r="EW21" s="431">
        <v>1036934.31</v>
      </c>
      <c r="EX21" s="431">
        <v>1027117.44</v>
      </c>
      <c r="EY21" s="431">
        <v>1092483.07</v>
      </c>
      <c r="EZ21" s="431">
        <v>1188738.43</v>
      </c>
      <c r="FA21" s="431">
        <v>1194470.45</v>
      </c>
      <c r="FB21" s="431">
        <v>1084116.54</v>
      </c>
      <c r="FC21" s="431">
        <v>1217359.6499999999</v>
      </c>
      <c r="FD21" s="376"/>
      <c r="FE21" s="376"/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431">
        <v>305317.27</v>
      </c>
      <c r="EU22" s="431">
        <v>850763.28</v>
      </c>
      <c r="EV22" s="431">
        <v>1091854.18</v>
      </c>
      <c r="EW22" s="431">
        <v>1024094.45</v>
      </c>
      <c r="EX22" s="431">
        <v>941421.76</v>
      </c>
      <c r="EY22" s="431">
        <v>937061.58</v>
      </c>
      <c r="EZ22" s="431">
        <v>1149857.18</v>
      </c>
      <c r="FA22" s="431">
        <v>1150210.73</v>
      </c>
      <c r="FB22" s="431">
        <v>1018064.8</v>
      </c>
      <c r="FC22" s="431">
        <v>998773.49</v>
      </c>
      <c r="FD22" s="376"/>
      <c r="FE22" s="376"/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449">
        <v>785627.24</v>
      </c>
      <c r="EU23" s="449">
        <v>993423.94</v>
      </c>
      <c r="EV23" s="449">
        <v>1089343.29</v>
      </c>
      <c r="EW23" s="449">
        <v>1198538.77</v>
      </c>
      <c r="EX23" s="449">
        <v>1382138.78</v>
      </c>
      <c r="EY23" s="449">
        <v>1616613.69</v>
      </c>
      <c r="EZ23" s="449">
        <v>2005610.72</v>
      </c>
      <c r="FA23" s="449">
        <v>1882210.04</v>
      </c>
      <c r="FB23" s="449">
        <v>1545122.56</v>
      </c>
      <c r="FC23" s="449">
        <v>1510208.2</v>
      </c>
      <c r="FD23" s="378"/>
      <c r="FE23" s="378"/>
      <c r="FF23" s="378"/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431">
        <v>572123.71</v>
      </c>
      <c r="EU24" s="431">
        <v>691468.91</v>
      </c>
      <c r="EV24" s="431">
        <v>803456.79</v>
      </c>
      <c r="EW24" s="431">
        <v>905119.47</v>
      </c>
      <c r="EX24" s="431">
        <v>1028480.47</v>
      </c>
      <c r="EY24" s="431">
        <v>1082365.3400000001</v>
      </c>
      <c r="EZ24" s="431">
        <v>1190929.1200000001</v>
      </c>
      <c r="FA24" s="431">
        <v>1077861.3</v>
      </c>
      <c r="FB24" s="431">
        <v>936074.99</v>
      </c>
      <c r="FC24" s="431">
        <v>992644.36</v>
      </c>
      <c r="FD24" s="376"/>
      <c r="FE24" s="376"/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431">
        <v>93434.6</v>
      </c>
      <c r="EU25" s="431">
        <v>109385.74</v>
      </c>
      <c r="EV25" s="431">
        <v>120777.01</v>
      </c>
      <c r="EW25" s="431">
        <v>107766.04</v>
      </c>
      <c r="EX25" s="431">
        <v>105374.49</v>
      </c>
      <c r="EY25" s="431">
        <v>116225.41</v>
      </c>
      <c r="EZ25" s="431">
        <v>115266.9</v>
      </c>
      <c r="FA25" s="431">
        <v>79847.83</v>
      </c>
      <c r="FB25" s="431">
        <v>98906.81</v>
      </c>
      <c r="FC25" s="431">
        <v>105125.41</v>
      </c>
      <c r="FD25" s="376"/>
      <c r="FE25" s="376"/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431">
        <v>21633.83</v>
      </c>
      <c r="EU26" s="431">
        <v>24453.21</v>
      </c>
      <c r="EV26" s="431">
        <v>30364.14</v>
      </c>
      <c r="EW26" s="431">
        <v>45135.75</v>
      </c>
      <c r="EX26" s="431">
        <v>73298.429999999993</v>
      </c>
      <c r="EY26" s="431">
        <v>154167.12</v>
      </c>
      <c r="EZ26" s="431">
        <v>354192.61</v>
      </c>
      <c r="FA26" s="431">
        <v>425912.93</v>
      </c>
      <c r="FB26" s="431">
        <v>234762.1</v>
      </c>
      <c r="FC26" s="431">
        <v>119042.18</v>
      </c>
      <c r="FD26" s="376"/>
      <c r="FE26" s="376"/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431">
        <v>98435.1</v>
      </c>
      <c r="EU27" s="431">
        <v>168116.08</v>
      </c>
      <c r="EV27" s="431">
        <v>134745.35</v>
      </c>
      <c r="EW27" s="431">
        <v>140517.51</v>
      </c>
      <c r="EX27" s="431">
        <v>174985.39</v>
      </c>
      <c r="EY27" s="431">
        <v>187015.15</v>
      </c>
      <c r="EZ27" s="431">
        <v>296943.90999999997</v>
      </c>
      <c r="FA27" s="431">
        <v>298587.98</v>
      </c>
      <c r="FB27" s="431">
        <v>275378.65999999997</v>
      </c>
      <c r="FC27" s="431">
        <v>293396.25</v>
      </c>
      <c r="FD27" s="376"/>
      <c r="FE27" s="376"/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449">
        <v>1774503.57</v>
      </c>
      <c r="EU28" s="449">
        <v>1885893.46</v>
      </c>
      <c r="EV28" s="449">
        <v>2001213.06</v>
      </c>
      <c r="EW28" s="449">
        <v>2389766.7799999998</v>
      </c>
      <c r="EX28" s="449">
        <v>1530724.52</v>
      </c>
      <c r="EY28" s="449">
        <v>2860047.35</v>
      </c>
      <c r="EZ28" s="449">
        <v>3039336.91</v>
      </c>
      <c r="FA28" s="449">
        <v>1937135.94</v>
      </c>
      <c r="FB28" s="449">
        <v>1933671.64</v>
      </c>
      <c r="FC28" s="449">
        <v>2347083.83</v>
      </c>
      <c r="FD28" s="378"/>
      <c r="FE28" s="378"/>
      <c r="FF28" s="378"/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431">
        <v>29715.1</v>
      </c>
      <c r="EU29" s="431">
        <v>46180.29</v>
      </c>
      <c r="EV29" s="431">
        <v>18063.61</v>
      </c>
      <c r="EW29" s="431">
        <v>83410.44</v>
      </c>
      <c r="EX29" s="431">
        <v>66835.44</v>
      </c>
      <c r="EY29" s="431">
        <v>101713.07</v>
      </c>
      <c r="EZ29" s="431">
        <v>104118.29</v>
      </c>
      <c r="FA29" s="431">
        <v>118234.07</v>
      </c>
      <c r="FB29" s="431">
        <v>81006.02</v>
      </c>
      <c r="FC29" s="431">
        <v>57855.839999999997</v>
      </c>
      <c r="FD29" s="376"/>
      <c r="FE29" s="376"/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431">
        <v>120406.14</v>
      </c>
      <c r="EU30" s="431">
        <v>138658.04999999999</v>
      </c>
      <c r="EV30" s="431">
        <v>485233.25</v>
      </c>
      <c r="EW30" s="431">
        <v>85828.09</v>
      </c>
      <c r="EX30" s="431">
        <v>283390.12</v>
      </c>
      <c r="EY30" s="431">
        <v>262222.99</v>
      </c>
      <c r="EZ30" s="431">
        <v>403048.88</v>
      </c>
      <c r="FA30" s="431">
        <v>378574.18</v>
      </c>
      <c r="FB30" s="431">
        <v>265996.12</v>
      </c>
      <c r="FC30" s="431">
        <v>294470.17</v>
      </c>
      <c r="FD30" s="376"/>
      <c r="FE30" s="376"/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431">
        <v>1567.64</v>
      </c>
      <c r="EU31" s="431">
        <v>1648.75</v>
      </c>
      <c r="EV31" s="431">
        <v>4833.8900000000003</v>
      </c>
      <c r="EW31" s="431">
        <v>82035.429999999993</v>
      </c>
      <c r="EX31" s="431">
        <v>32311.79</v>
      </c>
      <c r="EY31" s="431">
        <v>65947.759999999995</v>
      </c>
      <c r="EZ31" s="431">
        <v>6390.76</v>
      </c>
      <c r="FA31" s="431">
        <v>1900.91</v>
      </c>
      <c r="FB31" s="431">
        <v>2654.64</v>
      </c>
      <c r="FC31" s="431">
        <v>65997.5</v>
      </c>
      <c r="FD31" s="376"/>
      <c r="FE31" s="376"/>
      <c r="FF31" s="376"/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772</v>
      </c>
      <c r="EN32" s="376" t="s">
        <v>773</v>
      </c>
      <c r="EO32" s="376">
        <v>608693.02</v>
      </c>
      <c r="EP32" s="376" t="s">
        <v>774</v>
      </c>
      <c r="EQ32" s="376">
        <v>179273.43</v>
      </c>
      <c r="ER32" s="376" t="s">
        <v>775</v>
      </c>
      <c r="ES32" s="376"/>
      <c r="ET32" s="431">
        <v>564026.22</v>
      </c>
      <c r="EU32" s="431">
        <v>552007.56999999995</v>
      </c>
      <c r="EV32" s="431">
        <v>707063.83</v>
      </c>
      <c r="EW32" s="431">
        <v>581397.98</v>
      </c>
      <c r="EX32" s="431">
        <v>573080.97</v>
      </c>
      <c r="EY32" s="431">
        <v>1574566.11</v>
      </c>
      <c r="EZ32" s="431">
        <v>955585.38</v>
      </c>
      <c r="FA32" s="431">
        <v>689826.98</v>
      </c>
      <c r="FB32" s="431">
        <v>742579.81</v>
      </c>
      <c r="FC32" s="431">
        <v>640790.87</v>
      </c>
      <c r="FD32" s="376"/>
      <c r="FE32" s="376"/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431">
        <v>202641</v>
      </c>
      <c r="EU33" s="431">
        <v>112102.37</v>
      </c>
      <c r="EV33" s="431">
        <v>275039.51</v>
      </c>
      <c r="EW33" s="431">
        <v>232219.69</v>
      </c>
      <c r="EX33" s="431">
        <v>259238.01</v>
      </c>
      <c r="EY33" s="431">
        <v>411052.69</v>
      </c>
      <c r="EZ33" s="431">
        <v>416479.29</v>
      </c>
      <c r="FA33" s="431">
        <v>355497.06</v>
      </c>
      <c r="FB33" s="431">
        <v>254769.26</v>
      </c>
      <c r="FC33" s="431">
        <v>270007.81</v>
      </c>
      <c r="FD33" s="376"/>
      <c r="FE33" s="376"/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431">
        <v>856147.47</v>
      </c>
      <c r="EU34" s="431">
        <v>1035296.43</v>
      </c>
      <c r="EV34" s="431">
        <v>510978.97</v>
      </c>
      <c r="EW34" s="431">
        <v>1324875.1499999999</v>
      </c>
      <c r="EX34" s="431">
        <v>315868.19</v>
      </c>
      <c r="EY34" s="431">
        <v>444544.73</v>
      </c>
      <c r="EZ34" s="431">
        <v>1153714.31</v>
      </c>
      <c r="FA34" s="431">
        <v>393102.74</v>
      </c>
      <c r="FB34" s="431">
        <v>586665.79</v>
      </c>
      <c r="FC34" s="431">
        <v>1017961.64</v>
      </c>
      <c r="FD34" s="376"/>
      <c r="FE34" s="376"/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449">
        <v>2425520.81</v>
      </c>
      <c r="EU35" s="449">
        <v>1609741.96</v>
      </c>
      <c r="EV35" s="449">
        <v>2046839.31</v>
      </c>
      <c r="EW35" s="449">
        <v>5482431.4299999997</v>
      </c>
      <c r="EX35" s="449">
        <v>2149512.65</v>
      </c>
      <c r="EY35" s="449">
        <v>2742352.51</v>
      </c>
      <c r="EZ35" s="449">
        <v>3928944.25</v>
      </c>
      <c r="FA35" s="449">
        <v>3453341.6</v>
      </c>
      <c r="FB35" s="449">
        <v>37466612.939999998</v>
      </c>
      <c r="FC35" s="449">
        <v>2296014.21</v>
      </c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450">
        <v>757682.7</v>
      </c>
      <c r="EU36" s="431">
        <v>26758.59</v>
      </c>
      <c r="EV36" s="431">
        <v>211659.24</v>
      </c>
      <c r="EW36" s="431">
        <v>1943319.77</v>
      </c>
      <c r="EX36" s="431">
        <v>60036.480000000003</v>
      </c>
      <c r="EY36" s="431">
        <v>94564.29</v>
      </c>
      <c r="EZ36" s="431">
        <v>72664.45</v>
      </c>
      <c r="FA36" s="431">
        <v>22307.16</v>
      </c>
      <c r="FB36" s="431">
        <v>35372327.289999999</v>
      </c>
      <c r="FC36" s="431">
        <v>30988.080000000002</v>
      </c>
      <c r="FD36" s="376"/>
      <c r="FE36" s="376"/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431">
        <v>657232.74</v>
      </c>
      <c r="EU37" s="431">
        <v>844736.49</v>
      </c>
      <c r="EV37" s="431">
        <v>860879.6</v>
      </c>
      <c r="EW37" s="431">
        <v>1001033.47</v>
      </c>
      <c r="EX37" s="431">
        <v>876009.07</v>
      </c>
      <c r="EY37" s="431">
        <v>1142440.52</v>
      </c>
      <c r="EZ37" s="431">
        <v>1852548.72</v>
      </c>
      <c r="FA37" s="431">
        <v>1714580.38</v>
      </c>
      <c r="FB37" s="431">
        <v>1010493.42</v>
      </c>
      <c r="FC37" s="431">
        <v>1060224.75</v>
      </c>
      <c r="FD37" s="376"/>
      <c r="FE37" s="376"/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431">
        <v>126122.18</v>
      </c>
      <c r="EU38" s="431">
        <v>179834.33</v>
      </c>
      <c r="EV38" s="431">
        <v>220071.26</v>
      </c>
      <c r="EW38" s="431">
        <v>266646.62</v>
      </c>
      <c r="EX38" s="431">
        <v>315030.67</v>
      </c>
      <c r="EY38" s="431">
        <v>421466.02</v>
      </c>
      <c r="EZ38" s="431">
        <v>448738.97</v>
      </c>
      <c r="FA38" s="431">
        <v>248887.25</v>
      </c>
      <c r="FB38" s="431">
        <v>289424.78000000003</v>
      </c>
      <c r="FC38" s="431">
        <v>309001.24</v>
      </c>
      <c r="FD38" s="376"/>
      <c r="FE38" s="376"/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431">
        <v>884483.19</v>
      </c>
      <c r="EU39" s="431">
        <v>558412.55000000005</v>
      </c>
      <c r="EV39" s="431">
        <v>754229.21</v>
      </c>
      <c r="EW39" s="431">
        <v>2271431.5699999998</v>
      </c>
      <c r="EX39" s="431">
        <v>900361.61</v>
      </c>
      <c r="EY39" s="431">
        <v>1083396.1299999999</v>
      </c>
      <c r="EZ39" s="431">
        <v>1396821.89</v>
      </c>
      <c r="FA39" s="431">
        <v>1467566.13</v>
      </c>
      <c r="FB39" s="431">
        <v>794367.45</v>
      </c>
      <c r="FC39" s="431">
        <v>895800.14</v>
      </c>
      <c r="FD39" s="376"/>
      <c r="FE39" s="376"/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449">
        <v>136671.79999999999</v>
      </c>
      <c r="EU40" s="449">
        <v>273046.61</v>
      </c>
      <c r="EV40" s="449">
        <v>2343256.64</v>
      </c>
      <c r="EW40" s="449">
        <v>108273.11</v>
      </c>
      <c r="EX40" s="449">
        <v>215845.16</v>
      </c>
      <c r="EY40" s="449">
        <v>10312117.130000001</v>
      </c>
      <c r="EZ40" s="449">
        <v>406327.81</v>
      </c>
      <c r="FA40" s="449">
        <v>257929.95</v>
      </c>
      <c r="FB40" s="449">
        <v>223709.29</v>
      </c>
      <c r="FC40" s="449">
        <v>158760.32999999999</v>
      </c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31"/>
      <c r="EU41" s="431"/>
      <c r="EV41" s="431"/>
      <c r="EW41" s="431"/>
      <c r="EX41" s="431"/>
      <c r="EY41" s="431"/>
      <c r="EZ41" s="431"/>
      <c r="FA41" s="431"/>
      <c r="FB41" s="431"/>
      <c r="FC41" s="431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31"/>
      <c r="EU42" s="431"/>
      <c r="EV42" s="431"/>
      <c r="EW42" s="431"/>
      <c r="EX42" s="431"/>
      <c r="EY42" s="431"/>
      <c r="EZ42" s="431"/>
      <c r="FA42" s="431"/>
      <c r="FB42" s="431"/>
      <c r="FC42" s="431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449">
        <v>172043.05</v>
      </c>
      <c r="EU43" s="449">
        <v>78777.210000000006</v>
      </c>
      <c r="EV43" s="449">
        <v>195694.06</v>
      </c>
      <c r="EW43" s="449">
        <v>433978.03</v>
      </c>
      <c r="EX43" s="449">
        <v>1090667.1299999999</v>
      </c>
      <c r="EY43" s="449">
        <v>2374577.77</v>
      </c>
      <c r="EZ43" s="449">
        <v>178131.97</v>
      </c>
      <c r="FA43" s="449">
        <v>146792.74</v>
      </c>
      <c r="FB43" s="449">
        <v>907089.49</v>
      </c>
      <c r="FC43" s="449">
        <v>525509.51</v>
      </c>
      <c r="FD43" s="378"/>
      <c r="FE43" s="378"/>
      <c r="FF43" s="378"/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31"/>
      <c r="EU44" s="431"/>
      <c r="EV44" s="431"/>
      <c r="EW44" s="431"/>
      <c r="EX44" s="431"/>
      <c r="EY44" s="431"/>
      <c r="EZ44" s="431"/>
      <c r="FA44" s="431"/>
      <c r="FB44" s="431"/>
      <c r="FC44" s="431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31"/>
      <c r="EU45" s="431"/>
      <c r="EV45" s="431"/>
      <c r="EW45" s="431"/>
      <c r="EX45" s="431"/>
      <c r="EY45" s="431"/>
      <c r="EZ45" s="431"/>
      <c r="FA45" s="431"/>
      <c r="FB45" s="431"/>
      <c r="FC45" s="431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449">
        <v>1518621.66</v>
      </c>
      <c r="EU46" s="449">
        <v>776556.18</v>
      </c>
      <c r="EV46" s="449">
        <v>1210159.24</v>
      </c>
      <c r="EW46" s="449">
        <v>8493510.6400000006</v>
      </c>
      <c r="EX46" s="449">
        <v>1746477.29</v>
      </c>
      <c r="EY46" s="449">
        <v>1534287.36</v>
      </c>
      <c r="EZ46" s="449">
        <v>778731.38</v>
      </c>
      <c r="FA46" s="449">
        <v>259046.56</v>
      </c>
      <c r="FB46" s="449">
        <v>658145.13</v>
      </c>
      <c r="FC46" s="449">
        <v>1515704.84</v>
      </c>
      <c r="FD46" s="378"/>
      <c r="FE46" s="378"/>
      <c r="FF46" s="378"/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31"/>
      <c r="EU47" s="431"/>
      <c r="EV47" s="431"/>
      <c r="EW47" s="431"/>
      <c r="EX47" s="431"/>
      <c r="EY47" s="431"/>
      <c r="EZ47" s="431"/>
      <c r="FA47" s="431"/>
      <c r="FB47" s="431"/>
      <c r="FC47" s="431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31"/>
      <c r="EU48" s="431"/>
      <c r="EV48" s="431"/>
      <c r="EW48" s="431"/>
      <c r="EX48" s="431"/>
      <c r="EY48" s="431"/>
      <c r="EZ48" s="431"/>
      <c r="FA48" s="431"/>
      <c r="FB48" s="431"/>
      <c r="FC48" s="431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449">
        <v>24756264.800000001</v>
      </c>
      <c r="EU49" s="449">
        <v>75548588.189999998</v>
      </c>
      <c r="EV49" s="449">
        <v>25944700.27</v>
      </c>
      <c r="EW49" s="449">
        <v>125398354.06999999</v>
      </c>
      <c r="EX49" s="449">
        <v>7673073.0999999996</v>
      </c>
      <c r="EY49" s="449">
        <v>16114636.85</v>
      </c>
      <c r="EZ49" s="449">
        <v>21115189.899999999</v>
      </c>
      <c r="FA49" s="449">
        <v>59204639.390000001</v>
      </c>
      <c r="FB49" s="449">
        <v>16543114.029999999</v>
      </c>
      <c r="FC49" s="449">
        <v>18810730.620000001</v>
      </c>
      <c r="FD49" s="378"/>
      <c r="FE49" s="378"/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31"/>
      <c r="EU50" s="431"/>
      <c r="EV50" s="431"/>
      <c r="EW50" s="431"/>
      <c r="EX50" s="431"/>
      <c r="EY50" s="431"/>
      <c r="EZ50" s="431"/>
      <c r="FA50" s="431"/>
      <c r="FB50" s="431"/>
      <c r="FC50" s="431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450">
        <v>24535941.960000001</v>
      </c>
      <c r="EU51" s="450">
        <v>75357443.420000002</v>
      </c>
      <c r="EV51" s="450">
        <v>20706614.620000001</v>
      </c>
      <c r="EW51" s="431">
        <v>0</v>
      </c>
      <c r="EX51" s="431">
        <v>0</v>
      </c>
      <c r="EY51" s="431"/>
      <c r="EZ51" s="431">
        <v>18000000</v>
      </c>
      <c r="FA51" s="431">
        <v>59000000</v>
      </c>
      <c r="FB51" s="431"/>
      <c r="FC51" s="431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450">
        <v>220322.84</v>
      </c>
      <c r="EU52" s="450">
        <v>191078.77</v>
      </c>
      <c r="EV52" s="450">
        <v>5238085.6500000004</v>
      </c>
      <c r="EW52" s="431">
        <v>125398354.06999999</v>
      </c>
      <c r="EX52" s="431">
        <v>7673073.0999999996</v>
      </c>
      <c r="EY52" s="431">
        <v>266189636.84999999</v>
      </c>
      <c r="EZ52" s="431">
        <v>15363581.189999999</v>
      </c>
      <c r="FA52" s="431">
        <v>13117458.42</v>
      </c>
      <c r="FB52" s="431">
        <v>16543114.029999999</v>
      </c>
      <c r="FC52" s="431">
        <v>18810730.620000001</v>
      </c>
      <c r="FD52" s="376"/>
      <c r="FE52" s="376"/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431">
        <v>104498495.13</v>
      </c>
      <c r="EU53" s="431">
        <v>123153743.48</v>
      </c>
      <c r="EV53" s="431">
        <v>192481569.78999999</v>
      </c>
      <c r="EW53" s="431">
        <v>172255329.59999999</v>
      </c>
      <c r="EX53" s="431">
        <v>218705424.59</v>
      </c>
      <c r="EY53" s="431"/>
      <c r="EZ53" s="431"/>
      <c r="FA53" s="431"/>
      <c r="FB53" s="431"/>
      <c r="FC53" s="431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431">
        <v>17822596.359999999</v>
      </c>
      <c r="EU54" s="431">
        <v>53222053.950000003</v>
      </c>
      <c r="EV54" s="431">
        <v>94277740.469999999</v>
      </c>
      <c r="EW54" s="431">
        <v>59024234.859999999</v>
      </c>
      <c r="EX54" s="431">
        <v>57053271.649999999</v>
      </c>
      <c r="EY54" s="431"/>
      <c r="EZ54" s="431"/>
      <c r="FA54" s="431"/>
      <c r="FB54" s="431"/>
      <c r="FC54" s="431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431">
        <v>37313745.240000002</v>
      </c>
      <c r="EU55" s="431">
        <v>38053361.399999999</v>
      </c>
      <c r="EV55" s="431">
        <v>36623552.420000002</v>
      </c>
      <c r="EW55" s="431">
        <v>38350938.119999997</v>
      </c>
      <c r="EX55" s="431">
        <v>38447534.82</v>
      </c>
      <c r="EY55" s="431">
        <v>38983346.57</v>
      </c>
      <c r="EZ55" s="431">
        <v>37411972.93</v>
      </c>
      <c r="FA55" s="431">
        <v>36767851.93</v>
      </c>
      <c r="FB55" s="431">
        <v>38163591.060000002</v>
      </c>
      <c r="FC55" s="431">
        <v>39555636.280000001</v>
      </c>
      <c r="FD55" s="376"/>
      <c r="FE55" s="376"/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431"/>
      <c r="EU56" s="431"/>
      <c r="EV56" s="431"/>
      <c r="EW56" s="431"/>
      <c r="EX56" s="431"/>
      <c r="EY56" s="431"/>
      <c r="EZ56" s="431"/>
      <c r="FA56" s="431"/>
      <c r="FB56" s="431"/>
      <c r="FC56" s="431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431"/>
      <c r="EU57" s="431"/>
      <c r="EV57" s="431"/>
      <c r="EW57" s="431"/>
      <c r="EX57" s="431"/>
      <c r="EY57" s="431"/>
      <c r="EZ57" s="431"/>
      <c r="FA57" s="431"/>
      <c r="FB57" s="431"/>
      <c r="FC57" s="431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431"/>
      <c r="EU58" s="431"/>
      <c r="EV58" s="431"/>
      <c r="EW58" s="431"/>
      <c r="EX58" s="431"/>
      <c r="EY58" s="431"/>
      <c r="EZ58" s="431"/>
      <c r="FA58" s="431"/>
      <c r="FB58" s="431"/>
      <c r="FC58" s="431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431"/>
      <c r="EU59" s="431"/>
      <c r="EV59" s="431"/>
      <c r="EW59" s="431"/>
      <c r="EX59" s="431"/>
      <c r="EY59" s="431"/>
      <c r="EZ59" s="431"/>
      <c r="FA59" s="431"/>
      <c r="FB59" s="431"/>
      <c r="FC59" s="431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431"/>
      <c r="EU60" s="431"/>
      <c r="EV60" s="431"/>
      <c r="EW60" s="431"/>
      <c r="EX60" s="431"/>
      <c r="EY60" s="431"/>
      <c r="EZ60" s="431"/>
      <c r="FA60" s="431"/>
      <c r="FB60" s="431"/>
      <c r="FC60" s="431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431">
        <v>363127.64</v>
      </c>
      <c r="EU61" s="431">
        <v>848575.97</v>
      </c>
      <c r="EV61" s="431">
        <v>933832.27</v>
      </c>
      <c r="EW61" s="431">
        <v>983620.43</v>
      </c>
      <c r="EX61" s="431">
        <v>835475.63</v>
      </c>
      <c r="EY61" s="431">
        <v>1164263.1200000001</v>
      </c>
      <c r="EZ61" s="431">
        <v>853949.13</v>
      </c>
      <c r="FA61" s="431">
        <v>804909.73</v>
      </c>
      <c r="FB61" s="431">
        <v>963637.57</v>
      </c>
      <c r="FC61" s="431">
        <v>1011368.26</v>
      </c>
      <c r="FD61" s="376"/>
      <c r="FE61" s="376"/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31"/>
      <c r="EU62" s="431"/>
      <c r="EV62" s="431"/>
      <c r="EW62" s="431"/>
      <c r="EX62" s="431"/>
      <c r="EY62" s="431"/>
      <c r="EZ62" s="431"/>
      <c r="FA62" s="431"/>
      <c r="FB62" s="431"/>
      <c r="FC62" s="431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31"/>
      <c r="EU63" s="431"/>
      <c r="EV63" s="431"/>
      <c r="EW63" s="431"/>
      <c r="EX63" s="431"/>
      <c r="EY63" s="431"/>
      <c r="EZ63" s="431"/>
      <c r="FA63" s="431"/>
      <c r="FB63" s="431"/>
      <c r="FC63" s="431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31"/>
      <c r="EU64" s="431"/>
      <c r="EV64" s="431"/>
      <c r="EW64" s="431"/>
      <c r="EX64" s="431"/>
      <c r="EY64" s="431"/>
      <c r="EZ64" s="431"/>
      <c r="FA64" s="431"/>
      <c r="FB64" s="431"/>
      <c r="FC64" s="431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31"/>
      <c r="EU65" s="431"/>
      <c r="EV65" s="431"/>
      <c r="EW65" s="431"/>
      <c r="EX65" s="431"/>
      <c r="EY65" s="431"/>
      <c r="EZ65" s="431"/>
      <c r="FA65" s="431"/>
      <c r="FB65" s="431"/>
      <c r="FC65" s="431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31"/>
      <c r="EU66" s="431"/>
      <c r="EV66" s="431"/>
      <c r="EW66" s="431"/>
      <c r="EX66" s="431"/>
      <c r="EY66" s="431"/>
      <c r="EZ66" s="431"/>
      <c r="FA66" s="431"/>
      <c r="FB66" s="431"/>
      <c r="FC66" s="431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31"/>
      <c r="EU67" s="431"/>
      <c r="EV67" s="431"/>
      <c r="EW67" s="431"/>
      <c r="EX67" s="431"/>
      <c r="EY67" s="431"/>
      <c r="EZ67" s="431"/>
      <c r="FA67" s="431"/>
      <c r="FB67" s="431"/>
      <c r="FC67" s="431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31"/>
      <c r="EU68" s="431"/>
      <c r="EV68" s="431"/>
      <c r="EW68" s="431"/>
      <c r="EX68" s="431"/>
      <c r="EY68" s="431"/>
      <c r="EZ68" s="431"/>
      <c r="FA68" s="431"/>
      <c r="FB68" s="431"/>
      <c r="FC68" s="431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431">
        <v>1027061</v>
      </c>
      <c r="EU69" s="431">
        <v>2339456.96</v>
      </c>
      <c r="EV69" s="431">
        <v>3799655</v>
      </c>
      <c r="EW69" s="431">
        <v>2451684.9300000002</v>
      </c>
      <c r="EX69" s="431">
        <v>2819164.34</v>
      </c>
      <c r="EY69" s="431">
        <v>2228904.96</v>
      </c>
      <c r="EZ69" s="431">
        <v>2861487.4</v>
      </c>
      <c r="FA69" s="431">
        <v>2382536.89</v>
      </c>
      <c r="FB69" s="431">
        <v>1934822.17</v>
      </c>
      <c r="FC69" s="431">
        <v>3004874.41</v>
      </c>
      <c r="FD69" s="376"/>
      <c r="FE69" s="376"/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431"/>
      <c r="EU70" s="431"/>
      <c r="EV70" s="431"/>
      <c r="EW70" s="431"/>
      <c r="EX70" s="431"/>
      <c r="EY70" s="431"/>
      <c r="EZ70" s="431"/>
      <c r="FA70" s="431"/>
      <c r="FB70" s="431"/>
      <c r="FC70" s="431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431"/>
      <c r="EU71" s="431"/>
      <c r="EV71" s="431"/>
      <c r="EW71" s="431"/>
      <c r="EX71" s="431"/>
      <c r="EY71" s="431"/>
      <c r="EZ71" s="431"/>
      <c r="FA71" s="431"/>
      <c r="FB71" s="431"/>
      <c r="FC71" s="431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431"/>
      <c r="EU72" s="431"/>
      <c r="EV72" s="431"/>
      <c r="EW72" s="431"/>
      <c r="EX72" s="431"/>
      <c r="EY72" s="431"/>
      <c r="EZ72" s="431"/>
      <c r="FA72" s="431"/>
      <c r="FB72" s="431"/>
      <c r="FC72" s="431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431"/>
      <c r="EU73" s="431"/>
      <c r="EV73" s="431"/>
      <c r="EW73" s="431"/>
      <c r="EX73" s="431"/>
      <c r="EY73" s="431"/>
      <c r="EZ73" s="431"/>
      <c r="FA73" s="431"/>
      <c r="FB73" s="431"/>
      <c r="FC73" s="431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431"/>
      <c r="EU74" s="431"/>
      <c r="EV74" s="431"/>
      <c r="EW74" s="431"/>
      <c r="EX74" s="431"/>
      <c r="EY74" s="431"/>
      <c r="EZ74" s="431"/>
      <c r="FA74" s="431"/>
      <c r="FB74" s="431"/>
      <c r="FC74" s="431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431"/>
      <c r="EU75" s="431"/>
      <c r="EV75" s="431"/>
      <c r="EW75" s="431"/>
      <c r="EX75" s="431"/>
      <c r="EY75" s="431"/>
      <c r="EZ75" s="431"/>
      <c r="FA75" s="431"/>
      <c r="FB75" s="431"/>
      <c r="FC75" s="431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431">
        <v>1697415.73</v>
      </c>
      <c r="EU76" s="431">
        <v>3151750.86</v>
      </c>
      <c r="EV76" s="431">
        <v>4225810.8600000003</v>
      </c>
      <c r="EW76" s="431">
        <v>4576692.6500000004</v>
      </c>
      <c r="EX76" s="431">
        <v>4902792.45</v>
      </c>
      <c r="EY76" s="431">
        <v>14378909.960000001</v>
      </c>
      <c r="EZ76" s="431">
        <v>4958236.41</v>
      </c>
      <c r="FA76" s="431">
        <v>3624827.41</v>
      </c>
      <c r="FB76" s="431">
        <v>5520757.9299999997</v>
      </c>
      <c r="FC76" s="431">
        <v>5612259.6799999997</v>
      </c>
      <c r="FD76" s="376"/>
      <c r="FE76" s="376"/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431"/>
      <c r="EU77" s="431"/>
      <c r="EV77" s="431"/>
      <c r="EW77" s="431"/>
      <c r="EX77" s="431"/>
      <c r="EY77" s="431"/>
      <c r="EZ77" s="431"/>
      <c r="FA77" s="431"/>
      <c r="FB77" s="431"/>
      <c r="FC77" s="431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431"/>
      <c r="EU78" s="431"/>
      <c r="EV78" s="431"/>
      <c r="EW78" s="431"/>
      <c r="EX78" s="431"/>
      <c r="EY78" s="431"/>
      <c r="EZ78" s="431"/>
      <c r="FA78" s="431"/>
      <c r="FB78" s="431"/>
      <c r="FC78" s="431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431"/>
      <c r="EU79" s="431"/>
      <c r="EV79" s="431"/>
      <c r="EW79" s="431"/>
      <c r="EX79" s="431"/>
      <c r="EY79" s="431"/>
      <c r="EZ79" s="431"/>
      <c r="FA79" s="431"/>
      <c r="FB79" s="431"/>
      <c r="FC79" s="431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431"/>
      <c r="EU80" s="431"/>
      <c r="EV80" s="431"/>
      <c r="EW80" s="431"/>
      <c r="EX80" s="431"/>
      <c r="EY80" s="431"/>
      <c r="EZ80" s="431"/>
      <c r="FA80" s="431"/>
      <c r="FB80" s="431"/>
      <c r="FC80" s="431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431"/>
      <c r="EU81" s="431"/>
      <c r="EV81" s="431"/>
      <c r="EW81" s="431"/>
      <c r="EX81" s="431"/>
      <c r="EY81" s="431"/>
      <c r="EZ81" s="431"/>
      <c r="FA81" s="431"/>
      <c r="FB81" s="431"/>
      <c r="FC81" s="431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431"/>
      <c r="EU82" s="431"/>
      <c r="EV82" s="431"/>
      <c r="EW82" s="431"/>
      <c r="EX82" s="431"/>
      <c r="EY82" s="431"/>
      <c r="EZ82" s="431"/>
      <c r="FA82" s="431"/>
      <c r="FB82" s="431"/>
      <c r="FC82" s="431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431"/>
      <c r="EU83" s="431"/>
      <c r="EV83" s="431"/>
      <c r="EW83" s="431"/>
      <c r="EX83" s="431"/>
      <c r="EY83" s="431"/>
      <c r="EZ83" s="431"/>
      <c r="FA83" s="431"/>
      <c r="FB83" s="431"/>
      <c r="FC83" s="431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431"/>
      <c r="EU84" s="431"/>
      <c r="EV84" s="431"/>
      <c r="EW84" s="431"/>
      <c r="EX84" s="431"/>
      <c r="EY84" s="431"/>
      <c r="EZ84" s="431"/>
      <c r="FA84" s="431"/>
      <c r="FB84" s="431"/>
      <c r="FC84" s="431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431"/>
      <c r="EU85" s="431"/>
      <c r="EV85" s="431"/>
      <c r="EW85" s="431"/>
      <c r="EX85" s="431"/>
      <c r="EY85" s="431"/>
      <c r="EZ85" s="431"/>
      <c r="FA85" s="431"/>
      <c r="FB85" s="431"/>
      <c r="FC85" s="431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431">
        <v>106817.18</v>
      </c>
      <c r="EU86" s="431">
        <v>1254053.07</v>
      </c>
      <c r="EV86" s="431">
        <v>1932637.76</v>
      </c>
      <c r="EW86" s="431">
        <v>1702193.19</v>
      </c>
      <c r="EX86" s="431">
        <v>1674065.37</v>
      </c>
      <c r="EY86" s="431">
        <v>1595120.98</v>
      </c>
      <c r="EZ86" s="431">
        <v>1765491.98</v>
      </c>
      <c r="FA86" s="431">
        <v>823314.3</v>
      </c>
      <c r="FB86" s="431">
        <v>2309329.44</v>
      </c>
      <c r="FC86" s="431">
        <v>1827701.36</v>
      </c>
      <c r="FD86" s="376"/>
      <c r="FE86" s="376"/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431"/>
      <c r="EU87" s="431"/>
      <c r="EV87" s="431"/>
      <c r="EW87" s="431"/>
      <c r="EX87" s="431"/>
      <c r="EY87" s="431"/>
      <c r="EZ87" s="431"/>
      <c r="FA87" s="431"/>
      <c r="FB87" s="431"/>
      <c r="FC87" s="431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431"/>
      <c r="EU88" s="431"/>
      <c r="EV88" s="431"/>
      <c r="EW88" s="431"/>
      <c r="EX88" s="431"/>
      <c r="EY88" s="431"/>
      <c r="EZ88" s="431"/>
      <c r="FA88" s="431"/>
      <c r="FB88" s="431"/>
      <c r="FC88" s="431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431"/>
      <c r="EU89" s="431"/>
      <c r="EV89" s="431"/>
      <c r="EW89" s="431"/>
      <c r="EX89" s="431"/>
      <c r="EY89" s="431"/>
      <c r="EZ89" s="431"/>
      <c r="FA89" s="431"/>
      <c r="FB89" s="431"/>
      <c r="FC89" s="431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431">
        <v>4324077.55</v>
      </c>
      <c r="EU90" s="431">
        <v>1050801.23</v>
      </c>
      <c r="EV90" s="431">
        <v>39514676.710000001</v>
      </c>
      <c r="EW90" s="431">
        <v>1628189</v>
      </c>
      <c r="EX90" s="431">
        <v>10064809.060000001</v>
      </c>
      <c r="EY90" s="431">
        <v>1838720.63</v>
      </c>
      <c r="EZ90" s="431">
        <v>7493936.0099999998</v>
      </c>
      <c r="FA90" s="431">
        <v>1134154.94</v>
      </c>
      <c r="FB90" s="431">
        <v>3617355.6</v>
      </c>
      <c r="FC90" s="431">
        <v>1508680.94</v>
      </c>
      <c r="FD90" s="376"/>
      <c r="FE90" s="376"/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431"/>
      <c r="EU91" s="431"/>
      <c r="EV91" s="431"/>
      <c r="EW91" s="431"/>
      <c r="EX91" s="431"/>
      <c r="EY91" s="431"/>
      <c r="EZ91" s="431"/>
      <c r="FA91" s="431"/>
      <c r="FB91" s="431"/>
      <c r="FC91" s="431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431"/>
      <c r="EU92" s="431"/>
      <c r="EV92" s="431"/>
      <c r="EW92" s="431"/>
      <c r="EX92" s="431"/>
      <c r="EY92" s="431"/>
      <c r="EZ92" s="431"/>
      <c r="FA92" s="431"/>
      <c r="FB92" s="431"/>
      <c r="FC92" s="431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431">
        <v>175603.34</v>
      </c>
      <c r="EU93" s="431">
        <v>1124463.03</v>
      </c>
      <c r="EV93" s="431">
        <v>523950.18</v>
      </c>
      <c r="EW93" s="431">
        <v>641415.42000000004</v>
      </c>
      <c r="EX93" s="431">
        <v>939648.68</v>
      </c>
      <c r="EY93" s="431">
        <v>835746.88</v>
      </c>
      <c r="EZ93" s="431">
        <v>824933.88</v>
      </c>
      <c r="FA93" s="431">
        <v>556574.75</v>
      </c>
      <c r="FB93" s="431">
        <v>949304.64</v>
      </c>
      <c r="FC93" s="431">
        <v>1043096.71</v>
      </c>
      <c r="FD93" s="376"/>
      <c r="FE93" s="376"/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431"/>
      <c r="EU94" s="431"/>
      <c r="EV94" s="431"/>
      <c r="EW94" s="431"/>
      <c r="EX94" s="431"/>
      <c r="EY94" s="431"/>
      <c r="EZ94" s="431"/>
      <c r="FA94" s="431"/>
      <c r="FB94" s="431"/>
      <c r="FC94" s="431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431"/>
      <c r="EU95" s="431"/>
      <c r="EV95" s="431"/>
      <c r="EW95" s="431"/>
      <c r="EX95" s="431"/>
      <c r="EY95" s="431"/>
      <c r="EZ95" s="431"/>
      <c r="FA95" s="431"/>
      <c r="FB95" s="431"/>
      <c r="FC95" s="431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431"/>
      <c r="EU96" s="431"/>
      <c r="EV96" s="431"/>
      <c r="EW96" s="431"/>
      <c r="EX96" s="431"/>
      <c r="EY96" s="431"/>
      <c r="EZ96" s="431"/>
      <c r="FA96" s="431"/>
      <c r="FB96" s="431"/>
      <c r="FC96" s="431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431">
        <v>31033.66</v>
      </c>
      <c r="EU97" s="431">
        <v>2281116.2599999998</v>
      </c>
      <c r="EV97" s="431">
        <v>3600137.18</v>
      </c>
      <c r="EW97" s="431">
        <v>1218773.67</v>
      </c>
      <c r="EX97" s="431">
        <v>1488510.36</v>
      </c>
      <c r="EY97" s="431">
        <v>2469572.83</v>
      </c>
      <c r="EZ97" s="431">
        <v>1172428.94</v>
      </c>
      <c r="FA97" s="431">
        <v>2244079.69</v>
      </c>
      <c r="FB97" s="431">
        <v>3480196.8</v>
      </c>
      <c r="FC97" s="431">
        <v>3547724.18</v>
      </c>
      <c r="FD97" s="376"/>
      <c r="FE97" s="376"/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431"/>
      <c r="EU98" s="431"/>
      <c r="EV98" s="431"/>
      <c r="EW98" s="431"/>
      <c r="EX98" s="431"/>
      <c r="EY98" s="431"/>
      <c r="EZ98" s="431"/>
      <c r="FA98" s="431"/>
      <c r="FB98" s="431"/>
      <c r="FC98" s="431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431"/>
      <c r="EU99" s="431"/>
      <c r="EV99" s="431"/>
      <c r="EW99" s="431"/>
      <c r="EX99" s="431"/>
      <c r="EY99" s="431"/>
      <c r="EZ99" s="431"/>
      <c r="FA99" s="431"/>
      <c r="FB99" s="431"/>
      <c r="FC99" s="431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431"/>
      <c r="EU100" s="431"/>
      <c r="EV100" s="431"/>
      <c r="EW100" s="431"/>
      <c r="EX100" s="431"/>
      <c r="EY100" s="431"/>
      <c r="EZ100" s="431"/>
      <c r="FA100" s="431"/>
      <c r="FB100" s="431"/>
      <c r="FC100" s="431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431">
        <v>585935.19999999995</v>
      </c>
      <c r="EU101" s="431">
        <v>3390433.55</v>
      </c>
      <c r="EV101" s="431">
        <v>2155321.13</v>
      </c>
      <c r="EW101" s="431">
        <v>2890777.66</v>
      </c>
      <c r="EX101" s="431">
        <v>2637225.6800000002</v>
      </c>
      <c r="EY101" s="431">
        <v>3638653.72</v>
      </c>
      <c r="EZ101" s="431">
        <v>2920320.15</v>
      </c>
      <c r="FA101" s="431">
        <v>3454663.76</v>
      </c>
      <c r="FB101" s="431">
        <v>3201235.33</v>
      </c>
      <c r="FC101" s="431">
        <v>3108711.17</v>
      </c>
      <c r="FD101" s="376"/>
      <c r="FE101" s="376"/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431"/>
      <c r="EU102" s="431"/>
      <c r="EV102" s="431"/>
      <c r="EW102" s="431"/>
      <c r="EX102" s="431"/>
      <c r="EY102" s="431"/>
      <c r="EZ102" s="431"/>
      <c r="FA102" s="431"/>
      <c r="FB102" s="431"/>
      <c r="FC102" s="431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431"/>
      <c r="EU103" s="431"/>
      <c r="EV103" s="431"/>
      <c r="EW103" s="431"/>
      <c r="EX103" s="431"/>
      <c r="EY103" s="431"/>
      <c r="EZ103" s="431"/>
      <c r="FA103" s="431"/>
      <c r="FB103" s="431"/>
      <c r="FC103" s="431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431"/>
      <c r="EU104" s="431"/>
      <c r="EV104" s="431"/>
      <c r="EW104" s="431"/>
      <c r="EX104" s="431"/>
      <c r="EY104" s="431"/>
      <c r="EZ104" s="431"/>
      <c r="FA104" s="431"/>
      <c r="FB104" s="431"/>
      <c r="FC104" s="431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431"/>
      <c r="EU105" s="431"/>
      <c r="EV105" s="431"/>
      <c r="EW105" s="431"/>
      <c r="EX105" s="431"/>
      <c r="EY105" s="431"/>
      <c r="EZ105" s="431"/>
      <c r="FA105" s="431"/>
      <c r="FB105" s="431"/>
      <c r="FC105" s="431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431"/>
      <c r="EU106" s="431"/>
      <c r="EV106" s="431"/>
      <c r="EW106" s="431"/>
      <c r="EX106" s="431"/>
      <c r="EY106" s="431"/>
      <c r="EZ106" s="431"/>
      <c r="FA106" s="431"/>
      <c r="FB106" s="431"/>
      <c r="FC106" s="431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431"/>
      <c r="EU107" s="431"/>
      <c r="EV107" s="431"/>
      <c r="EW107" s="431"/>
      <c r="EX107" s="431"/>
      <c r="EY107" s="431"/>
      <c r="EZ107" s="431"/>
      <c r="FA107" s="431"/>
      <c r="FB107" s="431"/>
      <c r="FC107" s="431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431"/>
      <c r="EU108" s="431"/>
      <c r="EV108" s="431"/>
      <c r="EW108" s="431"/>
      <c r="EX108" s="431"/>
      <c r="EY108" s="431"/>
      <c r="EZ108" s="431"/>
      <c r="FA108" s="431"/>
      <c r="FB108" s="431"/>
      <c r="FC108" s="431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431"/>
      <c r="EU109" s="431"/>
      <c r="EV109" s="431"/>
      <c r="EW109" s="431"/>
      <c r="EX109" s="431"/>
      <c r="EY109" s="431"/>
      <c r="EZ109" s="431"/>
      <c r="FA109" s="431"/>
      <c r="FB109" s="431"/>
      <c r="FC109" s="431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431"/>
      <c r="EU110" s="431"/>
      <c r="EV110" s="431"/>
      <c r="EW110" s="431"/>
      <c r="EX110" s="431"/>
      <c r="EY110" s="431"/>
      <c r="EZ110" s="431"/>
      <c r="FA110" s="431"/>
      <c r="FB110" s="431"/>
      <c r="FC110" s="431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431">
        <v>42244817.57</v>
      </c>
      <c r="EU111" s="431">
        <v>45525440.090000004</v>
      </c>
      <c r="EV111" s="431">
        <v>45200709.079999998</v>
      </c>
      <c r="EW111" s="431">
        <v>43012361.310000002</v>
      </c>
      <c r="EX111" s="431">
        <v>43668965.609999999</v>
      </c>
      <c r="EY111" s="431"/>
      <c r="EZ111" s="431"/>
      <c r="FA111" s="431">
        <v>47052428.659999996</v>
      </c>
      <c r="FB111" s="431"/>
      <c r="FC111" s="431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431">
        <v>6003212.1200000001</v>
      </c>
      <c r="EU112" s="431">
        <v>7135869.1500000004</v>
      </c>
      <c r="EV112" s="431">
        <v>6207886.6699999999</v>
      </c>
      <c r="EW112" s="431">
        <v>6327448.5300000003</v>
      </c>
      <c r="EX112" s="431">
        <v>6153473.4699999997</v>
      </c>
      <c r="EY112" s="431">
        <v>6326119.0300000003</v>
      </c>
      <c r="EZ112" s="431">
        <v>6430553.0499999998</v>
      </c>
      <c r="FA112" s="431">
        <v>6218395.7000000002</v>
      </c>
      <c r="FB112" s="431">
        <v>6862261.6200000001</v>
      </c>
      <c r="FC112" s="431">
        <v>7143348.9900000002</v>
      </c>
      <c r="FD112" s="376"/>
      <c r="FE112" s="376"/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431"/>
      <c r="EU113" s="431"/>
      <c r="EV113" s="431"/>
      <c r="EW113" s="431"/>
      <c r="EX113" s="431"/>
      <c r="EY113" s="431"/>
      <c r="EZ113" s="431"/>
      <c r="FA113" s="431"/>
      <c r="FB113" s="431"/>
      <c r="FC113" s="431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31"/>
      <c r="EU114" s="431"/>
      <c r="EV114" s="431"/>
      <c r="EW114" s="431"/>
      <c r="EX114" s="431"/>
      <c r="EY114" s="431"/>
      <c r="EZ114" s="431"/>
      <c r="FA114" s="431"/>
      <c r="FB114" s="431"/>
      <c r="FC114" s="431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31"/>
      <c r="EU115" s="431"/>
      <c r="EV115" s="431"/>
      <c r="EW115" s="431"/>
      <c r="EX115" s="431"/>
      <c r="EY115" s="431"/>
      <c r="EZ115" s="431"/>
      <c r="FA115" s="431"/>
      <c r="FB115" s="431"/>
      <c r="FC115" s="431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31"/>
      <c r="EU116" s="431"/>
      <c r="EV116" s="431"/>
      <c r="EW116" s="431"/>
      <c r="EX116" s="431"/>
      <c r="EY116" s="431"/>
      <c r="EZ116" s="431"/>
      <c r="FA116" s="431"/>
      <c r="FB116" s="431"/>
      <c r="FC116" s="431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31"/>
      <c r="EU117" s="431"/>
      <c r="EV117" s="431"/>
      <c r="EW117" s="431"/>
      <c r="EX117" s="431"/>
      <c r="EY117" s="431"/>
      <c r="EZ117" s="431"/>
      <c r="FA117" s="431"/>
      <c r="FB117" s="431"/>
      <c r="FC117" s="431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31"/>
      <c r="EU118" s="431"/>
      <c r="EV118" s="431"/>
      <c r="EW118" s="431"/>
      <c r="EX118" s="431"/>
      <c r="EY118" s="431"/>
      <c r="EZ118" s="431"/>
      <c r="FA118" s="431"/>
      <c r="FB118" s="431"/>
      <c r="FC118" s="431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31"/>
      <c r="EU119" s="431"/>
      <c r="EV119" s="431"/>
      <c r="EW119" s="431"/>
      <c r="EX119" s="431"/>
      <c r="EY119" s="431"/>
      <c r="EZ119" s="431"/>
      <c r="FA119" s="431"/>
      <c r="FB119" s="431"/>
      <c r="FC119" s="431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739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31"/>
      <c r="EU120" s="431"/>
      <c r="EV120" s="431"/>
      <c r="EW120" s="431"/>
      <c r="EX120" s="431"/>
      <c r="EY120" s="431"/>
      <c r="EZ120" s="431"/>
      <c r="FA120" s="431"/>
      <c r="FB120" s="431"/>
      <c r="FC120" s="431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431">
        <v>110952</v>
      </c>
      <c r="EU121" s="431">
        <v>1323906.01</v>
      </c>
      <c r="EV121" s="431">
        <v>1098216.9099999999</v>
      </c>
      <c r="EW121" s="431">
        <v>945506.13</v>
      </c>
      <c r="EX121" s="431">
        <v>1061504.47</v>
      </c>
      <c r="EY121" s="431">
        <v>1474735.96</v>
      </c>
      <c r="EZ121" s="431">
        <v>980063.88</v>
      </c>
      <c r="FA121" s="431">
        <v>960558.89</v>
      </c>
      <c r="FB121" s="431">
        <v>1031337.39</v>
      </c>
      <c r="FC121" s="431">
        <v>1282662.6599999999</v>
      </c>
      <c r="FD121" s="376"/>
      <c r="FE121" s="376"/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431"/>
      <c r="EU122" s="431"/>
      <c r="EV122" s="431"/>
      <c r="EW122" s="431"/>
      <c r="EX122" s="431"/>
      <c r="EY122" s="431"/>
      <c r="EZ122" s="431"/>
      <c r="FA122" s="431"/>
      <c r="FB122" s="431"/>
      <c r="FC122" s="431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431"/>
      <c r="EU123" s="431"/>
      <c r="EV123" s="431"/>
      <c r="EW123" s="431"/>
      <c r="EX123" s="431"/>
      <c r="EY123" s="431"/>
      <c r="EZ123" s="431"/>
      <c r="FA123" s="431"/>
      <c r="FB123" s="431"/>
      <c r="FC123" s="431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431"/>
      <c r="EU124" s="431"/>
      <c r="EV124" s="431"/>
      <c r="EW124" s="431"/>
      <c r="EX124" s="431"/>
      <c r="EY124" s="431"/>
      <c r="EZ124" s="431"/>
      <c r="FA124" s="431"/>
      <c r="FB124" s="431"/>
      <c r="FC124" s="431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431"/>
      <c r="EU125" s="431"/>
      <c r="EV125" s="431"/>
      <c r="EW125" s="431"/>
      <c r="EX125" s="431"/>
      <c r="EY125" s="431"/>
      <c r="EZ125" s="431"/>
      <c r="FA125" s="431"/>
      <c r="FB125" s="431"/>
      <c r="FC125" s="431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431"/>
      <c r="EU126" s="431"/>
      <c r="EV126" s="431"/>
      <c r="EW126" s="431"/>
      <c r="EX126" s="431"/>
      <c r="EY126" s="431"/>
      <c r="EZ126" s="431"/>
      <c r="FA126" s="431"/>
      <c r="FB126" s="431"/>
      <c r="FC126" s="431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431">
        <v>34029606.390000001</v>
      </c>
      <c r="EU127" s="431">
        <v>34751702.420000002</v>
      </c>
      <c r="EV127" s="431">
        <v>34761880.880000003</v>
      </c>
      <c r="EW127" s="431">
        <v>34790406.869999997</v>
      </c>
      <c r="EX127" s="431">
        <v>34624926.579999998</v>
      </c>
      <c r="EY127" s="431">
        <v>34392603.229999997</v>
      </c>
      <c r="EZ127" s="431">
        <v>34541467.619999997</v>
      </c>
      <c r="FA127" s="431">
        <v>34591609.219999999</v>
      </c>
      <c r="FB127" s="431">
        <v>34579708.640000001</v>
      </c>
      <c r="FC127" s="431">
        <v>34511618.530000001</v>
      </c>
      <c r="FD127" s="376"/>
      <c r="FE127" s="376"/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431"/>
      <c r="EU128" s="431"/>
      <c r="EV128" s="431"/>
      <c r="EW128" s="431"/>
      <c r="EX128" s="431"/>
      <c r="EY128" s="431"/>
      <c r="EZ128" s="431"/>
      <c r="FA128" s="431"/>
      <c r="FB128" s="431"/>
      <c r="FC128" s="431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431"/>
      <c r="EU129" s="431"/>
      <c r="EV129" s="431"/>
      <c r="EW129" s="431"/>
      <c r="EX129" s="431"/>
      <c r="EY129" s="431"/>
      <c r="EZ129" s="431"/>
      <c r="FA129" s="431"/>
      <c r="FB129" s="431"/>
      <c r="FC129" s="431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431"/>
      <c r="EU130" s="431"/>
      <c r="EV130" s="431"/>
      <c r="EW130" s="431"/>
      <c r="EX130" s="431"/>
      <c r="EY130" s="431"/>
      <c r="EZ130" s="431"/>
      <c r="FA130" s="431"/>
      <c r="FB130" s="431"/>
      <c r="FC130" s="431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431"/>
      <c r="EU131" s="431"/>
      <c r="EV131" s="431"/>
      <c r="EW131" s="431"/>
      <c r="EX131" s="431"/>
      <c r="EY131" s="431"/>
      <c r="EZ131" s="431"/>
      <c r="FA131" s="431"/>
      <c r="FB131" s="431"/>
      <c r="FC131" s="431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431"/>
      <c r="EU132" s="431"/>
      <c r="EV132" s="431"/>
      <c r="EW132" s="431"/>
      <c r="EX132" s="431"/>
      <c r="EY132" s="431"/>
      <c r="EZ132" s="431"/>
      <c r="FA132" s="431"/>
      <c r="FB132" s="431"/>
      <c r="FC132" s="431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431"/>
      <c r="EU133" s="431"/>
      <c r="EV133" s="431"/>
      <c r="EW133" s="431"/>
      <c r="EX133" s="431"/>
      <c r="EY133" s="431"/>
      <c r="EZ133" s="431"/>
      <c r="FA133" s="431"/>
      <c r="FB133" s="431"/>
      <c r="FC133" s="431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431"/>
      <c r="EU134" s="431"/>
      <c r="EV134" s="431"/>
      <c r="EW134" s="431"/>
      <c r="EX134" s="431"/>
      <c r="EY134" s="431"/>
      <c r="EZ134" s="431"/>
      <c r="FA134" s="431"/>
      <c r="FB134" s="431"/>
      <c r="FC134" s="431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431">
        <v>1365364.87</v>
      </c>
      <c r="EU135" s="431">
        <v>1602918.54</v>
      </c>
      <c r="EV135" s="431">
        <v>2368731.41</v>
      </c>
      <c r="EW135" s="431">
        <v>425632.96</v>
      </c>
      <c r="EX135" s="431">
        <v>1118465.46</v>
      </c>
      <c r="EY135" s="431">
        <v>2503607.61</v>
      </c>
      <c r="EZ135" s="431">
        <v>1103217.6599999999</v>
      </c>
      <c r="FA135" s="431">
        <v>1728889.83</v>
      </c>
      <c r="FB135" s="431">
        <v>1736713.62</v>
      </c>
      <c r="FC135" s="431">
        <v>1661059.04</v>
      </c>
      <c r="FD135" s="376"/>
      <c r="FE135" s="376"/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431"/>
      <c r="EU136" s="431"/>
      <c r="EV136" s="431"/>
      <c r="EW136" s="431"/>
      <c r="EX136" s="431"/>
      <c r="EY136" s="431"/>
      <c r="EZ136" s="431"/>
      <c r="FA136" s="431"/>
      <c r="FB136" s="431"/>
      <c r="FC136" s="431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431">
        <v>735682.19</v>
      </c>
      <c r="EU137" s="431">
        <v>711043.97</v>
      </c>
      <c r="EV137" s="431">
        <v>763993.21</v>
      </c>
      <c r="EW137" s="431">
        <v>523366.82</v>
      </c>
      <c r="EX137" s="431">
        <v>710595.63</v>
      </c>
      <c r="EY137" s="431">
        <v>865086.19</v>
      </c>
      <c r="EZ137" s="431">
        <v>905597.97</v>
      </c>
      <c r="FA137" s="431">
        <v>3555204.14</v>
      </c>
      <c r="FB137" s="431">
        <v>1229369.33</v>
      </c>
      <c r="FC137" s="431">
        <v>891958.79</v>
      </c>
      <c r="FD137" s="376"/>
      <c r="FE137" s="376"/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431"/>
      <c r="EU138" s="431"/>
      <c r="EV138" s="431"/>
      <c r="EW138" s="431"/>
      <c r="EX138" s="431"/>
      <c r="EY138" s="431"/>
      <c r="EZ138" s="431"/>
      <c r="FA138" s="431"/>
      <c r="FB138" s="431"/>
      <c r="FC138" s="431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431"/>
      <c r="EU139" s="431"/>
      <c r="EV139" s="431"/>
      <c r="EW139" s="431"/>
      <c r="EX139" s="431"/>
      <c r="EY139" s="431"/>
      <c r="EZ139" s="431"/>
      <c r="FA139" s="431"/>
      <c r="FB139" s="431"/>
      <c r="FC139" s="431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431"/>
      <c r="EU140" s="431"/>
      <c r="EV140" s="431"/>
      <c r="EW140" s="431"/>
      <c r="EX140" s="431"/>
      <c r="EY140" s="431"/>
      <c r="EZ140" s="431"/>
      <c r="FA140" s="431"/>
      <c r="FB140" s="431"/>
      <c r="FC140" s="431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431">
        <v>11036841.98</v>
      </c>
      <c r="EU141" s="431">
        <v>13096709.15</v>
      </c>
      <c r="EV141" s="431">
        <v>16347312.470000001</v>
      </c>
      <c r="EW141" s="431">
        <v>15698178.050000001</v>
      </c>
      <c r="EX141" s="431">
        <v>13306183.48</v>
      </c>
      <c r="EY141" s="431">
        <v>17878544.43</v>
      </c>
      <c r="EZ141" s="431">
        <v>20218156.109999999</v>
      </c>
      <c r="FA141" s="431">
        <v>17179475.350000001</v>
      </c>
      <c r="FB141" s="431">
        <v>16100951.01</v>
      </c>
      <c r="FC141" s="431">
        <v>16865431.859999999</v>
      </c>
      <c r="FD141" s="376"/>
      <c r="FE141" s="376"/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431">
        <v>10553508.65</v>
      </c>
      <c r="EU142" s="431">
        <v>12813375.82</v>
      </c>
      <c r="EV142" s="431">
        <v>16064062.789999999</v>
      </c>
      <c r="EW142" s="431">
        <v>15105967.18</v>
      </c>
      <c r="EX142" s="431">
        <v>13005350.15</v>
      </c>
      <c r="EY142" s="431">
        <v>17522711.100000001</v>
      </c>
      <c r="EZ142" s="431">
        <v>19249518.940000001</v>
      </c>
      <c r="FA142" s="431">
        <v>16863227.57</v>
      </c>
      <c r="FB142" s="431">
        <v>15737223.15</v>
      </c>
      <c r="FC142" s="431">
        <v>16273114.359999999</v>
      </c>
      <c r="FD142" s="376"/>
      <c r="FE142" s="376"/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431"/>
      <c r="EU143" s="431"/>
      <c r="EV143" s="431"/>
      <c r="EW143" s="431"/>
      <c r="EX143" s="431"/>
      <c r="EY143" s="431"/>
      <c r="EZ143" s="431"/>
      <c r="FA143" s="431"/>
      <c r="FB143" s="431"/>
      <c r="FC143" s="431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431"/>
      <c r="EU144" s="431"/>
      <c r="EV144" s="431"/>
      <c r="EW144" s="431"/>
      <c r="EX144" s="431"/>
      <c r="EY144" s="431"/>
      <c r="EZ144" s="431"/>
      <c r="FA144" s="431"/>
      <c r="FB144" s="431"/>
      <c r="FC144" s="431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431"/>
      <c r="EU145" s="431"/>
      <c r="EV145" s="431"/>
      <c r="EW145" s="431"/>
      <c r="EX145" s="431"/>
      <c r="EY145" s="431"/>
      <c r="EZ145" s="431"/>
      <c r="FA145" s="431"/>
      <c r="FB145" s="431"/>
      <c r="FC145" s="431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431"/>
      <c r="EU146" s="431"/>
      <c r="EV146" s="431"/>
      <c r="EW146" s="431"/>
      <c r="EX146" s="431"/>
      <c r="EY146" s="431"/>
      <c r="EZ146" s="431"/>
      <c r="FA146" s="431"/>
      <c r="FB146" s="431"/>
      <c r="FC146" s="431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431"/>
      <c r="EU147" s="431"/>
      <c r="EV147" s="431"/>
      <c r="EW147" s="431"/>
      <c r="EX147" s="431"/>
      <c r="EY147" s="431"/>
      <c r="EZ147" s="431"/>
      <c r="FA147" s="431"/>
      <c r="FB147" s="431"/>
      <c r="FC147" s="431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431"/>
      <c r="EU148" s="431"/>
      <c r="EV148" s="431"/>
      <c r="EW148" s="431"/>
      <c r="EX148" s="431"/>
      <c r="EY148" s="431"/>
      <c r="EZ148" s="431"/>
      <c r="FA148" s="431"/>
      <c r="FB148" s="431"/>
      <c r="FC148" s="431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431"/>
      <c r="EU149" s="431"/>
      <c r="EV149" s="431"/>
      <c r="EW149" s="431"/>
      <c r="EX149" s="431"/>
      <c r="EY149" s="431"/>
      <c r="EZ149" s="431"/>
      <c r="FA149" s="431"/>
      <c r="FB149" s="431"/>
      <c r="FC149" s="431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431"/>
      <c r="EU150" s="431"/>
      <c r="EV150" s="431"/>
      <c r="EW150" s="431"/>
      <c r="EX150" s="431"/>
      <c r="EY150" s="431"/>
      <c r="EZ150" s="431"/>
      <c r="FA150" s="431"/>
      <c r="FB150" s="431"/>
      <c r="FC150" s="431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431"/>
      <c r="EU151" s="431"/>
      <c r="EV151" s="431"/>
      <c r="EW151" s="431"/>
      <c r="EX151" s="431"/>
      <c r="EY151" s="431"/>
      <c r="EZ151" s="431"/>
      <c r="FA151" s="431"/>
      <c r="FB151" s="431"/>
      <c r="FC151" s="431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431">
        <v>483333.33</v>
      </c>
      <c r="EU152" s="431">
        <v>283333.33</v>
      </c>
      <c r="EV152" s="431">
        <v>283333.33</v>
      </c>
      <c r="EW152" s="431">
        <v>583333.32999999996</v>
      </c>
      <c r="EX152" s="431">
        <v>300833.33</v>
      </c>
      <c r="EY152" s="431">
        <v>355833.33</v>
      </c>
      <c r="EZ152" s="431">
        <v>968637.17</v>
      </c>
      <c r="FA152" s="431">
        <v>316247.78000000003</v>
      </c>
      <c r="FB152" s="431">
        <v>363727.86</v>
      </c>
      <c r="FC152" s="431">
        <v>592317.5</v>
      </c>
      <c r="FD152" s="376"/>
      <c r="FE152" s="376"/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431"/>
      <c r="EU153" s="431"/>
      <c r="EV153" s="431"/>
      <c r="EW153" s="431"/>
      <c r="EX153" s="431"/>
      <c r="EY153" s="431"/>
      <c r="EZ153" s="431"/>
      <c r="FA153" s="431"/>
      <c r="FB153" s="431"/>
      <c r="FC153" s="431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431"/>
      <c r="EU154" s="431"/>
      <c r="EV154" s="431"/>
      <c r="EW154" s="431"/>
      <c r="EX154" s="431"/>
      <c r="EY154" s="431"/>
      <c r="EZ154" s="431"/>
      <c r="FA154" s="431"/>
      <c r="FB154" s="431"/>
      <c r="FC154" s="431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431"/>
      <c r="EU155" s="431"/>
      <c r="EV155" s="431"/>
      <c r="EW155" s="431"/>
      <c r="EX155" s="431"/>
      <c r="EY155" s="431"/>
      <c r="EZ155" s="431"/>
      <c r="FA155" s="431"/>
      <c r="FB155" s="431"/>
      <c r="FC155" s="431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431"/>
      <c r="EU156" s="431"/>
      <c r="EV156" s="431"/>
      <c r="EW156" s="431"/>
      <c r="EX156" s="431"/>
      <c r="EY156" s="431"/>
      <c r="EZ156" s="431"/>
      <c r="FA156" s="431"/>
      <c r="FB156" s="431"/>
      <c r="FC156" s="431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431"/>
      <c r="EU157" s="431"/>
      <c r="EV157" s="431"/>
      <c r="EW157" s="431"/>
      <c r="EX157" s="431"/>
      <c r="EY157" s="431"/>
      <c r="EZ157" s="431"/>
      <c r="FA157" s="431"/>
      <c r="FB157" s="431"/>
      <c r="FC157" s="431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431"/>
      <c r="EU158" s="431"/>
      <c r="EV158" s="431"/>
      <c r="EW158" s="431"/>
      <c r="EX158" s="431"/>
      <c r="EY158" s="431"/>
      <c r="EZ158" s="431"/>
      <c r="FA158" s="431"/>
      <c r="FB158" s="431"/>
      <c r="FC158" s="431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734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431">
        <v>2060574.27</v>
      </c>
      <c r="EU159" s="431">
        <v>2958395.49</v>
      </c>
      <c r="EV159" s="431">
        <v>10806505.67</v>
      </c>
      <c r="EW159" s="431">
        <v>28775491.48</v>
      </c>
      <c r="EX159" s="431">
        <v>12314358.92</v>
      </c>
      <c r="EY159" s="431">
        <v>19994287.210000001</v>
      </c>
      <c r="EZ159" s="431">
        <v>22219463.719999999</v>
      </c>
      <c r="FA159" s="431">
        <v>7067070.5700000003</v>
      </c>
      <c r="FB159" s="431">
        <v>38353416.07</v>
      </c>
      <c r="FC159" s="431">
        <v>27286098.32</v>
      </c>
      <c r="FD159" s="376"/>
      <c r="FE159" s="376"/>
      <c r="FF159" s="376"/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431">
        <v>3266992.16</v>
      </c>
      <c r="EU160" s="431">
        <v>1252962.76</v>
      </c>
      <c r="EV160" s="431">
        <v>2398205.81</v>
      </c>
      <c r="EW160" s="431">
        <v>2567489.7200000002</v>
      </c>
      <c r="EX160" s="431">
        <v>3090956.9800000042</v>
      </c>
      <c r="EY160" s="431">
        <v>7288010.0899999999</v>
      </c>
      <c r="EZ160" s="431">
        <v>2615698.5299999998</v>
      </c>
      <c r="FA160" s="431">
        <v>2782160.17</v>
      </c>
      <c r="FB160" s="431">
        <v>3339367.45</v>
      </c>
      <c r="FC160" s="431">
        <v>5920389.9699999997</v>
      </c>
      <c r="FD160" s="376"/>
      <c r="FE160" s="376"/>
      <c r="FF160" s="376"/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431"/>
      <c r="EU161" s="431"/>
      <c r="EV161" s="431"/>
      <c r="EW161" s="431"/>
      <c r="EX161" s="431"/>
      <c r="EY161" s="431"/>
      <c r="EZ161" s="431"/>
      <c r="FA161" s="431"/>
      <c r="FB161" s="431"/>
      <c r="FC161" s="431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431"/>
      <c r="EU162" s="431"/>
      <c r="EV162" s="431"/>
      <c r="EW162" s="431"/>
      <c r="EX162" s="431"/>
      <c r="EY162" s="431"/>
      <c r="EZ162" s="431"/>
      <c r="FA162" s="431"/>
      <c r="FB162" s="431"/>
      <c r="FC162" s="431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431"/>
      <c r="EU163" s="431"/>
      <c r="EV163" s="431"/>
      <c r="EW163" s="431"/>
      <c r="EX163" s="431"/>
      <c r="EY163" s="431"/>
      <c r="EZ163" s="431"/>
      <c r="FA163" s="431"/>
      <c r="FB163" s="431"/>
      <c r="FC163" s="431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431"/>
      <c r="EU164" s="431"/>
      <c r="EV164" s="431"/>
      <c r="EW164" s="431"/>
      <c r="EX164" s="431"/>
      <c r="EY164" s="431"/>
      <c r="EZ164" s="431"/>
      <c r="FA164" s="431"/>
      <c r="FB164" s="431"/>
      <c r="FC164" s="431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431"/>
      <c r="EU165" s="431"/>
      <c r="EV165" s="431"/>
      <c r="EW165" s="431"/>
      <c r="EX165" s="431"/>
      <c r="EY165" s="431"/>
      <c r="EZ165" s="431"/>
      <c r="FA165" s="431"/>
      <c r="FB165" s="431"/>
      <c r="FC165" s="431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431"/>
      <c r="EU166" s="431"/>
      <c r="EV166" s="431"/>
      <c r="EW166" s="431"/>
      <c r="EX166" s="431"/>
      <c r="EY166" s="431"/>
      <c r="EZ166" s="431"/>
      <c r="FA166" s="431"/>
      <c r="FB166" s="431"/>
      <c r="FC166" s="431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431"/>
      <c r="EU167" s="431"/>
      <c r="EV167" s="431"/>
      <c r="EW167" s="431"/>
      <c r="EX167" s="431"/>
      <c r="EY167" s="431"/>
      <c r="EZ167" s="431"/>
      <c r="FA167" s="431"/>
      <c r="FB167" s="431"/>
      <c r="FC167" s="431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431"/>
      <c r="EU168" s="431"/>
      <c r="EV168" s="431"/>
      <c r="EW168" s="431"/>
      <c r="EX168" s="431">
        <v>68939595.359999999</v>
      </c>
      <c r="EY168" s="431"/>
      <c r="EZ168" s="431"/>
      <c r="FA168" s="431"/>
      <c r="FB168" s="431"/>
      <c r="FC168" s="431"/>
      <c r="FD168" s="376"/>
      <c r="FE168" s="376"/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431"/>
      <c r="EU169" s="431"/>
      <c r="EV169" s="431"/>
      <c r="EW169" s="431"/>
      <c r="EX169" s="431"/>
      <c r="EY169" s="431"/>
      <c r="EZ169" s="431"/>
      <c r="FA169" s="431"/>
      <c r="FB169" s="431"/>
      <c r="FC169" s="431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431">
        <v>5000</v>
      </c>
      <c r="EU170" s="431">
        <v>380906.62</v>
      </c>
      <c r="EV170" s="431">
        <v>0</v>
      </c>
      <c r="EW170" s="431">
        <v>285264</v>
      </c>
      <c r="EX170" s="431">
        <v>278222</v>
      </c>
      <c r="EY170" s="431">
        <v>285000.05</v>
      </c>
      <c r="EZ170" s="431">
        <v>236298.33</v>
      </c>
      <c r="FA170" s="431">
        <v>114200</v>
      </c>
      <c r="FB170" s="431">
        <v>359390</v>
      </c>
      <c r="FC170" s="431">
        <v>80000</v>
      </c>
      <c r="FD170" s="376"/>
      <c r="FE170" s="376"/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431">
        <v>5000</v>
      </c>
      <c r="EU171" s="431">
        <v>380906.62</v>
      </c>
      <c r="EV171" s="431">
        <v>0</v>
      </c>
      <c r="EW171" s="431">
        <v>285264</v>
      </c>
      <c r="EX171" s="431">
        <v>278222</v>
      </c>
      <c r="EY171" s="431">
        <v>285000.05</v>
      </c>
      <c r="EZ171" s="431">
        <v>236298.33</v>
      </c>
      <c r="FA171" s="431">
        <v>114200</v>
      </c>
      <c r="FB171" s="431">
        <v>359390</v>
      </c>
      <c r="FC171" s="431">
        <v>80000</v>
      </c>
      <c r="FD171" s="376"/>
      <c r="FE171" s="376"/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431"/>
      <c r="EU172" s="431"/>
      <c r="EV172" s="431"/>
      <c r="EW172" s="431"/>
      <c r="EX172" s="431"/>
      <c r="EY172" s="431"/>
      <c r="EZ172" s="431"/>
      <c r="FA172" s="431"/>
      <c r="FB172" s="431"/>
      <c r="FC172" s="431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431"/>
      <c r="EU173" s="431"/>
      <c r="EV173" s="431"/>
      <c r="EW173" s="431"/>
      <c r="EX173" s="431"/>
      <c r="EY173" s="431"/>
      <c r="EZ173" s="431"/>
      <c r="FA173" s="431"/>
      <c r="FB173" s="431"/>
      <c r="FC173" s="431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431"/>
      <c r="EU174" s="431"/>
      <c r="EV174" s="431"/>
      <c r="EW174" s="431"/>
      <c r="EX174" s="431"/>
      <c r="EY174" s="431"/>
      <c r="EZ174" s="431"/>
      <c r="FA174" s="431"/>
      <c r="FB174" s="431"/>
      <c r="FC174" s="431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431"/>
      <c r="EU175" s="431"/>
      <c r="EV175" s="431"/>
      <c r="EW175" s="431"/>
      <c r="EX175" s="431"/>
      <c r="EY175" s="431"/>
      <c r="EZ175" s="431"/>
      <c r="FA175" s="431"/>
      <c r="FB175" s="431"/>
      <c r="FC175" s="431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431"/>
      <c r="EU176" s="431"/>
      <c r="EV176" s="431"/>
      <c r="EW176" s="431"/>
      <c r="EX176" s="431"/>
      <c r="EY176" s="431"/>
      <c r="EZ176" s="431"/>
      <c r="FA176" s="431"/>
      <c r="FB176" s="431"/>
      <c r="FC176" s="431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431">
        <v>27871672.789999999</v>
      </c>
      <c r="EU177" s="431">
        <v>56704926.840000004</v>
      </c>
      <c r="EV177" s="431">
        <v>21093802.77</v>
      </c>
      <c r="EW177" s="431">
        <v>22441147.859999999</v>
      </c>
      <c r="EX177" s="431">
        <v>16011539.029999999</v>
      </c>
      <c r="EY177" s="431"/>
      <c r="EZ177" s="431"/>
      <c r="FA177" s="431">
        <v>40542466.609999999</v>
      </c>
      <c r="FB177" s="431"/>
      <c r="FC177" s="431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431">
        <v>26200164.98</v>
      </c>
      <c r="EU178" s="431">
        <v>54488971.759999998</v>
      </c>
      <c r="EV178" s="431">
        <v>19066024.489999998</v>
      </c>
      <c r="EW178" s="431">
        <v>19981471.989999998</v>
      </c>
      <c r="EX178" s="431">
        <v>14760695.76</v>
      </c>
      <c r="EY178" s="431"/>
      <c r="EZ178" s="431"/>
      <c r="FA178" s="431">
        <v>39580105.140000001</v>
      </c>
      <c r="FB178" s="431"/>
      <c r="FC178" s="431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431">
        <v>24566746.16</v>
      </c>
      <c r="EU179" s="431">
        <v>50952373.509999998</v>
      </c>
      <c r="EV179" s="431">
        <v>7051404.0099999998</v>
      </c>
      <c r="EW179" s="431">
        <v>2231658.5099999998</v>
      </c>
      <c r="EX179" s="431">
        <v>831498.83</v>
      </c>
      <c r="EY179" s="431">
        <v>4420027.8</v>
      </c>
      <c r="EZ179" s="431">
        <v>42332347.200000003</v>
      </c>
      <c r="FA179" s="431">
        <v>95932773.739999995</v>
      </c>
      <c r="FB179" s="431">
        <v>1208382.96</v>
      </c>
      <c r="FC179" s="431">
        <v>2260146.02</v>
      </c>
      <c r="FD179" s="376"/>
      <c r="FE179" s="376"/>
      <c r="FF179" s="376"/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431">
        <v>1633418.82</v>
      </c>
      <c r="EU180" s="431">
        <v>3536598.25</v>
      </c>
      <c r="EV180" s="431">
        <v>12014620.48</v>
      </c>
      <c r="EW180" s="431">
        <v>17749813.48</v>
      </c>
      <c r="EX180" s="431">
        <v>13929196.93</v>
      </c>
      <c r="EY180" s="431">
        <v>8509523.0099999998</v>
      </c>
      <c r="EZ180" s="431">
        <v>1633418.82</v>
      </c>
      <c r="FA180" s="431">
        <v>2647331.4</v>
      </c>
      <c r="FB180" s="431">
        <v>16215322.939999999</v>
      </c>
      <c r="FC180" s="431">
        <v>3771846.45</v>
      </c>
      <c r="FD180" s="376"/>
      <c r="FE180" s="376"/>
      <c r="FF180" s="376"/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431"/>
      <c r="EU181" s="431"/>
      <c r="EV181" s="431"/>
      <c r="EW181" s="431"/>
      <c r="EX181" s="431"/>
      <c r="EY181" s="431"/>
      <c r="EZ181" s="431"/>
      <c r="FA181" s="431"/>
      <c r="FB181" s="431"/>
      <c r="FC181" s="431"/>
      <c r="FD181" s="376"/>
      <c r="FE181" s="376"/>
      <c r="FF181" s="376"/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431"/>
      <c r="EU182" s="431"/>
      <c r="EV182" s="431"/>
      <c r="EW182" s="431"/>
      <c r="EX182" s="431"/>
      <c r="EY182" s="431"/>
      <c r="EZ182" s="431"/>
      <c r="FA182" s="431"/>
      <c r="FB182" s="431"/>
      <c r="FC182" s="431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431"/>
      <c r="EU183" s="431"/>
      <c r="EV183" s="431"/>
      <c r="EW183" s="431"/>
      <c r="EX183" s="431"/>
      <c r="EY183" s="431"/>
      <c r="EZ183" s="431"/>
      <c r="FA183" s="431"/>
      <c r="FB183" s="431"/>
      <c r="FC183" s="431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431">
        <v>1698819.3</v>
      </c>
      <c r="EU184" s="431">
        <v>2215955.08</v>
      </c>
      <c r="EV184" s="431">
        <v>2027778.28</v>
      </c>
      <c r="EW184" s="431">
        <v>2489375.23</v>
      </c>
      <c r="EX184" s="431">
        <v>1250843.27</v>
      </c>
      <c r="EY184" s="431">
        <v>1981350.35</v>
      </c>
      <c r="EZ184" s="431">
        <v>4551831.17</v>
      </c>
      <c r="FA184" s="431">
        <v>962361.47</v>
      </c>
      <c r="FB184" s="431">
        <v>834123.33</v>
      </c>
      <c r="FC184" s="431">
        <v>1966075.9</v>
      </c>
      <c r="FD184" s="376"/>
      <c r="FE184" s="376"/>
      <c r="FF184" s="376"/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431">
        <v>190000</v>
      </c>
      <c r="EU185" s="431">
        <v>92000</v>
      </c>
      <c r="EV185" s="431">
        <v>2352909.08</v>
      </c>
      <c r="EW185" s="431">
        <v>460039.86</v>
      </c>
      <c r="EX185" s="431">
        <v>4042331.56</v>
      </c>
      <c r="EY185" s="431">
        <v>1980934.15</v>
      </c>
      <c r="EZ185" s="431">
        <v>1800352.01</v>
      </c>
      <c r="FA185" s="431">
        <v>249386.57</v>
      </c>
      <c r="FB185" s="431">
        <v>1509208.74</v>
      </c>
      <c r="FC185" s="431">
        <v>559184.78</v>
      </c>
      <c r="FD185" s="376"/>
      <c r="FE185" s="376"/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7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699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31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+Master!G25</f>
        <v>Total Revenues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+Master!G77</f>
        <v>Total Expenditures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+Master!G217</f>
        <v>Surplus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43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44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61">
      <c r="EH212" s="339"/>
    </row>
    <row r="215" spans="1:161">
      <c r="E215" s="565" t="s">
        <v>690</v>
      </c>
      <c r="F215" s="562">
        <v>2006</v>
      </c>
      <c r="G215" s="563"/>
      <c r="H215" s="563"/>
      <c r="I215" s="563"/>
      <c r="J215" s="563"/>
      <c r="K215" s="563"/>
      <c r="L215" s="563"/>
      <c r="M215" s="563"/>
      <c r="N215" s="563"/>
      <c r="O215" s="563"/>
      <c r="P215" s="563"/>
      <c r="Q215" s="564"/>
      <c r="R215" s="562">
        <v>2007</v>
      </c>
      <c r="S215" s="563"/>
      <c r="T215" s="563"/>
      <c r="U215" s="563"/>
      <c r="V215" s="563"/>
      <c r="W215" s="563"/>
      <c r="X215" s="563"/>
      <c r="Y215" s="563"/>
      <c r="Z215" s="563"/>
      <c r="AA215" s="563"/>
      <c r="AB215" s="563"/>
      <c r="AC215" s="564"/>
      <c r="AD215" s="562">
        <v>2008</v>
      </c>
      <c r="AE215" s="563"/>
      <c r="AF215" s="563"/>
      <c r="AG215" s="563"/>
      <c r="AH215" s="563"/>
      <c r="AI215" s="563"/>
      <c r="AJ215" s="563"/>
      <c r="AK215" s="563"/>
      <c r="AL215" s="563"/>
      <c r="AM215" s="563"/>
      <c r="AN215" s="563"/>
      <c r="AO215" s="564"/>
      <c r="AP215" s="562">
        <v>2009</v>
      </c>
      <c r="AQ215" s="563"/>
      <c r="AR215" s="563"/>
      <c r="AS215" s="563"/>
      <c r="AT215" s="563"/>
      <c r="AU215" s="563"/>
      <c r="AV215" s="563"/>
      <c r="AW215" s="563"/>
      <c r="AX215" s="563"/>
      <c r="AY215" s="563"/>
      <c r="AZ215" s="563"/>
      <c r="BA215" s="564"/>
      <c r="BB215" s="562">
        <v>2010</v>
      </c>
      <c r="BC215" s="563"/>
      <c r="BD215" s="563"/>
      <c r="BE215" s="563"/>
      <c r="BF215" s="563"/>
      <c r="BG215" s="563"/>
      <c r="BH215" s="563"/>
      <c r="BI215" s="563"/>
      <c r="BJ215" s="563"/>
      <c r="BK215" s="563"/>
      <c r="BL215" s="563"/>
      <c r="BM215" s="564"/>
      <c r="BN215" s="562">
        <v>2011</v>
      </c>
      <c r="BO215" s="563"/>
      <c r="BP215" s="563"/>
      <c r="BQ215" s="563"/>
      <c r="BR215" s="563"/>
      <c r="BS215" s="563"/>
      <c r="BT215" s="563"/>
      <c r="BU215" s="563"/>
      <c r="BV215" s="563"/>
      <c r="BW215" s="563"/>
      <c r="BX215" s="563"/>
      <c r="BY215" s="564"/>
      <c r="BZ215" s="563">
        <v>2012</v>
      </c>
      <c r="CA215" s="563"/>
      <c r="CB215" s="563"/>
      <c r="CC215" s="563"/>
      <c r="CD215" s="563"/>
      <c r="CE215" s="563"/>
      <c r="CF215" s="563"/>
      <c r="CG215" s="563"/>
      <c r="CH215" s="563"/>
      <c r="CI215" s="563"/>
      <c r="CJ215" s="563"/>
      <c r="CK215" s="563"/>
      <c r="CL215" s="562">
        <v>2013</v>
      </c>
      <c r="CM215" s="563"/>
      <c r="CN215" s="563"/>
      <c r="CO215" s="563"/>
      <c r="CP215" s="563"/>
      <c r="CQ215" s="563"/>
      <c r="CR215" s="563"/>
      <c r="CS215" s="563"/>
      <c r="CT215" s="563"/>
      <c r="CU215" s="563"/>
      <c r="CV215" s="563"/>
      <c r="CW215" s="564"/>
      <c r="CX215" s="562">
        <v>2014</v>
      </c>
      <c r="CY215" s="563"/>
      <c r="CZ215" s="563"/>
      <c r="DA215" s="563"/>
      <c r="DB215" s="563"/>
      <c r="DC215" s="563"/>
      <c r="DD215" s="563"/>
      <c r="DE215" s="563"/>
      <c r="DF215" s="563"/>
      <c r="DG215" s="563"/>
      <c r="DH215" s="563"/>
      <c r="DI215" s="564"/>
      <c r="DJ215" s="562">
        <v>2015</v>
      </c>
      <c r="DK215" s="563"/>
      <c r="DL215" s="563"/>
      <c r="DM215" s="563"/>
      <c r="DN215" s="563"/>
      <c r="DO215" s="563"/>
      <c r="DP215" s="563"/>
      <c r="DQ215" s="563"/>
      <c r="DR215" s="563"/>
      <c r="DS215" s="563"/>
      <c r="DT215" s="563"/>
      <c r="DU215" s="564"/>
    </row>
    <row r="216" spans="1:161">
      <c r="E216" s="565"/>
      <c r="F216" s="75" t="s">
        <v>570</v>
      </c>
      <c r="G216" s="76" t="s">
        <v>571</v>
      </c>
      <c r="H216" s="76" t="s">
        <v>572</v>
      </c>
      <c r="I216" s="76" t="s">
        <v>573</v>
      </c>
      <c r="J216" s="76" t="s">
        <v>574</v>
      </c>
      <c r="K216" s="76" t="s">
        <v>575</v>
      </c>
      <c r="L216" s="76" t="s">
        <v>576</v>
      </c>
      <c r="M216" s="76" t="s">
        <v>577</v>
      </c>
      <c r="N216" s="76" t="s">
        <v>578</v>
      </c>
      <c r="O216" s="76" t="s">
        <v>579</v>
      </c>
      <c r="P216" s="76" t="s">
        <v>580</v>
      </c>
      <c r="Q216" s="77" t="s">
        <v>581</v>
      </c>
      <c r="R216" s="75" t="s">
        <v>582</v>
      </c>
      <c r="S216" s="76" t="s">
        <v>583</v>
      </c>
      <c r="T216" s="76" t="s">
        <v>584</v>
      </c>
      <c r="U216" s="76" t="s">
        <v>585</v>
      </c>
      <c r="V216" s="76" t="s">
        <v>586</v>
      </c>
      <c r="W216" s="76" t="s">
        <v>587</v>
      </c>
      <c r="X216" s="76" t="s">
        <v>588</v>
      </c>
      <c r="Y216" s="76" t="s">
        <v>589</v>
      </c>
      <c r="Z216" s="76" t="s">
        <v>590</v>
      </c>
      <c r="AA216" s="76" t="s">
        <v>591</v>
      </c>
      <c r="AB216" s="76" t="s">
        <v>592</v>
      </c>
      <c r="AC216" s="77" t="s">
        <v>593</v>
      </c>
      <c r="AD216" s="75" t="s">
        <v>594</v>
      </c>
      <c r="AE216" s="76" t="s">
        <v>595</v>
      </c>
      <c r="AF216" s="76" t="s">
        <v>596</v>
      </c>
      <c r="AG216" s="76" t="s">
        <v>597</v>
      </c>
      <c r="AH216" s="76" t="s">
        <v>598</v>
      </c>
      <c r="AI216" s="76" t="s">
        <v>599</v>
      </c>
      <c r="AJ216" s="76" t="s">
        <v>600</v>
      </c>
      <c r="AK216" s="76" t="s">
        <v>601</v>
      </c>
      <c r="AL216" s="76" t="s">
        <v>602</v>
      </c>
      <c r="AM216" s="76" t="s">
        <v>603</v>
      </c>
      <c r="AN216" s="76" t="s">
        <v>604</v>
      </c>
      <c r="AO216" s="77" t="s">
        <v>605</v>
      </c>
      <c r="AP216" s="75" t="s">
        <v>606</v>
      </c>
      <c r="AQ216" s="76" t="s">
        <v>607</v>
      </c>
      <c r="AR216" s="76" t="s">
        <v>608</v>
      </c>
      <c r="AS216" s="76" t="s">
        <v>609</v>
      </c>
      <c r="AT216" s="76" t="s">
        <v>610</v>
      </c>
      <c r="AU216" s="76" t="s">
        <v>611</v>
      </c>
      <c r="AV216" s="76" t="s">
        <v>612</v>
      </c>
      <c r="AW216" s="76" t="s">
        <v>613</v>
      </c>
      <c r="AX216" s="76" t="s">
        <v>614</v>
      </c>
      <c r="AY216" s="76" t="s">
        <v>615</v>
      </c>
      <c r="AZ216" s="76" t="s">
        <v>616</v>
      </c>
      <c r="BA216" s="77" t="s">
        <v>617</v>
      </c>
      <c r="BB216" s="75" t="s">
        <v>618</v>
      </c>
      <c r="BC216" s="76" t="s">
        <v>619</v>
      </c>
      <c r="BD216" s="76" t="s">
        <v>620</v>
      </c>
      <c r="BE216" s="76" t="s">
        <v>621</v>
      </c>
      <c r="BF216" s="76" t="s">
        <v>622</v>
      </c>
      <c r="BG216" s="76" t="s">
        <v>623</v>
      </c>
      <c r="BH216" s="76" t="s">
        <v>624</v>
      </c>
      <c r="BI216" s="76" t="s">
        <v>625</v>
      </c>
      <c r="BJ216" s="76" t="s">
        <v>626</v>
      </c>
      <c r="BK216" s="76" t="s">
        <v>627</v>
      </c>
      <c r="BL216" s="76" t="s">
        <v>628</v>
      </c>
      <c r="BM216" s="77" t="s">
        <v>629</v>
      </c>
      <c r="BN216" s="75" t="s">
        <v>630</v>
      </c>
      <c r="BO216" s="76" t="s">
        <v>631</v>
      </c>
      <c r="BP216" s="76" t="s">
        <v>632</v>
      </c>
      <c r="BQ216" s="76" t="s">
        <v>633</v>
      </c>
      <c r="BR216" s="76" t="s">
        <v>634</v>
      </c>
      <c r="BS216" s="76" t="s">
        <v>635</v>
      </c>
      <c r="BT216" s="76" t="s">
        <v>636</v>
      </c>
      <c r="BU216" s="76" t="s">
        <v>637</v>
      </c>
      <c r="BV216" s="76" t="s">
        <v>638</v>
      </c>
      <c r="BW216" s="76" t="s">
        <v>639</v>
      </c>
      <c r="BX216" s="76" t="s">
        <v>640</v>
      </c>
      <c r="BY216" s="77" t="s">
        <v>641</v>
      </c>
      <c r="BZ216" s="76" t="s">
        <v>642</v>
      </c>
      <c r="CA216" s="76" t="s">
        <v>643</v>
      </c>
      <c r="CB216" s="76" t="s">
        <v>644</v>
      </c>
      <c r="CC216" s="76" t="s">
        <v>645</v>
      </c>
      <c r="CD216" s="76" t="s">
        <v>646</v>
      </c>
      <c r="CE216" s="76" t="s">
        <v>647</v>
      </c>
      <c r="CF216" s="76" t="s">
        <v>648</v>
      </c>
      <c r="CG216" s="76" t="s">
        <v>649</v>
      </c>
      <c r="CH216" s="76" t="s">
        <v>650</v>
      </c>
      <c r="CI216" s="76" t="s">
        <v>651</v>
      </c>
      <c r="CJ216" s="76" t="s">
        <v>652</v>
      </c>
      <c r="CK216" s="76" t="s">
        <v>653</v>
      </c>
      <c r="CL216" s="75" t="s">
        <v>654</v>
      </c>
      <c r="CM216" s="76" t="s">
        <v>655</v>
      </c>
      <c r="CN216" s="76" t="s">
        <v>656</v>
      </c>
      <c r="CO216" s="76" t="s">
        <v>657</v>
      </c>
      <c r="CP216" s="76" t="s">
        <v>658</v>
      </c>
      <c r="CQ216" s="76" t="s">
        <v>659</v>
      </c>
      <c r="CR216" s="76" t="s">
        <v>660</v>
      </c>
      <c r="CS216" s="76" t="s">
        <v>661</v>
      </c>
      <c r="CT216" s="76" t="s">
        <v>662</v>
      </c>
      <c r="CU216" s="76" t="s">
        <v>663</v>
      </c>
      <c r="CV216" s="76" t="s">
        <v>664</v>
      </c>
      <c r="CW216" s="77" t="s">
        <v>665</v>
      </c>
      <c r="CX216" s="75" t="s">
        <v>666</v>
      </c>
      <c r="CY216" s="76" t="s">
        <v>667</v>
      </c>
      <c r="CZ216" s="76" t="s">
        <v>668</v>
      </c>
      <c r="DA216" s="76" t="s">
        <v>669</v>
      </c>
      <c r="DB216" s="76" t="s">
        <v>670</v>
      </c>
      <c r="DC216" s="76" t="s">
        <v>671</v>
      </c>
      <c r="DD216" s="76" t="s">
        <v>672</v>
      </c>
      <c r="DE216" s="76" t="s">
        <v>673</v>
      </c>
      <c r="DF216" s="76" t="s">
        <v>674</v>
      </c>
      <c r="DG216" s="76" t="s">
        <v>675</v>
      </c>
      <c r="DH216" s="76" t="s">
        <v>676</v>
      </c>
      <c r="DI216" s="77" t="s">
        <v>677</v>
      </c>
      <c r="DJ216" s="75" t="s">
        <v>678</v>
      </c>
      <c r="DK216" s="76" t="s">
        <v>679</v>
      </c>
      <c r="DL216" s="76" t="s">
        <v>680</v>
      </c>
      <c r="DM216" s="76" t="s">
        <v>681</v>
      </c>
      <c r="DN216" s="76" t="s">
        <v>682</v>
      </c>
      <c r="DO216" s="76" t="s">
        <v>683</v>
      </c>
      <c r="DP216" s="76" t="s">
        <v>684</v>
      </c>
      <c r="DQ216" s="76" t="s">
        <v>685</v>
      </c>
      <c r="DR216" s="76" t="s">
        <v>686</v>
      </c>
      <c r="DS216" s="76" t="s">
        <v>687</v>
      </c>
      <c r="DT216" s="76" t="s">
        <v>688</v>
      </c>
      <c r="DU216" s="77" t="s">
        <v>689</v>
      </c>
      <c r="DV216" s="42" t="s">
        <v>720</v>
      </c>
      <c r="DW216" s="42" t="s">
        <v>721</v>
      </c>
      <c r="DX216" s="42" t="s">
        <v>722</v>
      </c>
      <c r="DY216" s="42" t="s">
        <v>723</v>
      </c>
      <c r="DZ216" s="42" t="s">
        <v>724</v>
      </c>
      <c r="EA216" s="42" t="s">
        <v>725</v>
      </c>
      <c r="EB216" s="42" t="s">
        <v>726</v>
      </c>
      <c r="EC216" s="42" t="s">
        <v>727</v>
      </c>
      <c r="ED216" s="42" t="s">
        <v>728</v>
      </c>
      <c r="EE216" s="42" t="s">
        <v>729</v>
      </c>
      <c r="EF216" s="42" t="s">
        <v>730</v>
      </c>
      <c r="EG216" s="42" t="s">
        <v>731</v>
      </c>
      <c r="EH216" s="397" t="s">
        <v>742</v>
      </c>
      <c r="EI216" s="397" t="s">
        <v>743</v>
      </c>
      <c r="EJ216" s="397" t="s">
        <v>744</v>
      </c>
      <c r="EK216" s="397" t="s">
        <v>745</v>
      </c>
      <c r="EL216" s="397" t="s">
        <v>746</v>
      </c>
      <c r="EM216" s="397" t="s">
        <v>747</v>
      </c>
      <c r="EN216" s="397" t="s">
        <v>748</v>
      </c>
      <c r="EO216" s="397" t="s">
        <v>749</v>
      </c>
      <c r="EP216" s="397" t="s">
        <v>750</v>
      </c>
      <c r="EQ216" s="397" t="s">
        <v>751</v>
      </c>
      <c r="ER216" s="397" t="s">
        <v>752</v>
      </c>
      <c r="ES216" s="397" t="s">
        <v>753</v>
      </c>
      <c r="ET216" s="397" t="s">
        <v>760</v>
      </c>
      <c r="EU216" s="397" t="s">
        <v>761</v>
      </c>
      <c r="EV216" s="397" t="s">
        <v>762</v>
      </c>
      <c r="EW216" s="397" t="s">
        <v>763</v>
      </c>
      <c r="EX216" s="397" t="s">
        <v>764</v>
      </c>
      <c r="EY216" s="397" t="s">
        <v>765</v>
      </c>
      <c r="EZ216" s="397" t="s">
        <v>766</v>
      </c>
      <c r="FA216" s="397" t="s">
        <v>767</v>
      </c>
      <c r="FB216" s="397" t="s">
        <v>768</v>
      </c>
      <c r="FC216" s="397" t="s">
        <v>769</v>
      </c>
      <c r="FD216" s="397" t="s">
        <v>770</v>
      </c>
      <c r="FE216" s="397" t="s">
        <v>771</v>
      </c>
    </row>
    <row r="217" spans="1:161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61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61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11">
        <v>60295851.510000005</v>
      </c>
      <c r="EU219" s="411">
        <v>64797597.330000006</v>
      </c>
      <c r="EV219" s="411">
        <v>89261850.609999985</v>
      </c>
      <c r="EW219" s="411">
        <v>97799793.080000013</v>
      </c>
      <c r="EX219" s="411">
        <v>90553351.069999993</v>
      </c>
      <c r="EY219" s="411">
        <v>87503254.430000007</v>
      </c>
      <c r="EZ219" s="411">
        <v>99397799.482830197</v>
      </c>
      <c r="FA219" s="411">
        <v>110357770.3498607</v>
      </c>
      <c r="FB219" s="411">
        <v>102093047.15872496</v>
      </c>
      <c r="FC219" s="411">
        <v>95698512.829288453</v>
      </c>
      <c r="FD219" s="411">
        <v>82424829.046484277</v>
      </c>
      <c r="FE219" s="411">
        <v>98213532.499999791</v>
      </c>
    </row>
    <row r="220" spans="1:161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</row>
    <row r="221" spans="1:161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</row>
    <row r="222" spans="1:161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</row>
    <row r="223" spans="1:161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</row>
    <row r="224" spans="1:161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</row>
    <row r="225" spans="1:161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</row>
    <row r="226" spans="1:161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61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11">
        <v>14572676.99</v>
      </c>
      <c r="EU228" s="411">
        <v>36938118.07</v>
      </c>
      <c r="EV228" s="411">
        <v>43053255.970000006</v>
      </c>
      <c r="EW228" s="411">
        <v>41029948.000000007</v>
      </c>
      <c r="EX228" s="411">
        <v>40388291.549999997</v>
      </c>
      <c r="EY228" s="411">
        <v>42077356.240000002</v>
      </c>
      <c r="EZ228" s="411">
        <v>46362054.926801726</v>
      </c>
      <c r="FA228" s="411">
        <v>45724084.253699668</v>
      </c>
      <c r="FB228" s="411">
        <v>41947258.969554022</v>
      </c>
      <c r="FC228" s="411">
        <v>44433442.802094914</v>
      </c>
      <c r="FD228" s="411">
        <v>45788790.684398532</v>
      </c>
      <c r="FE228" s="411">
        <v>79938550.463845864</v>
      </c>
    </row>
    <row r="229" spans="1:161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</row>
    <row r="230" spans="1:161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</row>
    <row r="231" spans="1:161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</row>
    <row r="232" spans="1:161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</row>
    <row r="233" spans="1:161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11">
        <v>785627.23999999987</v>
      </c>
      <c r="EU233" s="411">
        <v>993423.94</v>
      </c>
      <c r="EV233" s="411">
        <v>1089343.29</v>
      </c>
      <c r="EW233" s="411">
        <v>1198538.77</v>
      </c>
      <c r="EX233" s="411">
        <v>1382138.7799999998</v>
      </c>
      <c r="EY233" s="411">
        <v>1539773.02</v>
      </c>
      <c r="EZ233" s="411">
        <v>1993333.2050530105</v>
      </c>
      <c r="FA233" s="411">
        <v>2094009.8411112905</v>
      </c>
      <c r="FB233" s="411">
        <v>1758705.3100069393</v>
      </c>
      <c r="FC233" s="411">
        <v>1756312.8353634721</v>
      </c>
      <c r="FD233" s="411">
        <v>1538063.0039378535</v>
      </c>
      <c r="FE233" s="411">
        <v>1571199.152751297</v>
      </c>
    </row>
    <row r="234" spans="1:161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</row>
    <row r="235" spans="1:161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</row>
    <row r="236" spans="1:161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</row>
    <row r="237" spans="1:161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</row>
    <row r="238" spans="1:161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11">
        <v>1774503.5699999998</v>
      </c>
      <c r="EU238" s="411">
        <v>1885893.46</v>
      </c>
      <c r="EV238" s="411">
        <v>2001213.06</v>
      </c>
      <c r="EW238" s="411">
        <v>2389766.7799999998</v>
      </c>
      <c r="EX238" s="411">
        <v>1530724.52</v>
      </c>
      <c r="EY238" s="411">
        <v>2860047.35</v>
      </c>
      <c r="EZ238" s="411">
        <v>2768982.89609381</v>
      </c>
      <c r="FA238" s="411">
        <v>1878964.846878767</v>
      </c>
      <c r="FB238" s="411">
        <v>2453431.0919642458</v>
      </c>
      <c r="FC238" s="411">
        <v>3062621.0292725526</v>
      </c>
      <c r="FD238" s="411">
        <v>2157522.0205821833</v>
      </c>
      <c r="FE238" s="411">
        <v>3364455.4723437326</v>
      </c>
    </row>
    <row r="239" spans="1:161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</row>
    <row r="240" spans="1:161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</row>
    <row r="241" spans="1:161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</row>
    <row r="242" spans="1:161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</row>
    <row r="243" spans="1:161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</row>
    <row r="244" spans="1:161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</row>
    <row r="245" spans="1:161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11">
        <v>2425520.8099999996</v>
      </c>
      <c r="EU245" s="411">
        <v>1609741.96</v>
      </c>
      <c r="EV245" s="411">
        <v>2046839.3099999998</v>
      </c>
      <c r="EW245" s="411">
        <v>5482431.4299999997</v>
      </c>
      <c r="EX245" s="411">
        <v>2151437.83</v>
      </c>
      <c r="EY245" s="411">
        <v>2740294.16</v>
      </c>
      <c r="EZ245" s="411">
        <v>3610099.6149461018</v>
      </c>
      <c r="FA245" s="411">
        <v>2856432.7673175023</v>
      </c>
      <c r="FB245" s="411">
        <v>38693622.019299239</v>
      </c>
      <c r="FC245" s="411">
        <v>3080614.3453884441</v>
      </c>
      <c r="FD245" s="411">
        <v>2054798.3756645597</v>
      </c>
      <c r="FE245" s="411">
        <v>4981072.0471647922</v>
      </c>
    </row>
    <row r="246" spans="1:161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</row>
    <row r="247" spans="1:161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</row>
    <row r="248" spans="1:161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</row>
    <row r="249" spans="1:161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</row>
    <row r="250" spans="1:161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</row>
    <row r="251" spans="1:161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61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61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</row>
    <row r="254" spans="1:161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</row>
    <row r="255" spans="1:161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61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</row>
    <row r="257" spans="1:162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</row>
    <row r="258" spans="1:162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62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62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</row>
    <row r="261" spans="1:162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</row>
    <row r="262" spans="1:162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</row>
    <row r="263" spans="1:162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62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62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10">
        <v>36581480.009166665</v>
      </c>
      <c r="EU265" s="410">
        <v>36581480.009166665</v>
      </c>
      <c r="EV265" s="410">
        <v>36581480.009166665</v>
      </c>
      <c r="EW265" s="410">
        <v>36581480.009166665</v>
      </c>
      <c r="EX265" s="410">
        <v>36581480.009166665</v>
      </c>
      <c r="EY265" s="410">
        <v>36581480.009166665</v>
      </c>
      <c r="EZ265" s="410">
        <v>36581480.009166665</v>
      </c>
      <c r="FA265" s="410">
        <v>36581480.009166665</v>
      </c>
      <c r="FB265" s="410">
        <v>42330489.099166654</v>
      </c>
      <c r="FC265" s="410">
        <v>42330489.099166654</v>
      </c>
      <c r="FD265" s="410">
        <v>42330489.099166654</v>
      </c>
      <c r="FE265" s="410">
        <v>42330489.099166654</v>
      </c>
      <c r="FF265" s="410">
        <v>461973796.46999985</v>
      </c>
    </row>
    <row r="266" spans="1:162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62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62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62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62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62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10">
        <v>1045765.8483333333</v>
      </c>
      <c r="EU271" s="410">
        <v>1045765.8483333333</v>
      </c>
      <c r="EV271" s="410">
        <v>1045765.8483333333</v>
      </c>
      <c r="EW271" s="410">
        <v>1064654.7372222226</v>
      </c>
      <c r="EX271" s="410">
        <v>1064654.7372222226</v>
      </c>
      <c r="EY271" s="410">
        <v>1064654.7372222226</v>
      </c>
      <c r="EZ271" s="410">
        <v>1064654.7372222226</v>
      </c>
      <c r="FA271" s="410">
        <v>1064654.7372222226</v>
      </c>
      <c r="FB271" s="410">
        <v>1064654.7372222201</v>
      </c>
      <c r="FC271" s="410">
        <v>1064654.7372222201</v>
      </c>
      <c r="FD271" s="410">
        <v>1064654.7372222226</v>
      </c>
      <c r="FE271" s="410">
        <v>1608087.7372222189</v>
      </c>
      <c r="FF271" s="410">
        <v>13262623.18</v>
      </c>
    </row>
    <row r="272" spans="1:162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62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62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62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62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62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62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62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10">
        <v>2429373.3213333334</v>
      </c>
      <c r="EU279" s="410">
        <v>2429373.3213333334</v>
      </c>
      <c r="EV279" s="410">
        <v>2429373.3213333334</v>
      </c>
      <c r="EW279" s="410">
        <v>2429373.3213333334</v>
      </c>
      <c r="EX279" s="410">
        <v>2429373.3213333334</v>
      </c>
      <c r="EY279" s="410">
        <v>2429373.3213333334</v>
      </c>
      <c r="EZ279" s="410">
        <v>3644059.9819999994</v>
      </c>
      <c r="FA279" s="410">
        <v>3644059.9819999994</v>
      </c>
      <c r="FB279" s="410">
        <v>4454463.4019999988</v>
      </c>
      <c r="FC279" s="410">
        <v>4454463.4019999988</v>
      </c>
      <c r="FD279" s="410">
        <v>4454463.4019999988</v>
      </c>
      <c r="FE279" s="410">
        <v>4454463.4019999988</v>
      </c>
      <c r="FF279" s="410">
        <v>39682213.5</v>
      </c>
    </row>
    <row r="280" spans="1:162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62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62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62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62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62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62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10">
        <v>3986420.5893333331</v>
      </c>
      <c r="EU286" s="410">
        <v>3986420.5893333331</v>
      </c>
      <c r="EV286" s="410">
        <v>3986420.5893333331</v>
      </c>
      <c r="EW286" s="410">
        <v>4097531.7004444432</v>
      </c>
      <c r="EX286" s="410">
        <v>4097531.7004444432</v>
      </c>
      <c r="EY286" s="410">
        <v>4097531.7004444432</v>
      </c>
      <c r="EZ286" s="410">
        <v>6090741.9951111097</v>
      </c>
      <c r="FA286" s="410">
        <v>6090741.9951111097</v>
      </c>
      <c r="FB286" s="410">
        <v>5577148.0201111175</v>
      </c>
      <c r="FC286" s="410">
        <v>5577148.0201111175</v>
      </c>
      <c r="FD286" s="410">
        <v>5577148.0201111175</v>
      </c>
      <c r="FE286" s="410">
        <v>5577148.0201111175</v>
      </c>
      <c r="FF286" s="410">
        <v>58741932.939999998</v>
      </c>
    </row>
    <row r="287" spans="1:162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62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62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62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62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62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62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62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62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62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10">
        <v>1860319.3983333334</v>
      </c>
      <c r="EU296" s="410">
        <v>1860319.3983333334</v>
      </c>
      <c r="EV296" s="410">
        <v>1860319.3983333334</v>
      </c>
      <c r="EW296" s="410">
        <v>1860319.3983333334</v>
      </c>
      <c r="EX296" s="410">
        <v>1860319.3983333334</v>
      </c>
      <c r="EY296" s="410">
        <v>1860319.3983333334</v>
      </c>
      <c r="EZ296" s="410">
        <v>1860319.3983333334</v>
      </c>
      <c r="FA296" s="410">
        <v>1860319.3983333334</v>
      </c>
      <c r="FB296" s="410">
        <v>1850732.9058333328</v>
      </c>
      <c r="FC296" s="410">
        <v>1850732.9058333328</v>
      </c>
      <c r="FD296" s="410">
        <v>1850732.9058333328</v>
      </c>
      <c r="FE296" s="410">
        <v>1850732.9058333328</v>
      </c>
      <c r="FF296" s="410">
        <v>22285486.810000002</v>
      </c>
    </row>
    <row r="297" spans="1:162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62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62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62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10">
        <v>7122725</v>
      </c>
      <c r="EU300" s="410">
        <v>7122725</v>
      </c>
      <c r="EV300" s="410">
        <v>7122725</v>
      </c>
      <c r="EW300" s="410">
        <v>7122725</v>
      </c>
      <c r="EX300" s="410">
        <v>7122725</v>
      </c>
      <c r="EY300" s="410">
        <v>7122725</v>
      </c>
      <c r="EZ300" s="410">
        <v>7122725</v>
      </c>
      <c r="FA300" s="410">
        <v>7122725</v>
      </c>
      <c r="FB300" s="410">
        <v>7615225</v>
      </c>
      <c r="FC300" s="410">
        <v>7615225</v>
      </c>
      <c r="FD300" s="410">
        <v>7615225</v>
      </c>
      <c r="FE300" s="410">
        <v>7615225</v>
      </c>
      <c r="FF300" s="410">
        <v>87442700</v>
      </c>
    </row>
    <row r="301" spans="1:162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62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62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10">
        <v>800010.93333333347</v>
      </c>
      <c r="EU303" s="410">
        <v>800010.93333333347</v>
      </c>
      <c r="EV303" s="410">
        <v>800010.93333333347</v>
      </c>
      <c r="EW303" s="410">
        <v>800010.93333333347</v>
      </c>
      <c r="EX303" s="410">
        <v>800010.93333333347</v>
      </c>
      <c r="EY303" s="410">
        <v>800010.93333333347</v>
      </c>
      <c r="EZ303" s="410">
        <v>800010.93333333347</v>
      </c>
      <c r="FA303" s="410">
        <v>800010.93333333347</v>
      </c>
      <c r="FB303" s="410">
        <v>986109.29833333322</v>
      </c>
      <c r="FC303" s="410">
        <v>986109.29833333322</v>
      </c>
      <c r="FD303" s="410">
        <v>986109.29833333322</v>
      </c>
      <c r="FE303" s="410">
        <v>986109.29833333322</v>
      </c>
      <c r="FF303" s="410">
        <v>10344524.66</v>
      </c>
    </row>
    <row r="304" spans="1:162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62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62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62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10">
        <v>2250983.3333333335</v>
      </c>
      <c r="EU307" s="410">
        <v>2250983.3333333335</v>
      </c>
      <c r="EV307" s="410">
        <v>2250983.3333333335</v>
      </c>
      <c r="EW307" s="410">
        <v>2250983.3333333335</v>
      </c>
      <c r="EX307" s="410">
        <v>2250983.3333333335</v>
      </c>
      <c r="EY307" s="410">
        <v>2250983.3333333335</v>
      </c>
      <c r="EZ307" s="410">
        <v>2250983.3333333335</v>
      </c>
      <c r="FA307" s="410">
        <v>2250983.3333333335</v>
      </c>
      <c r="FB307" s="410">
        <v>2180983.3333333344</v>
      </c>
      <c r="FC307" s="410">
        <v>2180983.3333333344</v>
      </c>
      <c r="FD307" s="410">
        <v>2180983.3333333344</v>
      </c>
      <c r="FE307" s="410">
        <v>2180983.3333333344</v>
      </c>
      <c r="FF307" s="410">
        <v>26731800.000000011</v>
      </c>
    </row>
    <row r="308" spans="1:162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62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62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62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10">
        <v>2581823.9339999999</v>
      </c>
      <c r="EU311" s="410">
        <v>2581823.9339999999</v>
      </c>
      <c r="EV311" s="410">
        <v>2581823.9339999999</v>
      </c>
      <c r="EW311" s="410">
        <v>2696268.3784444444</v>
      </c>
      <c r="EX311" s="410">
        <v>2696268.3784444444</v>
      </c>
      <c r="EY311" s="410">
        <v>2696268.3784444444</v>
      </c>
      <c r="EZ311" s="410">
        <v>3987180.345444445</v>
      </c>
      <c r="FA311" s="410">
        <v>3987180.345444445</v>
      </c>
      <c r="FB311" s="410">
        <v>3877323.0754444436</v>
      </c>
      <c r="FC311" s="410">
        <v>3877323.0754444436</v>
      </c>
      <c r="FD311" s="410">
        <v>3877323.0754444436</v>
      </c>
      <c r="FE311" s="410">
        <v>3877323.0754444436</v>
      </c>
      <c r="FF311" s="410">
        <v>39317929.93</v>
      </c>
    </row>
    <row r="312" spans="1:162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62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62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62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62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62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62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62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62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62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10">
        <v>45950724.162500009</v>
      </c>
      <c r="EU321" s="410">
        <v>45950724.162500009</v>
      </c>
      <c r="EV321" s="410">
        <v>45950724.162500009</v>
      </c>
      <c r="EW321" s="410">
        <v>45950724.162500009</v>
      </c>
      <c r="EX321" s="410">
        <v>45950724.162500009</v>
      </c>
      <c r="EY321" s="410">
        <v>45950724.162500009</v>
      </c>
      <c r="EZ321" s="410">
        <v>45950724.162500009</v>
      </c>
      <c r="FA321" s="410">
        <v>45950724.162500009</v>
      </c>
      <c r="FB321" s="410">
        <v>47831745.139999971</v>
      </c>
      <c r="FC321" s="410">
        <v>47831745.139999971</v>
      </c>
      <c r="FD321" s="410">
        <v>47831745.139999971</v>
      </c>
      <c r="FE321" s="410">
        <v>47831745.139999971</v>
      </c>
      <c r="FF321" s="410">
        <v>558932773.86000001</v>
      </c>
    </row>
    <row r="322" spans="1:162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10">
        <v>6651000</v>
      </c>
      <c r="EU322" s="410">
        <v>6651000</v>
      </c>
      <c r="EV322" s="410">
        <v>6651000</v>
      </c>
      <c r="EW322" s="410">
        <v>6651000</v>
      </c>
      <c r="EX322" s="410">
        <v>6651000</v>
      </c>
      <c r="EY322" s="410">
        <v>6651000</v>
      </c>
      <c r="EZ322" s="410">
        <v>6651000</v>
      </c>
      <c r="FA322" s="410">
        <v>6651000</v>
      </c>
      <c r="FB322" s="410">
        <v>7394520.9774999991</v>
      </c>
      <c r="FC322" s="410">
        <v>7394520.9774999991</v>
      </c>
      <c r="FD322" s="410">
        <v>7394520.9774999991</v>
      </c>
      <c r="FE322" s="410">
        <v>7394520.9774999991</v>
      </c>
      <c r="FF322" s="410">
        <v>82786083.909999996</v>
      </c>
    </row>
    <row r="323" spans="1:162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62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62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62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62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62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62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62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10">
        <v>1699899.96</v>
      </c>
      <c r="EU330" s="410">
        <v>1699899.96</v>
      </c>
      <c r="EV330" s="410">
        <v>1699899.96</v>
      </c>
      <c r="EW330" s="410">
        <v>1699899.96</v>
      </c>
      <c r="EX330" s="410">
        <v>1699899.96</v>
      </c>
      <c r="EY330" s="410">
        <v>1699899.96</v>
      </c>
      <c r="EZ330" s="410">
        <v>1699899.96</v>
      </c>
      <c r="FA330" s="410">
        <v>1699899.96</v>
      </c>
      <c r="FB330" s="410">
        <v>924899.9599999981</v>
      </c>
      <c r="FC330" s="410">
        <v>924899.9599999981</v>
      </c>
      <c r="FD330" s="410">
        <v>924899.9599999981</v>
      </c>
      <c r="FE330" s="410">
        <v>924899.9599999981</v>
      </c>
      <c r="FF330" s="410">
        <v>17298799.519999992</v>
      </c>
    </row>
    <row r="331" spans="1:162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62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62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62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62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62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10">
        <v>35472732.535833336</v>
      </c>
      <c r="EU336" s="410">
        <v>35472732.535833336</v>
      </c>
      <c r="EV336" s="410">
        <v>35472732.535833336</v>
      </c>
      <c r="EW336" s="410">
        <v>35472732.535833336</v>
      </c>
      <c r="EX336" s="410">
        <v>35472732.535833336</v>
      </c>
      <c r="EY336" s="410">
        <v>35472732.535833336</v>
      </c>
      <c r="EZ336" s="410">
        <v>35472732.535833336</v>
      </c>
      <c r="FA336" s="410">
        <v>35472732.535833336</v>
      </c>
      <c r="FB336" s="410">
        <v>35472732.535833336</v>
      </c>
      <c r="FC336" s="410">
        <v>35472732.535833336</v>
      </c>
      <c r="FD336" s="410">
        <v>35472732.535833336</v>
      </c>
      <c r="FE336" s="410">
        <v>35472732.535833336</v>
      </c>
      <c r="FF336" s="410">
        <v>425672790.43000013</v>
      </c>
    </row>
    <row r="337" spans="1:162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62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62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62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62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62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62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62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10">
        <v>1375008.3333333333</v>
      </c>
      <c r="EU344" s="410">
        <v>1375008.3333333333</v>
      </c>
      <c r="EV344" s="410">
        <v>1375008.3333333333</v>
      </c>
      <c r="EW344" s="410">
        <v>1375008.3333333333</v>
      </c>
      <c r="EX344" s="410">
        <v>1375008.3333333333</v>
      </c>
      <c r="EY344" s="410">
        <v>1375008.3333333333</v>
      </c>
      <c r="EZ344" s="410">
        <v>1375008.3333333333</v>
      </c>
      <c r="FA344" s="410">
        <v>1375008.3333333333</v>
      </c>
      <c r="FB344" s="410">
        <v>2000008.3333333328</v>
      </c>
      <c r="FC344" s="410">
        <v>2000008.3333333328</v>
      </c>
      <c r="FD344" s="410">
        <v>2000008.3333333328</v>
      </c>
      <c r="FE344" s="410">
        <v>2000008.3333333328</v>
      </c>
      <c r="FF344" s="410">
        <v>19000099.999999996</v>
      </c>
    </row>
    <row r="345" spans="1:162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62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10">
        <v>752083.33333333337</v>
      </c>
      <c r="EU346" s="410">
        <v>752083.33333333337</v>
      </c>
      <c r="EV346" s="410">
        <v>752083.33333333337</v>
      </c>
      <c r="EW346" s="410">
        <v>752083.33333333337</v>
      </c>
      <c r="EX346" s="410">
        <v>752083.33333333337</v>
      </c>
      <c r="EY346" s="410">
        <v>752083.33333333337</v>
      </c>
      <c r="EZ346" s="410">
        <v>752083.33333333337</v>
      </c>
      <c r="FA346" s="410">
        <v>752083.33333333337</v>
      </c>
      <c r="FB346" s="410">
        <v>2039583.333333334</v>
      </c>
      <c r="FC346" s="410">
        <v>2039583.333333334</v>
      </c>
      <c r="FD346" s="410">
        <v>2039583.333333334</v>
      </c>
      <c r="FE346" s="410">
        <v>2039583.333333334</v>
      </c>
      <c r="FF346" s="410">
        <v>14175000.000000002</v>
      </c>
    </row>
    <row r="347" spans="1:162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62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62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62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10">
        <v>15295211.558333334</v>
      </c>
      <c r="EU350" s="410">
        <v>15295211.558333334</v>
      </c>
      <c r="EV350" s="410">
        <v>15295211.558333334</v>
      </c>
      <c r="EW350" s="410">
        <v>18161878.224999998</v>
      </c>
      <c r="EX350" s="410">
        <v>18161878.224999998</v>
      </c>
      <c r="EY350" s="410">
        <v>18161878.224999998</v>
      </c>
      <c r="EZ350" s="410">
        <v>15295211.558333334</v>
      </c>
      <c r="FA350" s="410">
        <v>15295211.558333334</v>
      </c>
      <c r="FB350" s="410">
        <v>18930636.555833336</v>
      </c>
      <c r="FC350" s="410">
        <v>18930636.555833336</v>
      </c>
      <c r="FD350" s="410">
        <v>18930636.555833336</v>
      </c>
      <c r="FE350" s="410">
        <v>18930636.555833336</v>
      </c>
      <c r="FF350" s="410">
        <v>206684238.69</v>
      </c>
    </row>
    <row r="351" spans="1:162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10">
        <v>14810545.166666666</v>
      </c>
      <c r="EU351" s="410">
        <v>14810545.166666666</v>
      </c>
      <c r="EV351" s="410">
        <v>14810545.166666666</v>
      </c>
      <c r="EW351" s="410">
        <v>17677211.833333332</v>
      </c>
      <c r="EX351" s="410">
        <v>17677211.833333332</v>
      </c>
      <c r="EY351" s="410">
        <v>17677211.833333332</v>
      </c>
      <c r="EZ351" s="410">
        <v>14810545.166666666</v>
      </c>
      <c r="FA351" s="410">
        <v>14810545.166666666</v>
      </c>
      <c r="FB351" s="410">
        <v>18469212.55916667</v>
      </c>
      <c r="FC351" s="410">
        <v>18469212.55916667</v>
      </c>
      <c r="FD351" s="410">
        <v>18469212.55916667</v>
      </c>
      <c r="FE351" s="410">
        <v>18469212.55916667</v>
      </c>
      <c r="FF351" s="410">
        <v>200961211.56999999</v>
      </c>
    </row>
    <row r="352" spans="1:162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62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62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62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62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62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62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62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62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62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10">
        <v>484666.39166666666</v>
      </c>
      <c r="EU361" s="410">
        <v>484666.39166666666</v>
      </c>
      <c r="EV361" s="410">
        <v>484666.39166666666</v>
      </c>
      <c r="EW361" s="410">
        <v>484666.39166666666</v>
      </c>
      <c r="EX361" s="410">
        <v>484666.39166666666</v>
      </c>
      <c r="EY361" s="410">
        <v>484666.39166666666</v>
      </c>
      <c r="EZ361" s="410">
        <v>484666.39166666666</v>
      </c>
      <c r="FA361" s="410">
        <v>484666.39166666666</v>
      </c>
      <c r="FB361" s="410">
        <v>461423.99666666664</v>
      </c>
      <c r="FC361" s="410">
        <v>461423.99666666664</v>
      </c>
      <c r="FD361" s="410">
        <v>461423.99666666664</v>
      </c>
      <c r="FE361" s="410">
        <v>461423.99666666664</v>
      </c>
      <c r="FF361" s="410">
        <v>5723027.120000001</v>
      </c>
    </row>
    <row r="362" spans="1:162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62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62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62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62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62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62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554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10">
        <v>21472083.333333332</v>
      </c>
      <c r="EU368" s="410">
        <v>21472083.333333332</v>
      </c>
      <c r="EV368" s="410">
        <v>21472083.333333332</v>
      </c>
      <c r="EW368" s="410">
        <v>21472083.333333332</v>
      </c>
      <c r="EX368" s="410">
        <v>21472083.333333332</v>
      </c>
      <c r="EY368" s="410">
        <v>21472083.333333332</v>
      </c>
      <c r="EZ368" s="410">
        <v>26990416.666666664</v>
      </c>
      <c r="FA368" s="410">
        <v>26990416.666666664</v>
      </c>
      <c r="FB368" s="410">
        <v>26315416.666666701</v>
      </c>
      <c r="FC368" s="410">
        <v>26315416.666666701</v>
      </c>
      <c r="FD368" s="410">
        <v>26815416.670000002</v>
      </c>
      <c r="FE368" s="410">
        <v>26815416.66</v>
      </c>
      <c r="FF368" s="410">
        <v>289074999.99666673</v>
      </c>
    </row>
    <row r="369" spans="1:162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425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10">
        <v>3322124.294666667</v>
      </c>
      <c r="EU369" s="410">
        <v>3322124.294666667</v>
      </c>
      <c r="EV369" s="410">
        <v>3322124.294666667</v>
      </c>
      <c r="EW369" s="410">
        <v>3322124.294666667</v>
      </c>
      <c r="EX369" s="410">
        <v>3522124.2900000066</v>
      </c>
      <c r="EY369" s="410">
        <v>3322124.294666667</v>
      </c>
      <c r="EZ369" s="410">
        <v>4983186.4420000007</v>
      </c>
      <c r="FA369" s="410">
        <v>4983186.4420000007</v>
      </c>
      <c r="FB369" s="410">
        <v>5687111.6931666648</v>
      </c>
      <c r="FC369" s="410">
        <v>5687111.6931666648</v>
      </c>
      <c r="FD369" s="410">
        <v>5687111.6931666601</v>
      </c>
      <c r="FE369" s="410">
        <v>5687111.6931666601</v>
      </c>
      <c r="FF369" s="410">
        <v>52847565.419999987</v>
      </c>
    </row>
    <row r="370" spans="1:162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62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62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62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62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62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62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62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10">
        <v>70000000</v>
      </c>
    </row>
    <row r="378" spans="1:162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62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10">
        <v>239583.41666666666</v>
      </c>
      <c r="EU379" s="410">
        <v>239583.41666666666</v>
      </c>
      <c r="EV379" s="410">
        <v>239583.41666666666</v>
      </c>
      <c r="EW379" s="410">
        <v>239583.41666666666</v>
      </c>
      <c r="EX379" s="410">
        <v>239583.41666666666</v>
      </c>
      <c r="EY379" s="410">
        <v>239583.41666666666</v>
      </c>
      <c r="EZ379" s="410">
        <v>239583.41666666666</v>
      </c>
      <c r="FA379" s="410">
        <v>239583.41666666666</v>
      </c>
      <c r="FB379" s="410">
        <v>239583.41666666666</v>
      </c>
      <c r="FC379" s="410">
        <v>239583.41666666666</v>
      </c>
      <c r="FD379" s="410">
        <v>239583.41666666666</v>
      </c>
      <c r="FE379" s="410">
        <v>239583.41666666666</v>
      </c>
      <c r="FF379" s="410">
        <v>2875000.9999999995</v>
      </c>
    </row>
    <row r="380" spans="1:162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62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62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62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62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62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62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6">
        <f>DV387+DV390+DV393</f>
        <v>32768615.2925</v>
      </c>
      <c r="DW386" s="396">
        <f t="shared" ref="DW386:ES386" si="106">DW387+DW390+DW393</f>
        <v>32768615.2925</v>
      </c>
      <c r="DX386" s="396">
        <f t="shared" si="106"/>
        <v>32768615.2925</v>
      </c>
      <c r="DY386" s="396">
        <f t="shared" si="106"/>
        <v>32768615.2925</v>
      </c>
      <c r="DZ386" s="396">
        <f t="shared" si="106"/>
        <v>32768615.2925</v>
      </c>
      <c r="EA386" s="396">
        <f t="shared" si="106"/>
        <v>32768615.2925</v>
      </c>
      <c r="EB386" s="396">
        <f t="shared" si="106"/>
        <v>32768615.2925</v>
      </c>
      <c r="EC386" s="396">
        <f t="shared" si="106"/>
        <v>32768615.2925</v>
      </c>
      <c r="ED386" s="396">
        <f t="shared" si="106"/>
        <v>32768615.2925</v>
      </c>
      <c r="EE386" s="396">
        <f t="shared" si="106"/>
        <v>32768615.2925</v>
      </c>
      <c r="EF386" s="396">
        <f t="shared" si="106"/>
        <v>32768615.2925</v>
      </c>
      <c r="EG386" s="396">
        <f t="shared" si="106"/>
        <v>32768615.2925</v>
      </c>
      <c r="EH386" s="396">
        <f t="shared" si="106"/>
        <v>4617467.5633333325</v>
      </c>
      <c r="EI386" s="396">
        <f t="shared" si="106"/>
        <v>5248180.4533333331</v>
      </c>
      <c r="EJ386" s="396">
        <f t="shared" si="106"/>
        <v>18465645.143333334</v>
      </c>
      <c r="EK386" s="396">
        <f t="shared" si="106"/>
        <v>67460865.603333324</v>
      </c>
      <c r="EL386" s="396">
        <f t="shared" si="106"/>
        <v>10247541.783333333</v>
      </c>
      <c r="EM386" s="396">
        <f t="shared" si="106"/>
        <v>16046343.563333331</v>
      </c>
      <c r="EN386" s="396">
        <f t="shared" si="106"/>
        <v>23103608.363333337</v>
      </c>
      <c r="EO386" s="396">
        <f t="shared" si="106"/>
        <v>16877006.883333333</v>
      </c>
      <c r="EP386" s="396">
        <f t="shared" si="106"/>
        <v>17318908.093333334</v>
      </c>
      <c r="EQ386" s="396">
        <f t="shared" si="106"/>
        <v>9686739.4033333324</v>
      </c>
      <c r="ER386" s="396">
        <f t="shared" si="106"/>
        <v>11714826.133333333</v>
      </c>
      <c r="ES386" s="396">
        <f t="shared" si="106"/>
        <v>19628370.163333334</v>
      </c>
    </row>
    <row r="387" spans="1:162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</row>
    <row r="388" spans="1:162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13">
        <v>1983333.3333333333</v>
      </c>
      <c r="CS388" s="413">
        <v>1983333.3333333333</v>
      </c>
      <c r="CT388" s="413">
        <v>1983333.3333333333</v>
      </c>
      <c r="CU388" s="413">
        <v>1983333.3333333333</v>
      </c>
      <c r="CV388" s="413">
        <v>1983333.3333333333</v>
      </c>
      <c r="CW388" s="414">
        <v>1983333.3333333333</v>
      </c>
      <c r="CX388" s="415">
        <v>2500695.4391666665</v>
      </c>
      <c r="CY388" s="416">
        <v>2500695.4391666665</v>
      </c>
      <c r="CZ388" s="416">
        <v>2500695.4391666665</v>
      </c>
      <c r="DA388" s="416">
        <v>2500695.4391666665</v>
      </c>
      <c r="DB388" s="416">
        <v>2500695.4391666665</v>
      </c>
      <c r="DC388" s="416">
        <v>2500695.4391666665</v>
      </c>
      <c r="DD388" s="416">
        <v>2500695.4391666665</v>
      </c>
      <c r="DE388" s="416">
        <v>2500695.4391666665</v>
      </c>
      <c r="DF388" s="416">
        <v>2500695.4391666665</v>
      </c>
      <c r="DG388" s="416">
        <v>2500695.4391666665</v>
      </c>
      <c r="DH388" s="416">
        <v>2500695.4391666665</v>
      </c>
      <c r="DI388" s="417">
        <v>2500695.4391666665</v>
      </c>
      <c r="DJ388" s="418">
        <v>3892510.16</v>
      </c>
      <c r="DK388" s="413">
        <v>3892510.16</v>
      </c>
      <c r="DL388" s="413">
        <v>3892510.16</v>
      </c>
      <c r="DM388" s="413">
        <v>3892510.16</v>
      </c>
      <c r="DN388" s="413">
        <v>3892510.16</v>
      </c>
      <c r="DO388" s="413">
        <v>3892510.16</v>
      </c>
      <c r="DP388" s="413">
        <v>3892510.16</v>
      </c>
      <c r="DQ388" s="413">
        <v>3892510.16</v>
      </c>
      <c r="DR388" s="413">
        <v>3892510.16</v>
      </c>
      <c r="DS388" s="413">
        <v>3892510.16</v>
      </c>
      <c r="DT388" s="413">
        <v>3892510.16</v>
      </c>
      <c r="DU388" s="414">
        <v>3892510.16</v>
      </c>
      <c r="DV388" s="419">
        <v>3722931.8866666667</v>
      </c>
      <c r="DW388" s="419">
        <v>3722931.8866666667</v>
      </c>
      <c r="DX388" s="419">
        <v>3722931.8866666667</v>
      </c>
      <c r="DY388" s="419">
        <v>3722931.8866666667</v>
      </c>
      <c r="DZ388" s="419">
        <v>3722931.8866666667</v>
      </c>
      <c r="EA388" s="419">
        <v>3722931.8866666667</v>
      </c>
      <c r="EB388" s="419">
        <v>3722931.8866666667</v>
      </c>
      <c r="EC388" s="419">
        <v>3722931.8866666667</v>
      </c>
      <c r="ED388" s="419">
        <v>3722931.8866666667</v>
      </c>
      <c r="EE388" s="419">
        <v>3722931.8866666667</v>
      </c>
      <c r="EF388" s="419">
        <v>3722931.8866666667</v>
      </c>
      <c r="EG388" s="419">
        <v>3722931.8866666667</v>
      </c>
      <c r="EH388" s="419">
        <v>174340.51</v>
      </c>
      <c r="EI388" s="419">
        <v>177326.85</v>
      </c>
      <c r="EJ388" s="419">
        <v>7687779.1100000003</v>
      </c>
      <c r="EK388" s="419">
        <v>191127.48</v>
      </c>
      <c r="EL388" s="419">
        <v>949797.77</v>
      </c>
      <c r="EM388" s="419">
        <v>2019268.13</v>
      </c>
      <c r="EN388" s="419">
        <v>10660481.32</v>
      </c>
      <c r="EO388" s="419">
        <v>11526152.189999999</v>
      </c>
      <c r="EP388" s="419">
        <v>10016017.119999999</v>
      </c>
      <c r="EQ388" s="419">
        <v>1834828.67</v>
      </c>
      <c r="ER388" s="419">
        <v>2345417.37</v>
      </c>
      <c r="ES388" s="419">
        <v>4329305.63</v>
      </c>
      <c r="ET388" s="446">
        <v>116701.86</v>
      </c>
      <c r="EU388" s="447">
        <v>867332.36</v>
      </c>
      <c r="EV388" s="447">
        <v>7801367.0199999996</v>
      </c>
      <c r="EW388" s="447">
        <v>4481623.79</v>
      </c>
      <c r="EX388" s="447">
        <v>2831467.37</v>
      </c>
      <c r="EY388" s="447">
        <v>7170000.0800000001</v>
      </c>
      <c r="EZ388" s="447">
        <v>82322.3</v>
      </c>
      <c r="FA388" s="447">
        <v>10832753.109999999</v>
      </c>
      <c r="FB388" s="447">
        <v>1958366.01</v>
      </c>
      <c r="FC388" s="447">
        <v>1510132.11</v>
      </c>
      <c r="FD388" s="447">
        <v>834059.15</v>
      </c>
      <c r="FE388" s="447">
        <v>12202154.65</v>
      </c>
      <c r="FF388" s="41">
        <v>50680000</v>
      </c>
    </row>
    <row r="389" spans="1:162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46">
        <v>2071825.5645770216</v>
      </c>
      <c r="EU389" s="447">
        <v>2862393.2253735214</v>
      </c>
      <c r="EV389" s="447">
        <v>12467636.918240691</v>
      </c>
      <c r="EW389" s="447">
        <v>17326274.372907523</v>
      </c>
      <c r="EX389" s="447">
        <v>15150457.606090657</v>
      </c>
      <c r="EY389" s="447">
        <v>8947929.7645770218</v>
      </c>
      <c r="EZ389" s="447">
        <v>2071825.5545770216</v>
      </c>
      <c r="FA389" s="447">
        <v>2989936.9753735219</v>
      </c>
      <c r="FB389" s="447">
        <v>16625761.232895471</v>
      </c>
      <c r="FC389" s="447">
        <v>4165314.0029075216</v>
      </c>
      <c r="FD389" s="447">
        <v>6972714.957903021</v>
      </c>
      <c r="FE389" s="447">
        <v>369847929.82457697</v>
      </c>
      <c r="FF389" s="41">
        <v>461500000</v>
      </c>
    </row>
    <row r="390" spans="1:162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</row>
    <row r="391" spans="1:162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62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62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10">
        <v>2681427.6666666665</v>
      </c>
      <c r="CS393" s="410">
        <v>2681427.6666666665</v>
      </c>
      <c r="CT393" s="410">
        <v>2681427.6666666665</v>
      </c>
      <c r="CU393" s="410">
        <v>2681427.6666666665</v>
      </c>
      <c r="CV393" s="410">
        <v>2681427.6666666665</v>
      </c>
      <c r="CW393" s="410">
        <v>2681427.6666666665</v>
      </c>
      <c r="CX393" s="410">
        <v>2778179.9974999996</v>
      </c>
      <c r="CY393" s="410">
        <v>2778179.9974999996</v>
      </c>
      <c r="CZ393" s="410">
        <v>2778179.9974999996</v>
      </c>
      <c r="DA393" s="410">
        <v>2778179.9974999996</v>
      </c>
      <c r="DB393" s="410">
        <v>2778179.9974999996</v>
      </c>
      <c r="DC393" s="410">
        <v>2778179.9974999996</v>
      </c>
      <c r="DD393" s="410">
        <v>2778179.9974999996</v>
      </c>
      <c r="DE393" s="410">
        <v>2778179.9974999996</v>
      </c>
      <c r="DF393" s="410">
        <v>2778179.9974999996</v>
      </c>
      <c r="DG393" s="410">
        <v>2778179.9974999996</v>
      </c>
      <c r="DH393" s="410">
        <v>2778179.9974999996</v>
      </c>
      <c r="DI393" s="410">
        <v>2778179.9974999996</v>
      </c>
      <c r="DJ393" s="410">
        <v>2817590</v>
      </c>
      <c r="DK393" s="410">
        <v>2817590</v>
      </c>
      <c r="DL393" s="410">
        <v>2817590</v>
      </c>
      <c r="DM393" s="410">
        <v>2817590</v>
      </c>
      <c r="DN393" s="410">
        <v>2817590</v>
      </c>
      <c r="DO393" s="410">
        <v>2817590</v>
      </c>
      <c r="DP393" s="410">
        <v>2817590</v>
      </c>
      <c r="DQ393" s="410">
        <v>2817590</v>
      </c>
      <c r="DR393" s="410">
        <v>2817590</v>
      </c>
      <c r="DS393" s="410">
        <v>2817590</v>
      </c>
      <c r="DT393" s="410">
        <v>2817590</v>
      </c>
      <c r="DU393" s="410">
        <v>2817590</v>
      </c>
      <c r="DV393" s="410">
        <v>3281229.6141666663</v>
      </c>
      <c r="DW393" s="410">
        <v>3281229.6141666663</v>
      </c>
      <c r="DX393" s="410">
        <v>3281229.6141666663</v>
      </c>
      <c r="DY393" s="410">
        <v>3281229.6141666663</v>
      </c>
      <c r="DZ393" s="410">
        <v>3281229.6141666663</v>
      </c>
      <c r="EA393" s="410">
        <v>3281229.6141666663</v>
      </c>
      <c r="EB393" s="410">
        <v>3281229.6141666663</v>
      </c>
      <c r="EC393" s="410">
        <v>3281229.6141666663</v>
      </c>
      <c r="ED393" s="410">
        <v>3281229.6141666663</v>
      </c>
      <c r="EE393" s="410">
        <v>3281229.6141666663</v>
      </c>
      <c r="EF393" s="410">
        <v>3281229.6141666663</v>
      </c>
      <c r="EG393" s="410">
        <v>3281229.6141666663</v>
      </c>
      <c r="EH393" s="410">
        <v>2809708.2333333329</v>
      </c>
      <c r="EI393" s="410">
        <v>2809708.2333333329</v>
      </c>
      <c r="EJ393" s="410">
        <v>2809708.2333333329</v>
      </c>
      <c r="EK393" s="410">
        <v>2809708.2333333329</v>
      </c>
      <c r="EL393" s="410">
        <v>2809708.2333333329</v>
      </c>
      <c r="EM393" s="410">
        <v>2809708.2333333329</v>
      </c>
      <c r="EN393" s="410">
        <v>2809708.2333333329</v>
      </c>
      <c r="EO393" s="410">
        <v>2809708.2333333329</v>
      </c>
      <c r="EP393" s="410">
        <v>2809708.2333333329</v>
      </c>
      <c r="EQ393" s="410">
        <v>2809708.2333333329</v>
      </c>
      <c r="ER393" s="410">
        <v>2809708.2333333329</v>
      </c>
      <c r="ES393" s="410">
        <v>2809708.2333333329</v>
      </c>
      <c r="ET393" s="410">
        <v>1807457.9166666667</v>
      </c>
      <c r="EU393" s="410">
        <v>1882457.9166666667</v>
      </c>
      <c r="EV393" s="410">
        <v>1937457.9166666667</v>
      </c>
      <c r="EW393" s="410">
        <v>1912457.9166666667</v>
      </c>
      <c r="EX393" s="410">
        <v>1967457.9166666667</v>
      </c>
      <c r="EY393" s="410">
        <v>1907457.9166666667</v>
      </c>
      <c r="EZ393" s="410">
        <v>3852457.9166666665</v>
      </c>
      <c r="FA393" s="410">
        <v>3337457.9166666665</v>
      </c>
      <c r="FB393" s="410">
        <v>2702457.9166666698</v>
      </c>
      <c r="FC393" s="410">
        <v>2797457.9166666698</v>
      </c>
      <c r="FD393" s="410">
        <v>2792457.9166666698</v>
      </c>
      <c r="FE393" s="410">
        <v>3347457.9166666698</v>
      </c>
      <c r="FF393" s="410">
        <v>30244495.000000015</v>
      </c>
    </row>
    <row r="394" spans="1:162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10">
        <v>830846.24800000002</v>
      </c>
      <c r="EU394" s="410">
        <v>830846.24800000002</v>
      </c>
      <c r="EV394" s="410">
        <v>830846.24800000002</v>
      </c>
      <c r="EW394" s="410">
        <v>949846.13199999998</v>
      </c>
      <c r="EX394" s="410">
        <v>1306845.784</v>
      </c>
      <c r="EY394" s="410">
        <v>830846.24800000002</v>
      </c>
      <c r="EZ394" s="410">
        <v>1246269.3720000002</v>
      </c>
      <c r="FA394" s="410">
        <v>1246269.3720000002</v>
      </c>
      <c r="FB394" s="410">
        <v>5393218.1470000008</v>
      </c>
      <c r="FC394" s="410">
        <v>5393218.1470000008</v>
      </c>
      <c r="FD394" s="410">
        <v>5393218.1470000008</v>
      </c>
      <c r="FE394" s="410">
        <v>5393218.1470000008</v>
      </c>
      <c r="FF394" s="410">
        <v>29645488.240000002</v>
      </c>
    </row>
    <row r="395" spans="1:162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10">
        <v>830846.24800000002</v>
      </c>
      <c r="EU395" s="410">
        <v>830846.24800000002</v>
      </c>
      <c r="EV395" s="410">
        <v>830846.24800000002</v>
      </c>
      <c r="EW395" s="410">
        <v>830846.24800000002</v>
      </c>
      <c r="EX395" s="410">
        <v>830846.24800000002</v>
      </c>
      <c r="EY395" s="410">
        <v>830846.24800000002</v>
      </c>
      <c r="EZ395" s="410">
        <v>1246269.3720000002</v>
      </c>
      <c r="FA395" s="410">
        <v>1246269.3720000002</v>
      </c>
      <c r="FB395" s="410">
        <v>2223304.53675</v>
      </c>
      <c r="FC395" s="410">
        <v>3116522.6837499999</v>
      </c>
      <c r="FD395" s="410">
        <v>8116522.6837499999</v>
      </c>
      <c r="FE395" s="410">
        <v>8116522.6837499999</v>
      </c>
      <c r="FF395" s="410">
        <v>29050488.82</v>
      </c>
    </row>
    <row r="396" spans="1:162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10">
        <v>0</v>
      </c>
      <c r="EU396" s="410">
        <v>0</v>
      </c>
      <c r="EV396" s="410">
        <v>0</v>
      </c>
      <c r="EW396" s="410">
        <v>118999.88400000001</v>
      </c>
      <c r="EX396" s="410">
        <v>475999.53600000002</v>
      </c>
      <c r="EY396" s="410">
        <v>0</v>
      </c>
      <c r="EZ396" s="410">
        <v>0</v>
      </c>
      <c r="FA396" s="410">
        <v>0</v>
      </c>
      <c r="FB396" s="410">
        <v>0</v>
      </c>
      <c r="FC396" s="410">
        <v>0</v>
      </c>
      <c r="FD396" s="410">
        <v>0</v>
      </c>
      <c r="FE396" s="410">
        <v>0</v>
      </c>
      <c r="FF396" s="410">
        <v>594999.42000000004</v>
      </c>
    </row>
    <row r="397" spans="1:162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62">
      <c r="D398" s="74">
        <v>1005</v>
      </c>
      <c r="E398" s="78" t="s">
        <v>699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62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62">
      <c r="FF400" s="412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2</v>
      </c>
      <c r="C2" s="56" t="s">
        <v>0</v>
      </c>
    </row>
    <row r="3" spans="2:7" ht="15.75" thickBot="1">
      <c r="B3" s="305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5">
        <v>2018</v>
      </c>
      <c r="C4" s="56" t="s">
        <v>694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754</v>
      </c>
      <c r="F11" s="12" t="s">
        <v>755</v>
      </c>
      <c r="G11" s="52" t="str">
        <f t="shared" si="0"/>
        <v>Montly Data 2017</v>
      </c>
    </row>
    <row r="12" spans="2:7">
      <c r="D12" s="41"/>
      <c r="E12" s="11" t="s">
        <v>732</v>
      </c>
      <c r="F12" s="12" t="s">
        <v>733</v>
      </c>
      <c r="G12" s="52" t="str">
        <f t="shared" si="0"/>
        <v>Montly Data 2016</v>
      </c>
    </row>
    <row r="13" spans="2:7">
      <c r="E13" s="11" t="s">
        <v>703</v>
      </c>
      <c r="F13" s="12" t="s">
        <v>704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756</v>
      </c>
      <c r="F16" s="12" t="s">
        <v>757</v>
      </c>
      <c r="G16" s="52" t="str">
        <f t="shared" si="0"/>
        <v>Montly Data 2012</v>
      </c>
    </row>
    <row r="17" spans="2:7">
      <c r="E17" s="11" t="s">
        <v>758</v>
      </c>
      <c r="F17" s="12" t="s">
        <v>759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695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738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776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735</v>
      </c>
      <c r="F94" s="22" t="s">
        <v>737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735</v>
      </c>
      <c r="F146" s="22" t="s">
        <v>736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554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557</v>
      </c>
      <c r="F217" s="96" t="s">
        <v>558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559</v>
      </c>
      <c r="F218" s="96" t="s">
        <v>560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555</v>
      </c>
      <c r="F220" s="96" t="s">
        <v>561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556</v>
      </c>
      <c r="F221" s="96" t="s">
        <v>562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563</v>
      </c>
      <c r="F223" s="96" t="s">
        <v>564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699</v>
      </c>
      <c r="F225" s="96" t="s">
        <v>700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October</v>
      </c>
    </row>
    <row r="243" spans="4:7">
      <c r="D243" s="49"/>
      <c r="E243" s="9"/>
      <c r="F243" s="10"/>
      <c r="G243" s="52" t="str">
        <f>+CONCATENATE("Jan - ",LEFT(G242,3))</f>
        <v>Jan - Oct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568</v>
      </c>
      <c r="F249" s="10" t="s">
        <v>565</v>
      </c>
      <c r="G249" s="52" t="str">
        <f t="shared" si="3"/>
        <v>Budget Execution</v>
      </c>
    </row>
    <row r="250" spans="4:7">
      <c r="D250" s="46"/>
      <c r="E250" s="9" t="s">
        <v>566</v>
      </c>
      <c r="F250" s="10" t="s">
        <v>567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October</v>
      </c>
      <c r="F251" s="10" t="str">
        <f>+CONCATENATE("Analytics for period ",G242)</f>
        <v>Analytics for period October</v>
      </c>
      <c r="G251" s="52" t="str">
        <f>+IF(ISBLANK(IF($B$2=1,E251,F251)),"",IF($B$2=1,E251,F251))</f>
        <v>Analytics for period October</v>
      </c>
    </row>
    <row r="252" spans="4:7">
      <c r="D252" s="46"/>
      <c r="E252" s="9" t="str">
        <f>+CONCATENATE("Analitika za period ",G243)</f>
        <v>Analitika za period Jan - Oct</v>
      </c>
      <c r="F252" s="10" t="str">
        <f>+CONCATENATE("Analytics for period ",G243)</f>
        <v>Analytics for period Jan - Oct</v>
      </c>
      <c r="G252" s="52" t="str">
        <f>+IF(ISBLANK(IF($B$2=1,E252,F252)),"",IF($B$2=1,E252,F252))</f>
        <v>Analytics for period Jan - Oct</v>
      </c>
    </row>
    <row r="253" spans="4:7">
      <c r="D253" s="39"/>
      <c r="E253" s="144"/>
      <c r="F253" s="145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691</v>
      </c>
      <c r="F258" s="10" t="s">
        <v>692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696</v>
      </c>
      <c r="F260" s="10" t="s">
        <v>697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October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October</v>
      </c>
    </row>
    <row r="269" spans="4:7">
      <c r="E269" s="9" t="s">
        <v>741</v>
      </c>
      <c r="F269" s="10" t="s">
        <v>406</v>
      </c>
      <c r="G269" s="52" t="str">
        <f>+CONCATENATE(IF(ISBLANK(IF($B$2=1,E269,F269)),"",IF($B$2=1,E269,F269))," ",$G$242)</f>
        <v>Deficit for October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October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October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October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1" t="s">
        <v>701</v>
      </c>
      <c r="F279" s="60" t="s">
        <v>702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E32" sqref="E32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Montenegro</v>
      </c>
      <c r="I2" s="151"/>
    </row>
    <row r="3" spans="3:11" s="148" customFormat="1">
      <c r="E3" s="151" t="str">
        <f>+Master!G7</f>
        <v>Ministry of Finance</v>
      </c>
    </row>
    <row r="4" spans="3:11" s="148" customFormat="1">
      <c r="E4" s="151" t="str">
        <f>+Master!G8</f>
        <v>Direcorate for Economic Policy and Developement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+Master!G267</f>
        <v>Revenues for October</v>
      </c>
      <c r="E11" s="157"/>
      <c r="F11" s="157"/>
      <c r="G11" s="157"/>
      <c r="H11" s="318" t="str">
        <f>+Master!G271</f>
        <v>Revenues for period January - October</v>
      </c>
      <c r="I11" s="319"/>
      <c r="J11" s="307"/>
      <c r="K11" s="158"/>
    </row>
    <row r="12" spans="3:11">
      <c r="C12" s="156"/>
      <c r="D12" s="160">
        <f>+'Analytics - 2018'!N10</f>
        <v>145723069.17000002</v>
      </c>
      <c r="E12" s="161">
        <f>+D12/'2018'!T7</f>
        <v>3.2887916488749468E-2</v>
      </c>
      <c r="F12" s="157"/>
      <c r="G12" s="157"/>
      <c r="H12" s="320">
        <f>+'Analytics - 2018'!G10</f>
        <v>1418782350.0500002</v>
      </c>
      <c r="I12" s="321">
        <f>+H12/'2018'!T7</f>
        <v>0.32020184388047579</v>
      </c>
      <c r="J12" s="307"/>
      <c r="K12" s="158"/>
    </row>
    <row r="13" spans="3:11">
      <c r="C13" s="156"/>
      <c r="D13" s="162" t="s">
        <v>428</v>
      </c>
      <c r="E13" s="162" t="str">
        <f>+Master!G247</f>
        <v>% GDP</v>
      </c>
      <c r="F13" s="157"/>
      <c r="G13" s="157"/>
      <c r="H13" s="322" t="str">
        <f>+D13</f>
        <v>mil. €</v>
      </c>
      <c r="I13" s="322" t="str">
        <f>+E13</f>
        <v>% GDP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+Master!G268</f>
        <v>Expenditures for October</v>
      </c>
      <c r="E15" s="157"/>
      <c r="F15" s="157"/>
      <c r="G15" s="157"/>
      <c r="H15" s="318" t="str">
        <f>+Master!G272</f>
        <v>Expenditures for period January - October</v>
      </c>
      <c r="I15" s="319"/>
      <c r="J15" s="307"/>
      <c r="K15" s="158"/>
    </row>
    <row r="16" spans="3:11">
      <c r="C16" s="156"/>
      <c r="D16" s="160">
        <f>+'Analytics - 2018'!N29</f>
        <v>158387881.82999998</v>
      </c>
      <c r="E16" s="161">
        <f>+D16/'2018'!T7</f>
        <v>3.5746209986684416E-2</v>
      </c>
      <c r="F16" s="157"/>
      <c r="G16" s="157"/>
      <c r="H16" s="320">
        <f>+'Analytics - 2018'!G29</f>
        <v>1456715969.8800001</v>
      </c>
      <c r="I16" s="321">
        <f>+H16/'2018'!T7</f>
        <v>0.32876299846080936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GDP</v>
      </c>
      <c r="F17" s="157"/>
      <c r="G17" s="157"/>
      <c r="H17" s="322" t="str">
        <f>+D13</f>
        <v>mil. €</v>
      </c>
      <c r="I17" s="322" t="str">
        <f>+E13</f>
        <v>% GDP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+Master!G269</f>
        <v>Deficit for October</v>
      </c>
      <c r="E19" s="157"/>
      <c r="F19" s="157"/>
      <c r="G19" s="157"/>
      <c r="H19" s="318" t="str">
        <f>+Master!G273</f>
        <v>Deficit for period January - October</v>
      </c>
      <c r="I19" s="319"/>
      <c r="J19" s="307"/>
      <c r="K19" s="158"/>
    </row>
    <row r="20" spans="3:11">
      <c r="C20" s="156"/>
      <c r="D20" s="160">
        <f>+'Analytics - 2018'!N55</f>
        <v>-12664812.659999967</v>
      </c>
      <c r="E20" s="161">
        <f>+D20/'2018'!T7</f>
        <v>-2.8582934979349494E-3</v>
      </c>
      <c r="F20" s="157"/>
      <c r="G20" s="157"/>
      <c r="H20" s="320">
        <f>+'Analytics - 2018'!G55</f>
        <v>-37933619.829999983</v>
      </c>
      <c r="I20" s="321">
        <f>+H20/'2018'!T7</f>
        <v>-8.5611545803335621E-3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GDP</v>
      </c>
      <c r="F21" s="157"/>
      <c r="G21" s="157"/>
      <c r="H21" s="308" t="str">
        <f>+D13</f>
        <v>mil. €</v>
      </c>
      <c r="I21" s="308" t="str">
        <f>+E13</f>
        <v>% GDP</v>
      </c>
      <c r="J21" s="307"/>
      <c r="K21" s="158"/>
    </row>
    <row r="22" spans="3:11">
      <c r="C22" s="156"/>
      <c r="D22" s="502"/>
      <c r="E22" s="503"/>
      <c r="F22" s="503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2"/>
  <sheetViews>
    <sheetView zoomScaleNormal="100" workbookViewId="0">
      <pane ySplit="5" topLeftCell="A6" activePane="bottomLeft" state="frozen"/>
      <selection activeCell="DK219" sqref="DK219"/>
      <selection pane="bottomLeft" activeCell="P19" sqref="P1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B3" s="188"/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2018-10</v>
      </c>
      <c r="O6" s="168" t="str">
        <f>+CONCATENATE(N6,"p")</f>
        <v>2018-10p</v>
      </c>
      <c r="P6" s="152"/>
      <c r="Q6" s="152"/>
      <c r="R6" s="168" t="str">
        <f>+IF(Master!B3-10&gt;=0,CONCATENATE(Master!B4-1,"-",Master!B3),CONCATENATE(Master!B4-1,"-0",Master!B3))</f>
        <v>2017-10</v>
      </c>
      <c r="S6" s="152"/>
      <c r="T6" s="152"/>
    </row>
    <row r="7" spans="1:20">
      <c r="A7" s="169"/>
      <c r="B7" s="456" t="str">
        <f>+Master!G252</f>
        <v>Analytics for period Jan - Oct</v>
      </c>
      <c r="C7" s="457"/>
      <c r="D7" s="457"/>
      <c r="E7" s="457"/>
      <c r="F7" s="457"/>
      <c r="G7" s="465" t="str">
        <f>+Master!G243</f>
        <v>Jan - Oct</v>
      </c>
      <c r="H7" s="466"/>
      <c r="I7" s="466"/>
      <c r="J7" s="466"/>
      <c r="K7" s="466"/>
      <c r="L7" s="466"/>
      <c r="M7" s="467"/>
      <c r="N7" s="468" t="str">
        <f>+Master!G242</f>
        <v>October</v>
      </c>
      <c r="O7" s="466"/>
      <c r="P7" s="466"/>
      <c r="Q7" s="466"/>
      <c r="R7" s="466"/>
      <c r="S7" s="466"/>
      <c r="T7" s="469"/>
    </row>
    <row r="8" spans="1:20">
      <c r="A8" s="169"/>
      <c r="B8" s="458"/>
      <c r="C8" s="459"/>
      <c r="D8" s="459"/>
      <c r="E8" s="459"/>
      <c r="F8" s="460"/>
      <c r="G8" s="170" t="str">
        <f>+Master!G21</f>
        <v>Execution</v>
      </c>
      <c r="H8" s="170" t="str">
        <f>+Master!G20</f>
        <v>Plan</v>
      </c>
      <c r="I8" s="452" t="str">
        <f>+Master!G258</f>
        <v>Deviation</v>
      </c>
      <c r="J8" s="452"/>
      <c r="K8" s="170" t="str">
        <f>+CONCATENATE(Master!G243," ",Master!B4-1)</f>
        <v>Jan - Oct 2017</v>
      </c>
      <c r="L8" s="452" t="str">
        <f>+I8</f>
        <v>Deviation</v>
      </c>
      <c r="M8" s="464"/>
      <c r="N8" s="171" t="str">
        <f>+G8</f>
        <v>Execution</v>
      </c>
      <c r="O8" s="170" t="str">
        <f>+H8</f>
        <v>Plan</v>
      </c>
      <c r="P8" s="452" t="str">
        <f>+I8</f>
        <v>Deviation</v>
      </c>
      <c r="Q8" s="452"/>
      <c r="R8" s="170" t="str">
        <f>+CONCATENATE(Master!G242," ",Master!B4-1)</f>
        <v>October 2017</v>
      </c>
      <c r="S8" s="452" t="str">
        <f>+P8</f>
        <v>Deviation</v>
      </c>
      <c r="T8" s="453"/>
    </row>
    <row r="9" spans="1:20" ht="15.75" thickBot="1">
      <c r="A9" s="169"/>
      <c r="B9" s="461"/>
      <c r="C9" s="462"/>
      <c r="D9" s="462"/>
      <c r="E9" s="462"/>
      <c r="F9" s="463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8" t="str">
        <f>+VLOOKUP($A10,Master!$D$25:$G$223,4,FALSE)</f>
        <v>Total Revenues</v>
      </c>
      <c r="C10" s="499"/>
      <c r="D10" s="499"/>
      <c r="E10" s="499"/>
      <c r="F10" s="499"/>
      <c r="G10" s="176">
        <f>+SUMPRODUCT(('2018'!$G10:$R10)*('2018'!$G$5:$R$5&lt;=Master!$B$3)*($A10='2018'!$A$10:$A$66))</f>
        <v>1418782350.0500002</v>
      </c>
      <c r="H10" s="176">
        <f>+SUMPRODUCT(('2018'!$G105:$R105)*('2018'!$G$5:$R$5&lt;=Master!$B$3))</f>
        <v>1423903535.1438975</v>
      </c>
      <c r="I10" s="177">
        <f>+G10-H10</f>
        <v>-5121185.0938973427</v>
      </c>
      <c r="J10" s="178">
        <f>+IF(ISNUMBER(G10/H10-1),G10/H10-1,"…")</f>
        <v>-3.5965814870877466E-3</v>
      </c>
      <c r="K10" s="176">
        <f>+SUMPRODUCT(('2017'!$G10:$R10)*('2017'!$G$5:$R$5&lt;=Master!$B$3))</f>
        <v>1254896984.1900001</v>
      </c>
      <c r="L10" s="177">
        <f>+G10-K10</f>
        <v>163885365.86000013</v>
      </c>
      <c r="M10" s="179">
        <f>+IF(ISNUMBER(G10/K10-1),G10/K10-1,"…")</f>
        <v>0.13059666882997845</v>
      </c>
      <c r="N10" s="176">
        <f>'2018'!P10</f>
        <v>145723069.17000002</v>
      </c>
      <c r="O10" s="176">
        <f>+INDEX('2018'!$1:$1048576,MATCH(CONCATENATE('Analytics - 2018'!$A10,"p"),'2018'!$A:$A,0),MATCH('Analytics - 2018'!$O$6,'2018'!$101:$101,0))</f>
        <v>150992049.40287438</v>
      </c>
      <c r="P10" s="177">
        <f>+N10-O10</f>
        <v>-5268980.2328743637</v>
      </c>
      <c r="Q10" s="178">
        <f>+IF(ISNUMBER(N10/O10-1),N10/O10-1,"…")</f>
        <v>-3.4895746191349164E-2</v>
      </c>
      <c r="R10" s="176">
        <f>'2017'!P10</f>
        <v>138865322.25999999</v>
      </c>
      <c r="S10" s="177">
        <f>+N10-R10</f>
        <v>6857746.9100000262</v>
      </c>
      <c r="T10" s="179">
        <f>+IF(ISNUMBER(N10/R10-1),N10/R10-1,"…")</f>
        <v>4.9384157242368554E-2</v>
      </c>
    </row>
    <row r="11" spans="1:20">
      <c r="A11" s="175">
        <v>711</v>
      </c>
      <c r="B11" s="500" t="str">
        <f>+VLOOKUP($A11,Master!$D$25:$G$223,4,FALSE)</f>
        <v>Taxes</v>
      </c>
      <c r="C11" s="501"/>
      <c r="D11" s="501"/>
      <c r="E11" s="501"/>
      <c r="F11" s="501"/>
      <c r="G11" s="194">
        <f>+SUMPRODUCT(('2018'!$G11:$R11)*('2018'!$G$5:$R$5&lt;=Master!$B$3)*($A11='2018'!$A$10:$A$66))</f>
        <v>895725585.26999998</v>
      </c>
      <c r="H11" s="341">
        <f>+SUMPRODUCT(('2018'!$G106:$R106)*('2018'!$G$5:$R$5&lt;=Master!$B$3))</f>
        <v>897758827.85070419</v>
      </c>
      <c r="I11" s="183">
        <f t="shared" ref="I11:I67" si="0">+G11-H11</f>
        <v>-2033242.5807042122</v>
      </c>
      <c r="J11" s="184">
        <f t="shared" ref="J11:J66" si="1">+IF(ISNUMBER(G11/H11-1),G11/H11-1,"…")</f>
        <v>-2.2647982037358183E-3</v>
      </c>
      <c r="K11" s="182">
        <f>+SUMPRODUCT(('2017'!$G11:$R11)*('2017'!$G$5:$R$5&lt;=Master!$B$3))</f>
        <v>807106587.3900001</v>
      </c>
      <c r="L11" s="183">
        <f>+G11-K11</f>
        <v>88618997.879999876</v>
      </c>
      <c r="M11" s="185">
        <f t="shared" ref="M11:M66" si="2">+IF(ISNUMBER(G11/K11-1),G11/K11-1,"…")</f>
        <v>0.10979838259847896</v>
      </c>
      <c r="N11" s="194">
        <f>'2018'!P11</f>
        <v>89707200.510000005</v>
      </c>
      <c r="O11" s="341">
        <f>+INDEX('2018'!$1:$1048576,MATCH(CONCATENATE('Analytics - 2018'!$A11,"p"),'2018'!$A:$A,0),MATCH('Analytics - 2018'!$O$6,'2018'!$101:$101,0))</f>
        <v>95698512.829288453</v>
      </c>
      <c r="P11" s="183">
        <f t="shared" ref="P11:P60" si="3">+N11-O11</f>
        <v>-5991312.3192884475</v>
      </c>
      <c r="Q11" s="184">
        <f t="shared" ref="Q11:Q60" si="4">+IF(ISNUMBER(N11/O11-1),N11/O11-1,"…")</f>
        <v>-6.2606117296472918E-2</v>
      </c>
      <c r="R11" s="194">
        <f>'2017'!P11</f>
        <v>86378572.320000008</v>
      </c>
      <c r="S11" s="183">
        <f t="shared" ref="S11:S59" si="5">+N11-R11</f>
        <v>3328628.1899999976</v>
      </c>
      <c r="T11" s="185">
        <f t="shared" ref="T11:T59" si="6">+IF(ISNUMBER(N11/R11-1),N11/R11-1,"…")</f>
        <v>3.8535346216057809E-2</v>
      </c>
    </row>
    <row r="12" spans="1:20">
      <c r="A12" s="175">
        <v>7111</v>
      </c>
      <c r="B12" s="486" t="str">
        <f>+VLOOKUP($A12,Master!$D$25:$G$223,4,FALSE)</f>
        <v>Personal Income Tax</v>
      </c>
      <c r="C12" s="487"/>
      <c r="D12" s="487"/>
      <c r="E12" s="487"/>
      <c r="F12" s="487"/>
      <c r="G12" s="188">
        <f>+SUMPRODUCT(('2018'!$G12:$R12)*('2018'!$G$5:$R$5&lt;=Master!$B$3)*($A12='2018'!$A$10:$A$66))</f>
        <v>95520952.170000017</v>
      </c>
      <c r="H12" s="188">
        <f>+SUMPRODUCT(('2018'!$G107:$R107)*('2018'!$G$5:$R$5&lt;=Master!$B$3))</f>
        <v>97399783.829484954</v>
      </c>
      <c r="I12" s="189">
        <f t="shared" si="0"/>
        <v>-1878831.6594849378</v>
      </c>
      <c r="J12" s="190">
        <f t="shared" si="1"/>
        <v>-1.9289895578969207E-2</v>
      </c>
      <c r="K12" s="188">
        <f>+SUMPRODUCT(('2017'!$G12:$R12)*('2017'!$G$5:$R$5&lt;=Master!$B$3))</f>
        <v>89865694.430000007</v>
      </c>
      <c r="L12" s="189">
        <f>+G12-K12</f>
        <v>5655257.7400000095</v>
      </c>
      <c r="M12" s="191">
        <f t="shared" si="2"/>
        <v>6.2930106709464306E-2</v>
      </c>
      <c r="N12" s="188">
        <f>'2018'!P12</f>
        <v>10275884.26</v>
      </c>
      <c r="O12" s="188">
        <f>+INDEX('2018'!$1:$1048576,MATCH(CONCATENATE('Analytics - 2018'!$A12,"p"),'2018'!$A:$A,0),MATCH('Analytics - 2018'!$O$6,'2018'!$101:$101,0))</f>
        <v>11079108.171049241</v>
      </c>
      <c r="P12" s="189">
        <f t="shared" si="3"/>
        <v>-803223.9110492412</v>
      </c>
      <c r="Q12" s="190">
        <f t="shared" si="4"/>
        <v>-7.249896820649715E-2</v>
      </c>
      <c r="R12" s="188">
        <f>'2017'!P12</f>
        <v>10226839.18</v>
      </c>
      <c r="S12" s="189">
        <f t="shared" si="5"/>
        <v>49045.080000000075</v>
      </c>
      <c r="T12" s="191">
        <f t="shared" si="6"/>
        <v>4.7957222301797664E-3</v>
      </c>
    </row>
    <row r="13" spans="1:20">
      <c r="A13" s="175">
        <v>7112</v>
      </c>
      <c r="B13" s="486" t="str">
        <f>+VLOOKUP($A13,Master!$D$25:$G$223,4,FALSE)</f>
        <v>Corporate Income Tax</v>
      </c>
      <c r="C13" s="487"/>
      <c r="D13" s="487"/>
      <c r="E13" s="487"/>
      <c r="F13" s="487"/>
      <c r="G13" s="188">
        <f>+SUMPRODUCT(('2018'!$G13:$R13)*('2018'!$G$5:$R$5&lt;=Master!$B$3)*($A13='2018'!$A$10:$A$66))</f>
        <v>65557425.61999999</v>
      </c>
      <c r="H13" s="188">
        <f>+SUMPRODUCT(('2018'!$G108:$R108)*('2018'!$G$5:$R$5&lt;=Master!$B$3))</f>
        <v>58879367.486408137</v>
      </c>
      <c r="I13" s="189">
        <f t="shared" si="0"/>
        <v>6678058.1335918531</v>
      </c>
      <c r="J13" s="190">
        <f t="shared" si="1"/>
        <v>0.11341932528628873</v>
      </c>
      <c r="K13" s="188">
        <f>+SUMPRODUCT(('2017'!$G13:$R13)*('2017'!$G$5:$R$5&lt;=Master!$B$3))</f>
        <v>46896042.780000001</v>
      </c>
      <c r="L13" s="189">
        <f t="shared" ref="L13:L67" si="7">+G13-K13</f>
        <v>18661382.839999989</v>
      </c>
      <c r="M13" s="191">
        <f t="shared" si="2"/>
        <v>0.3979308643917947</v>
      </c>
      <c r="N13" s="188">
        <f>'2018'!P13</f>
        <v>1043872.54</v>
      </c>
      <c r="O13" s="188">
        <f>+INDEX('2018'!$1:$1048576,MATCH(CONCATENATE('Analytics - 2018'!$A13,"p"),'2018'!$A:$A,0),MATCH('Analytics - 2018'!$O$6,'2018'!$101:$101,0))</f>
        <v>2025728.058812635</v>
      </c>
      <c r="P13" s="189">
        <f t="shared" si="3"/>
        <v>-981855.51881263498</v>
      </c>
      <c r="Q13" s="190">
        <f t="shared" si="4"/>
        <v>-0.48469265879060885</v>
      </c>
      <c r="R13" s="188">
        <f>'2017'!P13</f>
        <v>1688078.63</v>
      </c>
      <c r="S13" s="189">
        <f t="shared" si="5"/>
        <v>-644206.08999999985</v>
      </c>
      <c r="T13" s="191">
        <f t="shared" si="6"/>
        <v>-0.38162090233912849</v>
      </c>
    </row>
    <row r="14" spans="1:20">
      <c r="A14" s="175">
        <v>7113</v>
      </c>
      <c r="B14" s="486" t="str">
        <f>+VLOOKUP($A14,Master!$D$25:$G$223,4,FALSE)</f>
        <v xml:space="preserve">Taxes on Sales of Property </v>
      </c>
      <c r="C14" s="487"/>
      <c r="D14" s="487"/>
      <c r="E14" s="487"/>
      <c r="F14" s="487"/>
      <c r="G14" s="188">
        <f>+SUMPRODUCT(('2018'!$G14:$R14)*('2018'!$G$5:$R$5&lt;=Master!$B$3)*($A14='2018'!$A$10:$A$66))</f>
        <v>1433468.22</v>
      </c>
      <c r="H14" s="188">
        <f>+SUMPRODUCT(('2018'!$G109:$R109)*('2018'!$G$5:$R$5&lt;=Master!$B$3))</f>
        <v>1507414.43240853</v>
      </c>
      <c r="I14" s="189">
        <f t="shared" si="0"/>
        <v>-73946.21240853006</v>
      </c>
      <c r="J14" s="190">
        <f t="shared" si="1"/>
        <v>-4.9054998292924368E-2</v>
      </c>
      <c r="K14" s="188">
        <f>+SUMPRODUCT(('2017'!$G14:$R14)*('2017'!$G$5:$R$5&lt;=Master!$B$3))</f>
        <v>1228918.27</v>
      </c>
      <c r="L14" s="189">
        <f t="shared" si="7"/>
        <v>204549.94999999995</v>
      </c>
      <c r="M14" s="191">
        <f t="shared" si="2"/>
        <v>0.16644715518795228</v>
      </c>
      <c r="N14" s="188">
        <f>'2018'!P14</f>
        <v>155540.06</v>
      </c>
      <c r="O14" s="188">
        <f>+INDEX('2018'!$1:$1048576,MATCH(CONCATENATE('Analytics - 2018'!$A14,"p"),'2018'!$A:$A,0),MATCH('Analytics - 2018'!$O$6,'2018'!$101:$101,0))</f>
        <v>229977.20409803133</v>
      </c>
      <c r="P14" s="189">
        <f t="shared" si="3"/>
        <v>-74437.144098031335</v>
      </c>
      <c r="Q14" s="190">
        <f t="shared" si="4"/>
        <v>-0.32367183691085033</v>
      </c>
      <c r="R14" s="188">
        <f>'2017'!P14</f>
        <v>195735.62</v>
      </c>
      <c r="S14" s="189">
        <f t="shared" si="5"/>
        <v>-40195.56</v>
      </c>
      <c r="T14" s="191">
        <f t="shared" si="6"/>
        <v>-0.20535638837734282</v>
      </c>
    </row>
    <row r="15" spans="1:20">
      <c r="A15" s="175">
        <v>7114</v>
      </c>
      <c r="B15" s="486" t="str">
        <f>+VLOOKUP($A15,Master!$D$25:$G$223,4,FALSE)</f>
        <v>Value Added Tax</v>
      </c>
      <c r="C15" s="487"/>
      <c r="D15" s="487"/>
      <c r="E15" s="487"/>
      <c r="F15" s="487"/>
      <c r="G15" s="188">
        <f>+SUMPRODUCT(('2018'!$G15:$R15)*('2018'!$G$5:$R$5&lt;=Master!$B$3)*($A15='2018'!$A$10:$A$66))</f>
        <v>518208928.78000003</v>
      </c>
      <c r="H15" s="188">
        <f>+SUMPRODUCT(('2018'!$G110:$R110)*('2018'!$G$5:$R$5&lt;=Master!$B$3))</f>
        <v>516527054.42212415</v>
      </c>
      <c r="I15" s="189">
        <f t="shared" si="0"/>
        <v>1681874.3578758836</v>
      </c>
      <c r="J15" s="190">
        <f t="shared" si="1"/>
        <v>3.2561205525962755E-3</v>
      </c>
      <c r="K15" s="188">
        <f>+SUMPRODUCT(('2017'!$G15:$R15)*('2017'!$G$5:$R$5&lt;=Master!$B$3))</f>
        <v>453568254.34000003</v>
      </c>
      <c r="L15" s="189">
        <f t="shared" si="7"/>
        <v>64640674.439999998</v>
      </c>
      <c r="M15" s="191">
        <f t="shared" si="2"/>
        <v>0.14251587015070188</v>
      </c>
      <c r="N15" s="188">
        <f>'2018'!P15</f>
        <v>56740213.189999998</v>
      </c>
      <c r="O15" s="188">
        <f>+INDEX('2018'!$1:$1048576,MATCH(CONCATENATE('Analytics - 2018'!$A15,"p"),'2018'!$A:$A,0),MATCH('Analytics - 2018'!$O$6,'2018'!$101:$101,0))</f>
        <v>56752286.283165328</v>
      </c>
      <c r="P15" s="189">
        <f t="shared" si="3"/>
        <v>-12073.093165330589</v>
      </c>
      <c r="Q15" s="190">
        <f t="shared" si="4"/>
        <v>-2.1273315942005322E-4</v>
      </c>
      <c r="R15" s="188">
        <f>'2017'!P15</f>
        <v>50058448.369999997</v>
      </c>
      <c r="S15" s="189">
        <f t="shared" si="5"/>
        <v>6681764.8200000003</v>
      </c>
      <c r="T15" s="191">
        <f t="shared" si="6"/>
        <v>0.13347926349240136</v>
      </c>
    </row>
    <row r="16" spans="1:20">
      <c r="A16" s="175">
        <v>7115</v>
      </c>
      <c r="B16" s="486" t="str">
        <f>+VLOOKUP($A16,Master!$D$25:$G$223,4,FALSE)</f>
        <v>Excises</v>
      </c>
      <c r="C16" s="487"/>
      <c r="D16" s="487"/>
      <c r="E16" s="487"/>
      <c r="F16" s="487"/>
      <c r="G16" s="188">
        <f>+SUMPRODUCT(('2018'!$G16:$R16)*('2018'!$G$5:$R$5&lt;=Master!$B$3)*($A16='2018'!$A$10:$A$66))</f>
        <v>184638453.90000001</v>
      </c>
      <c r="H16" s="188">
        <f>+SUMPRODUCT(('2018'!$G111:$R111)*('2018'!$G$5:$R$5&lt;=Master!$B$3))</f>
        <v>193049991.44243875</v>
      </c>
      <c r="I16" s="189">
        <f t="shared" si="0"/>
        <v>-8411537.5424387455</v>
      </c>
      <c r="J16" s="190">
        <f t="shared" si="1"/>
        <v>-4.3571809973101172E-2</v>
      </c>
      <c r="K16" s="188">
        <f>+SUMPRODUCT(('2017'!$G16:$R16)*('2017'!$G$5:$R$5&lt;=Master!$B$3))</f>
        <v>186592553.54999998</v>
      </c>
      <c r="L16" s="189">
        <f t="shared" si="7"/>
        <v>-1954099.6499999762</v>
      </c>
      <c r="M16" s="191">
        <f t="shared" si="2"/>
        <v>-1.0472548945938187E-2</v>
      </c>
      <c r="N16" s="188">
        <f>'2018'!P16</f>
        <v>18141856.039999999</v>
      </c>
      <c r="O16" s="188">
        <f>+INDEX('2018'!$1:$1048576,MATCH(CONCATENATE('Analytics - 2018'!$A16,"p"),'2018'!$A:$A,0),MATCH('Analytics - 2018'!$O$6,'2018'!$101:$101,0))</f>
        <v>22441791.757639553</v>
      </c>
      <c r="P16" s="189">
        <f t="shared" si="3"/>
        <v>-4299935.7176395543</v>
      </c>
      <c r="Q16" s="190">
        <f t="shared" si="4"/>
        <v>-0.19160393983139901</v>
      </c>
      <c r="R16" s="188">
        <f>'2017'!P16</f>
        <v>21225508.199999999</v>
      </c>
      <c r="S16" s="189">
        <f t="shared" si="5"/>
        <v>-3083652.16</v>
      </c>
      <c r="T16" s="191">
        <f t="shared" si="6"/>
        <v>-0.14528048661751247</v>
      </c>
    </row>
    <row r="17" spans="1:20">
      <c r="A17" s="175">
        <v>7116</v>
      </c>
      <c r="B17" s="486" t="str">
        <f>+VLOOKUP($A17,Master!$D$25:$G$223,4,FALSE)</f>
        <v>Tax on International Trade and Transactions</v>
      </c>
      <c r="C17" s="487"/>
      <c r="D17" s="487"/>
      <c r="E17" s="487"/>
      <c r="F17" s="487"/>
      <c r="G17" s="188">
        <f>+SUMPRODUCT(('2018'!$G17:$R17)*('2018'!$G$5:$R$5&lt;=Master!$B$3)*($A17='2018'!$A$10:$A$66))</f>
        <v>22682604.940000001</v>
      </c>
      <c r="H17" s="188">
        <f>+SUMPRODUCT(('2018'!$G112:$R112)*('2018'!$G$5:$R$5&lt;=Master!$B$3))</f>
        <v>22462671.440091651</v>
      </c>
      <c r="I17" s="189">
        <f t="shared" si="0"/>
        <v>219933.49990835041</v>
      </c>
      <c r="J17" s="190">
        <f t="shared" si="1"/>
        <v>9.7910660579672015E-3</v>
      </c>
      <c r="K17" s="188">
        <f>+SUMPRODUCT(('2017'!$G17:$R17)*('2017'!$G$5:$R$5&lt;=Master!$B$3))</f>
        <v>21248886.84</v>
      </c>
      <c r="L17" s="189">
        <f t="shared" si="7"/>
        <v>1433718.1000000015</v>
      </c>
      <c r="M17" s="191">
        <f t="shared" si="2"/>
        <v>6.7472621544630629E-2</v>
      </c>
      <c r="N17" s="188">
        <f>'2018'!P17</f>
        <v>2570061.1800000002</v>
      </c>
      <c r="O17" s="188">
        <f>+INDEX('2018'!$1:$1048576,MATCH(CONCATENATE('Analytics - 2018'!$A17,"p"),'2018'!$A:$A,0),MATCH('Analytics - 2018'!$O$6,'2018'!$101:$101,0))</f>
        <v>2282422.1778777274</v>
      </c>
      <c r="P17" s="189">
        <f t="shared" si="3"/>
        <v>287639.00212227274</v>
      </c>
      <c r="Q17" s="190">
        <f t="shared" si="4"/>
        <v>0.12602357482774251</v>
      </c>
      <c r="R17" s="188">
        <f>'2017'!P17</f>
        <v>2167495.09</v>
      </c>
      <c r="S17" s="189">
        <f t="shared" si="5"/>
        <v>402566.09000000032</v>
      </c>
      <c r="T17" s="191">
        <f t="shared" si="6"/>
        <v>0.18572872061269607</v>
      </c>
    </row>
    <row r="18" spans="1:20">
      <c r="A18" s="175">
        <v>7118</v>
      </c>
      <c r="B18" s="486" t="str">
        <f>+VLOOKUP($A18,Master!$D$25:$G$223,4,FALSE)</f>
        <v>Other Republic Taxes</v>
      </c>
      <c r="C18" s="487"/>
      <c r="D18" s="487"/>
      <c r="E18" s="487"/>
      <c r="F18" s="487"/>
      <c r="G18" s="188">
        <f>+SUMPRODUCT(('2018'!$G18:$R18)*('2018'!$G$5:$R$5&lt;=Master!$B$3)*($A18='2018'!$A$10:$A$66))</f>
        <v>7683751.6399999997</v>
      </c>
      <c r="H18" s="188">
        <f>+SUMPRODUCT(('2018'!$G113:$R113)*('2018'!$G$5:$R$5&lt;=Master!$B$3))</f>
        <v>7932544.7977481503</v>
      </c>
      <c r="I18" s="189">
        <f t="shared" si="0"/>
        <v>-248793.15774815064</v>
      </c>
      <c r="J18" s="190">
        <f t="shared" si="1"/>
        <v>-3.1363599461647795E-2</v>
      </c>
      <c r="K18" s="188">
        <f>+SUMPRODUCT(('2017'!$G18:$R18)*('2017'!$G$5:$R$5&lt;=Master!$B$3))</f>
        <v>7706237.1799999997</v>
      </c>
      <c r="L18" s="189">
        <f t="shared" si="7"/>
        <v>-22485.540000000037</v>
      </c>
      <c r="M18" s="191">
        <f t="shared" si="2"/>
        <v>-2.9178364842386006E-3</v>
      </c>
      <c r="N18" s="188">
        <f>'2018'!P18</f>
        <v>779773.24</v>
      </c>
      <c r="O18" s="188">
        <f>+INDEX('2018'!$1:$1048576,MATCH(CONCATENATE('Analytics - 2018'!$A18,"p"),'2018'!$A:$A,0),MATCH('Analytics - 2018'!$O$6,'2018'!$101:$101,0))</f>
        <v>887199.17664592748</v>
      </c>
      <c r="P18" s="189">
        <f t="shared" si="3"/>
        <v>-107425.93664592749</v>
      </c>
      <c r="Q18" s="190">
        <f t="shared" si="4"/>
        <v>-0.12108435115106075</v>
      </c>
      <c r="R18" s="188">
        <f>'2017'!P18</f>
        <v>816467.23</v>
      </c>
      <c r="S18" s="189">
        <f t="shared" si="5"/>
        <v>-36693.989999999991</v>
      </c>
      <c r="T18" s="191">
        <f t="shared" si="6"/>
        <v>-4.4942391625442224E-2</v>
      </c>
    </row>
    <row r="19" spans="1:20">
      <c r="A19" s="175">
        <v>712</v>
      </c>
      <c r="B19" s="496" t="str">
        <f>+VLOOKUP($A19,Master!$D$25:$G$223,4,FALSE)</f>
        <v>Contributions</v>
      </c>
      <c r="C19" s="497"/>
      <c r="D19" s="497"/>
      <c r="E19" s="497"/>
      <c r="F19" s="497"/>
      <c r="G19" s="194">
        <f>+SUMPRODUCT(('2018'!$G19:$R19)*('2018'!$G$5:$R$5&lt;=Master!$B$3)*($A19='2018'!$A$10:$A$66))</f>
        <v>399152737.57999998</v>
      </c>
      <c r="H19" s="194">
        <f>+SUMPRODUCT(('2018'!$G114:$R114)*('2018'!$G$5:$R$5&lt;=Master!$B$3))</f>
        <v>396526487.77215034</v>
      </c>
      <c r="I19" s="195">
        <f t="shared" si="0"/>
        <v>2626249.8078496456</v>
      </c>
      <c r="J19" s="196">
        <f t="shared" si="1"/>
        <v>6.6231384001733673E-3</v>
      </c>
      <c r="K19" s="194">
        <f>+SUMPRODUCT(('2017'!$G19:$R19)*('2017'!$G$5:$R$5&lt;=Master!$B$3))</f>
        <v>373597269.86999995</v>
      </c>
      <c r="L19" s="195">
        <f t="shared" si="7"/>
        <v>25555467.710000038</v>
      </c>
      <c r="M19" s="197">
        <f t="shared" si="2"/>
        <v>6.8403786031125291E-2</v>
      </c>
      <c r="N19" s="194">
        <f>'2018'!P19</f>
        <v>47821348.07</v>
      </c>
      <c r="O19" s="194">
        <f>+INDEX('2018'!$1:$1048576,MATCH(CONCATENATE('Analytics - 2018'!$A19,"p"),'2018'!$A:$A,0),MATCH('Analytics - 2018'!$O$6,'2018'!$101:$101,0))</f>
        <v>44433442.802094914</v>
      </c>
      <c r="P19" s="195">
        <f t="shared" si="3"/>
        <v>3387905.2679050863</v>
      </c>
      <c r="Q19" s="196">
        <f t="shared" si="4"/>
        <v>7.6246742414147528E-2</v>
      </c>
      <c r="R19" s="194">
        <f>'2017'!P19</f>
        <v>42882136.189999998</v>
      </c>
      <c r="S19" s="195">
        <f t="shared" si="5"/>
        <v>4939211.8800000027</v>
      </c>
      <c r="T19" s="197">
        <f t="shared" si="6"/>
        <v>0.11518110613975918</v>
      </c>
    </row>
    <row r="20" spans="1:20">
      <c r="A20" s="175">
        <v>7121</v>
      </c>
      <c r="B20" s="486" t="str">
        <f>+VLOOKUP($A20,Master!$D$25:$G$223,4,FALSE)</f>
        <v>Contributions for Pension and Disability Insurance</v>
      </c>
      <c r="C20" s="487"/>
      <c r="D20" s="487"/>
      <c r="E20" s="487"/>
      <c r="F20" s="487"/>
      <c r="G20" s="188">
        <f>+SUMPRODUCT(('2018'!$G20:$R20)*('2018'!$G$5:$R$5&lt;=Master!$B$3)*($A20='2018'!$A$10:$A$66))</f>
        <v>241005373.69000003</v>
      </c>
      <c r="H20" s="188">
        <f>+SUMPRODUCT(('2018'!$G115:$R115)*('2018'!$G$5:$R$5&lt;=Master!$B$3))</f>
        <v>236423667.36736089</v>
      </c>
      <c r="I20" s="189">
        <f t="shared" si="0"/>
        <v>4581706.3226391375</v>
      </c>
      <c r="J20" s="190">
        <f t="shared" si="1"/>
        <v>1.9379220251752427E-2</v>
      </c>
      <c r="K20" s="188">
        <f>+SUMPRODUCT(('2017'!$G20:$R20)*('2017'!$G$5:$R$5&lt;=Master!$B$3))</f>
        <v>225519823.30000001</v>
      </c>
      <c r="L20" s="189">
        <f t="shared" si="7"/>
        <v>15485550.390000015</v>
      </c>
      <c r="M20" s="191">
        <f t="shared" si="2"/>
        <v>6.8666027506594007E-2</v>
      </c>
      <c r="N20" s="188">
        <f>'2018'!P20</f>
        <v>29472537.77</v>
      </c>
      <c r="O20" s="188">
        <f>+INDEX('2018'!$1:$1048576,MATCH(CONCATENATE('Analytics - 2018'!$A20,"p"),'2018'!$A:$A,0),MATCH('Analytics - 2018'!$O$6,'2018'!$101:$101,0))</f>
        <v>26183242.710226167</v>
      </c>
      <c r="P20" s="189">
        <f t="shared" si="3"/>
        <v>3289295.0597738326</v>
      </c>
      <c r="Q20" s="190">
        <f t="shared" si="4"/>
        <v>0.12562596223000133</v>
      </c>
      <c r="R20" s="188">
        <f>'2017'!P20</f>
        <v>25998719</v>
      </c>
      <c r="S20" s="189">
        <f t="shared" si="5"/>
        <v>3473818.7699999996</v>
      </c>
      <c r="T20" s="191">
        <f t="shared" si="6"/>
        <v>0.13361499733890736</v>
      </c>
    </row>
    <row r="21" spans="1:20">
      <c r="A21" s="175">
        <v>7122</v>
      </c>
      <c r="B21" s="486" t="str">
        <f>+VLOOKUP($A21,Master!$D$25:$G$223,4,FALSE)</f>
        <v>Contributions for Health Insurance</v>
      </c>
      <c r="C21" s="487"/>
      <c r="D21" s="487"/>
      <c r="E21" s="487"/>
      <c r="F21" s="487"/>
      <c r="G21" s="188">
        <f>+SUMPRODUCT(('2018'!$G21:$R21)*('2018'!$G$5:$R$5&lt;=Master!$B$3)*($A21='2018'!$A$10:$A$66))</f>
        <v>138395746.62</v>
      </c>
      <c r="H21" s="188">
        <f>+SUMPRODUCT(('2018'!$G116:$R116)*('2018'!$G$5:$R$5&lt;=Master!$B$3))</f>
        <v>138713211.84141275</v>
      </c>
      <c r="I21" s="189">
        <f t="shared" si="0"/>
        <v>-317465.2214127481</v>
      </c>
      <c r="J21" s="190">
        <f t="shared" si="1"/>
        <v>-2.2886444427203667E-3</v>
      </c>
      <c r="K21" s="188">
        <f>+SUMPRODUCT(('2017'!$G21:$R21)*('2017'!$G$5:$R$5&lt;=Master!$B$3))</f>
        <v>128519208.94999999</v>
      </c>
      <c r="L21" s="189">
        <f t="shared" si="7"/>
        <v>9876537.6700000167</v>
      </c>
      <c r="M21" s="191">
        <f t="shared" si="2"/>
        <v>7.6848727522454974E-2</v>
      </c>
      <c r="N21" s="188">
        <f>'2018'!P21</f>
        <v>16132677.16</v>
      </c>
      <c r="O21" s="188">
        <f>+INDEX('2018'!$1:$1048576,MATCH(CONCATENATE('Analytics - 2018'!$A21,"p"),'2018'!$A:$A,0),MATCH('Analytics - 2018'!$O$6,'2018'!$101:$101,0))</f>
        <v>15948125.340694834</v>
      </c>
      <c r="P21" s="189">
        <f t="shared" si="3"/>
        <v>184551.8193051666</v>
      </c>
      <c r="Q21" s="190">
        <f t="shared" si="4"/>
        <v>1.1572007076859681E-2</v>
      </c>
      <c r="R21" s="188">
        <f>'2017'!P21</f>
        <v>14691858.58</v>
      </c>
      <c r="S21" s="189">
        <f t="shared" si="5"/>
        <v>1440818.58</v>
      </c>
      <c r="T21" s="191">
        <f t="shared" si="6"/>
        <v>9.8069183837733442E-2</v>
      </c>
    </row>
    <row r="22" spans="1:20">
      <c r="A22" s="175">
        <v>7123</v>
      </c>
      <c r="B22" s="486" t="str">
        <f>+VLOOKUP($A22,Master!$D$25:$G$223,4,FALSE)</f>
        <v>Contributions for  Unemployment Insurance</v>
      </c>
      <c r="C22" s="487"/>
      <c r="D22" s="487"/>
      <c r="E22" s="487"/>
      <c r="F22" s="487"/>
      <c r="G22" s="188">
        <f>+SUMPRODUCT(('2018'!$G22:$R22)*('2018'!$G$5:$R$5&lt;=Master!$B$3)*($A22='2018'!$A$10:$A$66))</f>
        <v>10284198.550000001</v>
      </c>
      <c r="H22" s="188">
        <f>+SUMPRODUCT(('2018'!$G117:$R117)*('2018'!$G$5:$R$5&lt;=Master!$B$3))</f>
        <v>11520120.323180823</v>
      </c>
      <c r="I22" s="189">
        <f t="shared" si="0"/>
        <v>-1235921.7731808219</v>
      </c>
      <c r="J22" s="190">
        <f t="shared" si="1"/>
        <v>-0.107283755595321</v>
      </c>
      <c r="K22" s="188">
        <f>+SUMPRODUCT(('2017'!$G22:$R22)*('2017'!$G$5:$R$5&lt;=Master!$B$3))</f>
        <v>10205376.169999998</v>
      </c>
      <c r="L22" s="189">
        <f t="shared" si="7"/>
        <v>78822.380000002682</v>
      </c>
      <c r="M22" s="191">
        <f t="shared" si="2"/>
        <v>7.7236133864140299E-3</v>
      </c>
      <c r="N22" s="188">
        <f>'2018'!P22</f>
        <v>1217359.6499999999</v>
      </c>
      <c r="O22" s="188">
        <f>+INDEX('2018'!$1:$1048576,MATCH(CONCATENATE('Analytics - 2018'!$A22,"p"),'2018'!$A:$A,0),MATCH('Analytics - 2018'!$O$6,'2018'!$101:$101,0))</f>
        <v>1132729.8160718586</v>
      </c>
      <c r="P22" s="189">
        <f t="shared" si="3"/>
        <v>84629.833928141277</v>
      </c>
      <c r="Q22" s="190">
        <f t="shared" si="4"/>
        <v>7.4713168778080874E-2</v>
      </c>
      <c r="R22" s="188">
        <f>'2017'!P22</f>
        <v>1140055.95</v>
      </c>
      <c r="S22" s="189">
        <f t="shared" si="5"/>
        <v>77303.699999999953</v>
      </c>
      <c r="T22" s="191">
        <f t="shared" si="6"/>
        <v>6.7806935264887569E-2</v>
      </c>
    </row>
    <row r="23" spans="1:20">
      <c r="A23" s="175">
        <v>7124</v>
      </c>
      <c r="B23" s="486" t="str">
        <f>+VLOOKUP($A23,Master!$D$25:$G$223,4,FALSE)</f>
        <v>Other contributions</v>
      </c>
      <c r="C23" s="487"/>
      <c r="D23" s="487"/>
      <c r="E23" s="487"/>
      <c r="F23" s="487"/>
      <c r="G23" s="188">
        <f>+SUMPRODUCT(('2018'!$G23:$R23)*('2018'!$G$5:$R$5&lt;=Master!$B$3)*($A23='2018'!$A$10:$A$66))</f>
        <v>9467418.7200000007</v>
      </c>
      <c r="H23" s="188">
        <f>+SUMPRODUCT(('2018'!$G118:$R118)*('2018'!$G$5:$R$5&lt;=Master!$B$3))</f>
        <v>9869488.2401958667</v>
      </c>
      <c r="I23" s="189">
        <f t="shared" si="0"/>
        <v>-402069.520195866</v>
      </c>
      <c r="J23" s="190">
        <f t="shared" si="1"/>
        <v>-4.0738639168578228E-2</v>
      </c>
      <c r="K23" s="188">
        <f>+SUMPRODUCT(('2017'!$G23:$R23)*('2017'!$G$5:$R$5&lt;=Master!$B$3))</f>
        <v>9352861.4499999993</v>
      </c>
      <c r="L23" s="189">
        <f t="shared" si="7"/>
        <v>114557.27000000142</v>
      </c>
      <c r="M23" s="191">
        <f t="shared" si="2"/>
        <v>1.2248365980017883E-2</v>
      </c>
      <c r="N23" s="188">
        <f>'2018'!P23</f>
        <v>998773.49</v>
      </c>
      <c r="O23" s="188">
        <f>+INDEX('2018'!$1:$1048576,MATCH(CONCATENATE('Analytics - 2018'!$A23,"p"),'2018'!$A:$A,0),MATCH('Analytics - 2018'!$O$6,'2018'!$101:$101,0))</f>
        <v>1169344.9351020544</v>
      </c>
      <c r="P23" s="189">
        <f t="shared" si="3"/>
        <v>-170571.44510205439</v>
      </c>
      <c r="Q23" s="190">
        <f t="shared" si="4"/>
        <v>-0.14586922984120831</v>
      </c>
      <c r="R23" s="188">
        <f>'2017'!P23</f>
        <v>1051502.6599999999</v>
      </c>
      <c r="S23" s="189">
        <f t="shared" si="5"/>
        <v>-52729.169999999925</v>
      </c>
      <c r="T23" s="191">
        <f t="shared" si="6"/>
        <v>-5.014649225899237E-2</v>
      </c>
    </row>
    <row r="24" spans="1:20">
      <c r="A24" s="175">
        <v>713</v>
      </c>
      <c r="B24" s="488" t="str">
        <f>+VLOOKUP($A24,Master!$D$25:$G$223,4,FALSE)</f>
        <v>Duties</v>
      </c>
      <c r="C24" s="489"/>
      <c r="D24" s="489"/>
      <c r="E24" s="489"/>
      <c r="F24" s="489"/>
      <c r="G24" s="194">
        <f>+SUMPRODUCT(('2018'!$G24:$R24)*('2018'!$G$5:$R$5&lt;=Master!$B$3)*($A24='2018'!$A$10:$A$66))</f>
        <v>14008837.229999999</v>
      </c>
      <c r="H24" s="200">
        <f>+SUMPRODUCT(('2018'!$G119:$R119)*('2018'!$G$5:$R$5&lt;=Master!$B$3))</f>
        <v>14591206.231534712</v>
      </c>
      <c r="I24" s="201">
        <f t="shared" si="0"/>
        <v>-582369.00153471343</v>
      </c>
      <c r="J24" s="202">
        <f t="shared" si="1"/>
        <v>-3.9912327486406829E-2</v>
      </c>
      <c r="K24" s="200">
        <f>+SUMPRODUCT(('2017'!$G24:$R24)*('2017'!$G$5:$R$5&lt;=Master!$B$3))</f>
        <v>11355839.720000001</v>
      </c>
      <c r="L24" s="201">
        <f t="shared" si="7"/>
        <v>2652997.5099999979</v>
      </c>
      <c r="M24" s="203">
        <f t="shared" si="2"/>
        <v>0.23362407143942998</v>
      </c>
      <c r="N24" s="194">
        <f>'2018'!P24</f>
        <v>1510208.2</v>
      </c>
      <c r="O24" s="200">
        <f>+INDEX('2018'!$1:$1048576,MATCH(CONCATENATE('Analytics - 2018'!$A24,"p"),'2018'!$A:$A,0),MATCH('Analytics - 2018'!$O$6,'2018'!$101:$101,0))</f>
        <v>1756312.8353634721</v>
      </c>
      <c r="P24" s="201">
        <f t="shared" si="3"/>
        <v>-246104.63536347216</v>
      </c>
      <c r="Q24" s="202">
        <f t="shared" si="4"/>
        <v>-0.1401257397931277</v>
      </c>
      <c r="R24" s="194">
        <f>'2017'!P24</f>
        <v>1269238.77</v>
      </c>
      <c r="S24" s="201">
        <f t="shared" si="5"/>
        <v>240969.42999999993</v>
      </c>
      <c r="T24" s="203">
        <f t="shared" si="6"/>
        <v>0.18985350565678027</v>
      </c>
    </row>
    <row r="25" spans="1:20">
      <c r="A25" s="175">
        <v>714</v>
      </c>
      <c r="B25" s="488" t="str">
        <f>+VLOOKUP($A25,Master!$D$25:$G$223,4,FALSE)</f>
        <v>Fees</v>
      </c>
      <c r="C25" s="489"/>
      <c r="D25" s="489"/>
      <c r="E25" s="489"/>
      <c r="F25" s="489"/>
      <c r="G25" s="194">
        <f>+SUMPRODUCT(('2018'!$G25:$R25)*('2018'!$G$5:$R$5&lt;=Master!$B$3)*($A25='2018'!$A$10:$A$66))</f>
        <v>21699377.060000002</v>
      </c>
      <c r="H25" s="200">
        <f>+SUMPRODUCT(('2018'!$G120:$R120)*('2018'!$G$5:$R$5&lt;=Master!$B$3))</f>
        <v>22606148.604209375</v>
      </c>
      <c r="I25" s="201">
        <f t="shared" si="0"/>
        <v>-906771.54420937225</v>
      </c>
      <c r="J25" s="202">
        <f t="shared" si="1"/>
        <v>-4.0111721818927082E-2</v>
      </c>
      <c r="K25" s="200">
        <f>+SUMPRODUCT(('2017'!$G25:$R25)*('2017'!$G$5:$R$5&lt;=Master!$B$3))</f>
        <v>15185276.859999999</v>
      </c>
      <c r="L25" s="201">
        <f t="shared" si="7"/>
        <v>6514100.200000003</v>
      </c>
      <c r="M25" s="203">
        <f t="shared" si="2"/>
        <v>0.42897474047108042</v>
      </c>
      <c r="N25" s="194">
        <f>'2018'!P25</f>
        <v>2347083.83</v>
      </c>
      <c r="O25" s="200">
        <f>+INDEX('2018'!$1:$1048576,MATCH(CONCATENATE('Analytics - 2018'!$A25,"p"),'2018'!$A:$A,0),MATCH('Analytics - 2018'!$O$6,'2018'!$101:$101,0))</f>
        <v>3062621.0292725526</v>
      </c>
      <c r="P25" s="201">
        <f t="shared" si="3"/>
        <v>-715537.19927255251</v>
      </c>
      <c r="Q25" s="202">
        <f t="shared" si="4"/>
        <v>-0.23363556654037276</v>
      </c>
      <c r="R25" s="194">
        <f>'2017'!P25</f>
        <v>1997706.83</v>
      </c>
      <c r="S25" s="201">
        <f t="shared" si="5"/>
        <v>349377</v>
      </c>
      <c r="T25" s="203">
        <f t="shared" si="6"/>
        <v>0.17488902513288207</v>
      </c>
    </row>
    <row r="26" spans="1:20">
      <c r="A26" s="175">
        <v>715</v>
      </c>
      <c r="B26" s="488" t="str">
        <f>+VLOOKUP($A26,Master!$D$25:$G$223,4,FALSE)</f>
        <v>Other revenues</v>
      </c>
      <c r="C26" s="489"/>
      <c r="D26" s="489"/>
      <c r="E26" s="489"/>
      <c r="F26" s="489"/>
      <c r="G26" s="194">
        <f>+SUMPRODUCT(('2018'!$G26:$R26)*('2018'!$G$5:$R$5&lt;=Master!$B$3)*($A26='2018'!$A$10:$A$66))</f>
        <v>63601311.670000002</v>
      </c>
      <c r="H26" s="200">
        <f>+SUMPRODUCT(('2018'!$G121:$R121)*('2018'!$G$5:$R$5&lt;=Master!$B$3))</f>
        <v>64697034.246951282</v>
      </c>
      <c r="I26" s="201">
        <f t="shared" si="0"/>
        <v>-1095722.5769512802</v>
      </c>
      <c r="J26" s="202">
        <f t="shared" si="1"/>
        <v>-1.693621028699499E-2</v>
      </c>
      <c r="K26" s="200">
        <f>+SUMPRODUCT(('2017'!$G26:$R26)*('2017'!$G$5:$R$5&lt;=Master!$B$3))</f>
        <v>28792847.640000001</v>
      </c>
      <c r="L26" s="201">
        <f t="shared" si="7"/>
        <v>34808464.030000001</v>
      </c>
      <c r="M26" s="203">
        <f t="shared" si="2"/>
        <v>1.2089274553602301</v>
      </c>
      <c r="N26" s="194">
        <f>'2018'!P26</f>
        <v>2296014.21</v>
      </c>
      <c r="O26" s="200">
        <f>+INDEX('2018'!$1:$1048576,MATCH(CONCATENATE('Analytics - 2018'!$A26,"p"),'2018'!$A:$A,0),MATCH('Analytics - 2018'!$O$6,'2018'!$101:$101,0))</f>
        <v>3080614.3453884441</v>
      </c>
      <c r="P26" s="201">
        <f t="shared" si="3"/>
        <v>-784600.13538844418</v>
      </c>
      <c r="Q26" s="202">
        <f t="shared" si="4"/>
        <v>-0.2546895026191639</v>
      </c>
      <c r="R26" s="194">
        <f>'2017'!P26</f>
        <v>3080830.83</v>
      </c>
      <c r="S26" s="201">
        <f t="shared" si="5"/>
        <v>-784816.62000000011</v>
      </c>
      <c r="T26" s="203" t="s">
        <v>779</v>
      </c>
    </row>
    <row r="27" spans="1:20">
      <c r="A27" s="175">
        <v>73</v>
      </c>
      <c r="B27" s="488" t="str">
        <f>+VLOOKUP($A27,Master!$D$25:$G$223,4,FALSE)</f>
        <v>Receipts from Repayment of Loans and Funds Carried over from Previous Year</v>
      </c>
      <c r="C27" s="489"/>
      <c r="D27" s="489"/>
      <c r="E27" s="489"/>
      <c r="F27" s="489"/>
      <c r="G27" s="194">
        <f>+SUMPRODUCT(('2018'!$G27:$R27)*('2018'!$G$5:$R$5&lt;=Master!$B$3)*($A27='2018'!$A$10:$A$66))</f>
        <v>6103260.96</v>
      </c>
      <c r="H27" s="200">
        <f>+SUMPRODUCT(('2018'!$G122:$R122)*('2018'!$G$5:$R$5&lt;=Master!$B$3))</f>
        <v>5616341.4390345803</v>
      </c>
      <c r="I27" s="201">
        <f t="shared" si="0"/>
        <v>486919.52096541971</v>
      </c>
      <c r="J27" s="202">
        <f t="shared" si="1"/>
        <v>8.669692294368736E-2</v>
      </c>
      <c r="K27" s="200">
        <f>+SUMPRODUCT(('2017'!$G27:$R27)*('2017'!$G$5:$R$5&lt;=Master!$B$3))</f>
        <v>4133438.46</v>
      </c>
      <c r="L27" s="201">
        <f t="shared" si="7"/>
        <v>1969822.5</v>
      </c>
      <c r="M27" s="203">
        <f t="shared" si="2"/>
        <v>0.47655783896683435</v>
      </c>
      <c r="N27" s="194">
        <f>'2018'!P27</f>
        <v>525509.51</v>
      </c>
      <c r="O27" s="200">
        <f>+INDEX('2018'!$1:$1048576,MATCH(CONCATENATE('Analytics - 2018'!$A27,"p"),'2018'!$A:$A,0),MATCH('Analytics - 2018'!$O$6,'2018'!$101:$101,0))</f>
        <v>490320.35892417241</v>
      </c>
      <c r="P27" s="201">
        <f t="shared" si="3"/>
        <v>35189.151075827598</v>
      </c>
      <c r="Q27" s="202">
        <f t="shared" si="4"/>
        <v>7.1767672778338731E-2</v>
      </c>
      <c r="R27" s="194">
        <f>'2017'!P27</f>
        <v>603855.75</v>
      </c>
      <c r="S27" s="201">
        <f t="shared" si="5"/>
        <v>-78346.239999999991</v>
      </c>
      <c r="T27" s="203" t="s">
        <v>779</v>
      </c>
    </row>
    <row r="28" spans="1:20" ht="15.75" thickBot="1">
      <c r="A28" s="175">
        <v>74</v>
      </c>
      <c r="B28" s="490" t="str">
        <f>+VLOOKUP($A28,Master!$D$25:$G$223,4,FALSE)</f>
        <v>Grants and Transfers</v>
      </c>
      <c r="C28" s="491"/>
      <c r="D28" s="491"/>
      <c r="E28" s="491"/>
      <c r="F28" s="491"/>
      <c r="G28" s="194">
        <f>+SUMPRODUCT(('2018'!$G28:$R28)*('2018'!$G$5:$R$5&lt;=Master!$B$3)*($A28='2018'!$A$10:$A$66))</f>
        <v>18491240.280000001</v>
      </c>
      <c r="H28" s="200">
        <f>+SUMPRODUCT(('2018'!$G123:$R123)*('2018'!$G$5:$R$5&lt;=Master!$B$3))</f>
        <v>22107488.999312885</v>
      </c>
      <c r="I28" s="201">
        <f t="shared" si="0"/>
        <v>-3616248.7193128839</v>
      </c>
      <c r="J28" s="202">
        <f t="shared" si="1"/>
        <v>-0.16357573306607909</v>
      </c>
      <c r="K28" s="200">
        <f>+SUMPRODUCT(('2017'!$G28:$R28)*('2017'!$G$5:$R$5&lt;=Master!$B$3))</f>
        <v>14725724.250000002</v>
      </c>
      <c r="L28" s="201">
        <f t="shared" si="7"/>
        <v>3765516.0299999993</v>
      </c>
      <c r="M28" s="203">
        <f t="shared" si="2"/>
        <v>0.25571007347906827</v>
      </c>
      <c r="N28" s="194">
        <f>'2018'!P28</f>
        <v>1515704.84</v>
      </c>
      <c r="O28" s="200">
        <f>+INDEX('2018'!$1:$1048576,MATCH(CONCATENATE('Analytics - 2018'!$A28,"p"),'2018'!$A:$A,0),MATCH('Analytics - 2018'!$O$6,'2018'!$101:$101,0))</f>
        <v>2470225.2025423776</v>
      </c>
      <c r="P28" s="201">
        <f t="shared" si="3"/>
        <v>-954520.36254237755</v>
      </c>
      <c r="Q28" s="202">
        <f t="shared" si="4"/>
        <v>-0.38641025990665823</v>
      </c>
      <c r="R28" s="194">
        <f>'2017'!P28</f>
        <v>2652981.5699999998</v>
      </c>
      <c r="S28" s="201">
        <f t="shared" si="5"/>
        <v>-1137276.7299999997</v>
      </c>
      <c r="T28" s="203">
        <f t="shared" si="6"/>
        <v>-0.42867871486947418</v>
      </c>
    </row>
    <row r="29" spans="1:20" ht="15.75" thickBot="1">
      <c r="A29" s="175">
        <v>4</v>
      </c>
      <c r="B29" s="476" t="str">
        <f>+VLOOKUP($A29,Master!$D$25:$G$223,4,FALSE)</f>
        <v>Total Expenditures</v>
      </c>
      <c r="C29" s="477"/>
      <c r="D29" s="477"/>
      <c r="E29" s="477"/>
      <c r="F29" s="477"/>
      <c r="G29" s="176">
        <f>+SUMPRODUCT(('2018'!$G29:$R29)*('2018'!$G$5:$R$5&lt;=Master!$B$3)*($A29='2018'!$A$10:$A$66))</f>
        <v>1456715969.8800001</v>
      </c>
      <c r="H29" s="176">
        <f>+SUMPRODUCT(('2018'!$G124:$R124)*('2018'!$G$5:$R$5&lt;=Master!$B$3))</f>
        <v>1549629960.7184443</v>
      </c>
      <c r="I29" s="177">
        <f t="shared" si="0"/>
        <v>-92913990.838444233</v>
      </c>
      <c r="J29" s="178">
        <f t="shared" si="1"/>
        <v>-5.9958824489536267E-2</v>
      </c>
      <c r="K29" s="176">
        <f>+SUMPRODUCT(('2017'!$G29:$R29)*('2017'!$G$5:$R$5&lt;=Master!$B$3))</f>
        <v>1375467648.47</v>
      </c>
      <c r="L29" s="177">
        <f t="shared" si="7"/>
        <v>81248321.410000086</v>
      </c>
      <c r="M29" s="179">
        <f t="shared" si="2"/>
        <v>5.9069598256546785E-2</v>
      </c>
      <c r="N29" s="176">
        <f>'2018'!P29</f>
        <v>158387881.82999998</v>
      </c>
      <c r="O29" s="176">
        <f>+INDEX('2018'!$1:$1048576,MATCH(CONCATENATE('Analytics - 2018'!$A29,"p"),'2018'!$A:$A,0),MATCH('Analytics - 2018'!$O$6,'2018'!$101:$101,0))</f>
        <v>174334840.49077779</v>
      </c>
      <c r="P29" s="177">
        <f t="shared" si="3"/>
        <v>-15946958.660777807</v>
      </c>
      <c r="Q29" s="178">
        <f t="shared" si="4"/>
        <v>-9.1473159443544505E-2</v>
      </c>
      <c r="R29" s="176">
        <f>'2017'!P29</f>
        <v>156775579.92000002</v>
      </c>
      <c r="S29" s="177">
        <f t="shared" si="5"/>
        <v>1612301.9099999666</v>
      </c>
      <c r="T29" s="179">
        <f t="shared" si="6"/>
        <v>1.0284139346336429E-2</v>
      </c>
    </row>
    <row r="30" spans="1:20" ht="15.75" thickBot="1">
      <c r="A30" s="175">
        <v>41</v>
      </c>
      <c r="B30" s="492" t="str">
        <f>+VLOOKUP($A30,Master!$D$25:$G$223,4,FALSE)</f>
        <v>Current Expenditures</v>
      </c>
      <c r="C30" s="493"/>
      <c r="D30" s="493"/>
      <c r="E30" s="493"/>
      <c r="F30" s="493"/>
      <c r="G30" s="342">
        <f>+SUMPRODUCT(('2018'!$G30:$R30)*('2018'!$G$5:$R$5&lt;=Master!$B$3)*($A30='2018'!$A$10:$A$66))</f>
        <v>1284880308.1600001</v>
      </c>
      <c r="H30" s="342">
        <f>+SUMPRODUCT(('2018'!$G125:$R125)*('2018'!$G$5:$R$5&lt;=Master!$B$3))</f>
        <v>1314185794.0517778</v>
      </c>
      <c r="I30" s="207">
        <f t="shared" si="0"/>
        <v>-29305485.891777754</v>
      </c>
      <c r="J30" s="208">
        <f t="shared" si="1"/>
        <v>-2.2299347645073686E-2</v>
      </c>
      <c r="K30" s="389">
        <f>+SUMPRODUCT(('2017'!$G30:$R30)*('2017'!$G$5:$R$5&lt;=Master!$B$3))</f>
        <v>1244405603.0799999</v>
      </c>
      <c r="L30" s="207">
        <f t="shared" si="7"/>
        <v>40474705.080000162</v>
      </c>
      <c r="M30" s="209">
        <f t="shared" si="2"/>
        <v>3.2525331756641185E-2</v>
      </c>
      <c r="N30" s="342">
        <f>'2018'!P30</f>
        <v>131101783.50999999</v>
      </c>
      <c r="O30" s="342">
        <f>+INDEX('2018'!$1:$1048576,MATCH(CONCATENATE('Analytics - 2018'!$A30,"p"),'2018'!$A:$A,0),MATCH('Analytics - 2018'!$O$6,'2018'!$101:$101,0))</f>
        <v>148019423.8241111</v>
      </c>
      <c r="P30" s="207">
        <f t="shared" si="3"/>
        <v>-16917640.314111114</v>
      </c>
      <c r="Q30" s="208">
        <f t="shared" si="4"/>
        <v>-0.11429338040265613</v>
      </c>
      <c r="R30" s="342">
        <f>'2017'!P30</f>
        <v>126782294.63000003</v>
      </c>
      <c r="S30" s="207">
        <f t="shared" si="5"/>
        <v>4319488.8799999654</v>
      </c>
      <c r="T30" s="209">
        <f t="shared" si="6"/>
        <v>3.4070127004767636E-2</v>
      </c>
    </row>
    <row r="31" spans="1:20">
      <c r="A31" s="175">
        <v>40</v>
      </c>
      <c r="B31" s="494" t="str">
        <f>+VLOOKUP($A31,Master!$D$25:$G$223,4,FALSE)</f>
        <v>Current Budgetary Expenditures</v>
      </c>
      <c r="C31" s="495"/>
      <c r="D31" s="495"/>
      <c r="E31" s="495"/>
      <c r="F31" s="495"/>
      <c r="G31" s="391">
        <f>+SUMPRODUCT(('2018'!$G31:$R31)*('2018'!$G$5:$R$5&lt;=Master!$B$3)*($A31='2018'!$A$10:$A$66))</f>
        <v>644753340.8900001</v>
      </c>
      <c r="H31" s="391">
        <f>+SUMPRODUCT(('2018'!$G126:$R126)*('2018'!$G$5:$R$5&lt;=Master!$B$3))</f>
        <v>660838658.78077781</v>
      </c>
      <c r="I31" s="213">
        <f t="shared" si="0"/>
        <v>-16085317.890777707</v>
      </c>
      <c r="J31" s="214">
        <f t="shared" si="1"/>
        <v>-2.4340764083709221E-2</v>
      </c>
      <c r="K31" s="390">
        <f>+SUMPRODUCT(('2017'!$G31:$R31)*('2017'!$G$5:$R$5&lt;=Master!$B$3))</f>
        <v>617325024.71999991</v>
      </c>
      <c r="L31" s="213">
        <f t="shared" si="7"/>
        <v>27428316.170000196</v>
      </c>
      <c r="M31" s="215">
        <f t="shared" si="2"/>
        <v>4.4430915760204082E-2</v>
      </c>
      <c r="N31" s="391">
        <f>'2018'!P31</f>
        <v>66140442.960000001</v>
      </c>
      <c r="O31" s="391">
        <f>+INDEX('2018'!$1:$1048576,MATCH(CONCATENATE('Analytics - 2018'!$A31,"p"),'2018'!$A:$A,0),MATCH('Analytics - 2018'!$O$6,'2018'!$101:$101,0))</f>
        <v>75624240.564611077</v>
      </c>
      <c r="P31" s="213">
        <f t="shared" si="3"/>
        <v>-9483797.6046110764</v>
      </c>
      <c r="Q31" s="214">
        <f t="shared" si="4"/>
        <v>-0.12540684751086395</v>
      </c>
      <c r="R31" s="391">
        <f>'2017'!P31</f>
        <v>60486450.390000001</v>
      </c>
      <c r="S31" s="213">
        <f t="shared" si="5"/>
        <v>5653992.5700000003</v>
      </c>
      <c r="T31" s="215">
        <f t="shared" si="6"/>
        <v>9.3475357432029949E-2</v>
      </c>
    </row>
    <row r="32" spans="1:20">
      <c r="A32" s="175">
        <v>411</v>
      </c>
      <c r="B32" s="486" t="str">
        <f>+VLOOKUP($A32,Master!$D$25:$G$223,4,FALSE)</f>
        <v>Gross Salaries and Contributions</v>
      </c>
      <c r="C32" s="487"/>
      <c r="D32" s="487"/>
      <c r="E32" s="487"/>
      <c r="F32" s="487"/>
      <c r="G32" s="188">
        <f>+SUMPRODUCT(('2018'!$G32:$R32)*('2018'!$G$5:$R$5&lt;=Master!$B$3)*($A32='2018'!$A$10:$A$66))</f>
        <v>379671530.76999998</v>
      </c>
      <c r="H32" s="188">
        <f>+SUMPRODUCT(('2018'!$G127:$R127)*('2018'!$G$5:$R$5&lt;=Master!$B$3))</f>
        <v>377312818.27166659</v>
      </c>
      <c r="I32" s="189">
        <f t="shared" si="0"/>
        <v>2358712.4983333945</v>
      </c>
      <c r="J32" s="190">
        <f t="shared" si="1"/>
        <v>6.2513447307139813E-3</v>
      </c>
      <c r="K32" s="188">
        <f>+SUMPRODUCT(('2017'!$G32:$R32)*('2017'!$G$5:$R$5&lt;=Master!$B$3))</f>
        <v>366707568.19</v>
      </c>
      <c r="L32" s="189">
        <f t="shared" si="7"/>
        <v>12963962.579999983</v>
      </c>
      <c r="M32" s="191">
        <f t="shared" si="2"/>
        <v>3.5352318044559849E-2</v>
      </c>
      <c r="N32" s="188">
        <f>'2018'!P32</f>
        <v>39555636.280000001</v>
      </c>
      <c r="O32" s="188">
        <f>+INDEX('2018'!$1:$1048576,MATCH(CONCATENATE('Analytics - 2018'!$A32,"p"),'2018'!$A:$A,0),MATCH('Analytics - 2018'!$O$6,'2018'!$101:$101,0))</f>
        <v>42330489.099166654</v>
      </c>
      <c r="P32" s="189">
        <f t="shared" si="3"/>
        <v>-2774852.8191666529</v>
      </c>
      <c r="Q32" s="190">
        <f t="shared" si="4"/>
        <v>-6.55521086152836E-2</v>
      </c>
      <c r="R32" s="188">
        <f>'2017'!P32</f>
        <v>37968977.82</v>
      </c>
      <c r="S32" s="189">
        <f t="shared" si="5"/>
        <v>1586658.4600000009</v>
      </c>
      <c r="T32" s="191">
        <f t="shared" si="6"/>
        <v>4.1788284834052947E-2</v>
      </c>
    </row>
    <row r="33" spans="1:20">
      <c r="A33" s="175">
        <v>412</v>
      </c>
      <c r="B33" s="486" t="str">
        <f>+VLOOKUP($A33,Master!$D$25:$G$223,4,FALSE)</f>
        <v>Other Personal Income</v>
      </c>
      <c r="C33" s="487"/>
      <c r="D33" s="487"/>
      <c r="E33" s="487"/>
      <c r="F33" s="487"/>
      <c r="G33" s="188">
        <f>+SUMPRODUCT(('2018'!$G33:$R33)*('2018'!$G$5:$R$5&lt;=Master!$B$3)*($A33='2018'!$A$10:$A$66))</f>
        <v>8762759.75</v>
      </c>
      <c r="H33" s="188">
        <f>+SUMPRODUCT(('2018'!$G128:$R128)*('2018'!$G$5:$R$5&lt;=Master!$B$3))</f>
        <v>10589880.705555554</v>
      </c>
      <c r="I33" s="189">
        <f t="shared" si="0"/>
        <v>-1827120.9555555545</v>
      </c>
      <c r="J33" s="190">
        <f t="shared" si="1"/>
        <v>-0.17253461170691275</v>
      </c>
      <c r="K33" s="188">
        <f>+SUMPRODUCT(('2017'!$G33:$R33)*('2017'!$G$5:$R$5&lt;=Master!$B$3))</f>
        <v>7668041.1499999994</v>
      </c>
      <c r="L33" s="189">
        <f t="shared" si="7"/>
        <v>1094718.6000000006</v>
      </c>
      <c r="M33" s="191">
        <f t="shared" si="2"/>
        <v>0.14276378785473787</v>
      </c>
      <c r="N33" s="188">
        <f>'2018'!P33</f>
        <v>1011368.26</v>
      </c>
      <c r="O33" s="188">
        <f>+INDEX('2018'!$1:$1048576,MATCH(CONCATENATE('Analytics - 2018'!$A33,"p"),'2018'!$A:$A,0),MATCH('Analytics - 2018'!$O$6,'2018'!$101:$101,0))</f>
        <v>1064654.7372222201</v>
      </c>
      <c r="P33" s="189">
        <f t="shared" si="3"/>
        <v>-53286.477222220041</v>
      </c>
      <c r="Q33" s="190">
        <f t="shared" si="4"/>
        <v>-5.0050476797059318E-2</v>
      </c>
      <c r="R33" s="188">
        <f>'2017'!P33</f>
        <v>864910.68</v>
      </c>
      <c r="S33" s="189">
        <f t="shared" si="5"/>
        <v>146457.57999999996</v>
      </c>
      <c r="T33" s="191">
        <f t="shared" si="6"/>
        <v>0.16933260669182615</v>
      </c>
    </row>
    <row r="34" spans="1:20">
      <c r="A34" s="175">
        <v>413</v>
      </c>
      <c r="B34" s="486" t="str">
        <f>+VLOOKUP($A34,Master!$D$25:$G$223,4,FALSE)</f>
        <v>Expenditures for Supplies</v>
      </c>
      <c r="C34" s="487"/>
      <c r="D34" s="487"/>
      <c r="E34" s="487"/>
      <c r="F34" s="487"/>
      <c r="G34" s="188">
        <f>+SUMPRODUCT(('2018'!$G34:$R34)*('2018'!$G$5:$R$5&lt;=Master!$B$3)*($A34='2018'!$A$10:$A$66))</f>
        <v>24849648.059999999</v>
      </c>
      <c r="H34" s="188">
        <f>+SUMPRODUCT(('2018'!$G129:$R129)*('2018'!$G$5:$R$5&lt;=Master!$B$3))</f>
        <v>30773286.695999999</v>
      </c>
      <c r="I34" s="189">
        <f t="shared" si="0"/>
        <v>-5923638.6359999999</v>
      </c>
      <c r="J34" s="190">
        <f t="shared" si="1"/>
        <v>-0.19249288171646517</v>
      </c>
      <c r="K34" s="188">
        <f>+SUMPRODUCT(('2017'!$G34:$R34)*('2017'!$G$5:$R$5&lt;=Master!$B$3))</f>
        <v>20990697.479999997</v>
      </c>
      <c r="L34" s="189">
        <f t="shared" si="7"/>
        <v>3858950.5800000019</v>
      </c>
      <c r="M34" s="191">
        <f t="shared" si="2"/>
        <v>0.18384098878452337</v>
      </c>
      <c r="N34" s="188">
        <f>'2018'!P34</f>
        <v>3004874.41</v>
      </c>
      <c r="O34" s="188">
        <f>+INDEX('2018'!$1:$1048576,MATCH(CONCATENATE('Analytics - 2018'!$A34,"p"),'2018'!$A:$A,0),MATCH('Analytics - 2018'!$O$6,'2018'!$101:$101,0))</f>
        <v>4454463.4019999988</v>
      </c>
      <c r="P34" s="189">
        <f t="shared" si="3"/>
        <v>-1449588.9919999987</v>
      </c>
      <c r="Q34" s="190">
        <f t="shared" si="4"/>
        <v>-0.32542393127512315</v>
      </c>
      <c r="R34" s="188">
        <f>'2017'!P34</f>
        <v>3032654.88</v>
      </c>
      <c r="S34" s="189">
        <f t="shared" si="5"/>
        <v>-27780.469999999739</v>
      </c>
      <c r="T34" s="191">
        <f t="shared" si="6"/>
        <v>-9.1604455829144005E-3</v>
      </c>
    </row>
    <row r="35" spans="1:20">
      <c r="A35" s="175">
        <v>414</v>
      </c>
      <c r="B35" s="486" t="str">
        <f>+VLOOKUP($A35,Master!$D$25:$G$223,4,FALSE)</f>
        <v>Expenditures for Services</v>
      </c>
      <c r="C35" s="487"/>
      <c r="D35" s="487"/>
      <c r="E35" s="487"/>
      <c r="F35" s="487"/>
      <c r="G35" s="188">
        <f>+SUMPRODUCT(('2018'!$G35:$R35)*('2018'!$G$5:$R$5&lt;=Master!$B$3)*($A35='2018'!$A$10:$A$66))</f>
        <v>52649453.939999998</v>
      </c>
      <c r="H35" s="188">
        <f>+SUMPRODUCT(('2018'!$G130:$R130)*('2018'!$G$5:$R$5&lt;=Master!$B$3))</f>
        <v>47587636.89977777</v>
      </c>
      <c r="I35" s="189">
        <f t="shared" si="0"/>
        <v>5061817.0402222276</v>
      </c>
      <c r="J35" s="190">
        <f t="shared" si="1"/>
        <v>0.10636832105957894</v>
      </c>
      <c r="K35" s="188">
        <f>+SUMPRODUCT(('2017'!$G35:$R35)*('2017'!$G$5:$R$5&lt;=Master!$B$3))</f>
        <v>44756957.469999999</v>
      </c>
      <c r="L35" s="189">
        <f t="shared" si="7"/>
        <v>7892496.4699999988</v>
      </c>
      <c r="M35" s="191">
        <f t="shared" si="2"/>
        <v>0.17634121969283179</v>
      </c>
      <c r="N35" s="188">
        <f>'2018'!P35</f>
        <v>5612259.6799999997</v>
      </c>
      <c r="O35" s="188">
        <f>+INDEX('2018'!$1:$1048576,MATCH(CONCATENATE('Analytics - 2018'!$A35,"p"),'2018'!$A:$A,0),MATCH('Analytics - 2018'!$O$6,'2018'!$101:$101,0))</f>
        <v>5577148.0201111175</v>
      </c>
      <c r="P35" s="189">
        <f t="shared" si="3"/>
        <v>35111.65988888219</v>
      </c>
      <c r="Q35" s="190">
        <f t="shared" si="4"/>
        <v>6.2956299101746271E-3</v>
      </c>
      <c r="R35" s="188">
        <f>'2017'!P35</f>
        <v>4884082.33</v>
      </c>
      <c r="S35" s="189">
        <f t="shared" si="5"/>
        <v>728177.34999999963</v>
      </c>
      <c r="T35" s="191">
        <f t="shared" si="6"/>
        <v>0.14909194825141281</v>
      </c>
    </row>
    <row r="36" spans="1:20">
      <c r="A36" s="175">
        <v>415</v>
      </c>
      <c r="B36" s="486" t="str">
        <f>+VLOOKUP($A36,Master!$D$25:$G$223,4,FALSE)</f>
        <v>Current Maintenance</v>
      </c>
      <c r="C36" s="487"/>
      <c r="D36" s="487"/>
      <c r="E36" s="487"/>
      <c r="F36" s="487"/>
      <c r="G36" s="188">
        <f>+SUMPRODUCT(('2018'!$G36:$R36)*('2018'!$G$5:$R$5&lt;=Master!$B$3)*($A36='2018'!$A$10:$A$66))</f>
        <v>14990724.629999999</v>
      </c>
      <c r="H36" s="188">
        <f>+SUMPRODUCT(('2018'!$G131:$R131)*('2018'!$G$5:$R$5&lt;=Master!$B$3))</f>
        <v>18584020.998333335</v>
      </c>
      <c r="I36" s="189">
        <f t="shared" si="0"/>
        <v>-3593296.368333336</v>
      </c>
      <c r="J36" s="190">
        <f t="shared" si="1"/>
        <v>-0.1933540846007219</v>
      </c>
      <c r="K36" s="188">
        <f>+SUMPRODUCT(('2017'!$G36:$R36)*('2017'!$G$5:$R$5&lt;=Master!$B$3))</f>
        <v>14476595.120000001</v>
      </c>
      <c r="L36" s="189">
        <f t="shared" si="7"/>
        <v>514129.50999999791</v>
      </c>
      <c r="M36" s="191">
        <f t="shared" si="2"/>
        <v>3.5514532646541142E-2</v>
      </c>
      <c r="N36" s="188">
        <f>'2018'!P36</f>
        <v>1827701.36</v>
      </c>
      <c r="O36" s="188">
        <f>+INDEX('2018'!$1:$1048576,MATCH(CONCATENATE('Analytics - 2018'!$A36,"p"),'2018'!$A:$A,0),MATCH('Analytics - 2018'!$O$6,'2018'!$101:$101,0))</f>
        <v>1850732.9058333328</v>
      </c>
      <c r="P36" s="189">
        <f t="shared" si="3"/>
        <v>-23031.545833332697</v>
      </c>
      <c r="Q36" s="190">
        <f t="shared" si="4"/>
        <v>-1.2444554133521635E-2</v>
      </c>
      <c r="R36" s="188">
        <f>'2017'!P36</f>
        <v>1881648.29</v>
      </c>
      <c r="S36" s="189">
        <f t="shared" si="5"/>
        <v>-53946.929999999935</v>
      </c>
      <c r="T36" s="191">
        <f t="shared" si="6"/>
        <v>-2.8670039075155751E-2</v>
      </c>
    </row>
    <row r="37" spans="1:20">
      <c r="A37" s="175">
        <v>416</v>
      </c>
      <c r="B37" s="486" t="str">
        <f>+VLOOKUP($A37,Master!$D$25:$G$223,4,FALSE)</f>
        <v>Interests</v>
      </c>
      <c r="C37" s="487"/>
      <c r="D37" s="487"/>
      <c r="E37" s="487"/>
      <c r="F37" s="487"/>
      <c r="G37" s="188">
        <f>+SUMPRODUCT(('2018'!$G37:$R37)*('2018'!$G$5:$R$5&lt;=Master!$B$3)*($A37='2018'!$A$10:$A$66))</f>
        <v>72175401.670000002</v>
      </c>
      <c r="H37" s="188">
        <f>+SUMPRODUCT(('2018'!$G132:$R132)*('2018'!$G$5:$R$5&lt;=Master!$B$3))</f>
        <v>72212250</v>
      </c>
      <c r="I37" s="189">
        <f t="shared" si="0"/>
        <v>-36848.329999998212</v>
      </c>
      <c r="J37" s="190">
        <f t="shared" si="1"/>
        <v>-5.1027810378434513E-4</v>
      </c>
      <c r="K37" s="188">
        <f>+SUMPRODUCT(('2017'!$G37:$R37)*('2017'!$G$5:$R$5&lt;=Master!$B$3))</f>
        <v>92493369.420000017</v>
      </c>
      <c r="L37" s="189">
        <f t="shared" si="7"/>
        <v>-20317967.750000015</v>
      </c>
      <c r="M37" s="191">
        <f t="shared" si="2"/>
        <v>-0.21966945173917107</v>
      </c>
      <c r="N37" s="188">
        <f>'2018'!P37</f>
        <v>1508680.94</v>
      </c>
      <c r="O37" s="188">
        <f>+INDEX('2018'!$1:$1048576,MATCH(CONCATENATE('Analytics - 2018'!$A37,"p"),'2018'!$A:$A,0),MATCH('Analytics - 2018'!$O$6,'2018'!$101:$101,0))</f>
        <v>7615225</v>
      </c>
      <c r="P37" s="189">
        <f t="shared" si="3"/>
        <v>-6106544.0600000005</v>
      </c>
      <c r="Q37" s="190">
        <f t="shared" si="4"/>
        <v>-0.80188622923157227</v>
      </c>
      <c r="R37" s="188">
        <f>'2017'!P37</f>
        <v>1739140.99</v>
      </c>
      <c r="S37" s="189">
        <f t="shared" si="5"/>
        <v>-230460.05000000005</v>
      </c>
      <c r="T37" s="191">
        <f t="shared" si="6"/>
        <v>-0.13251372449107768</v>
      </c>
    </row>
    <row r="38" spans="1:20">
      <c r="A38" s="175">
        <v>417</v>
      </c>
      <c r="B38" s="486" t="str">
        <f>+VLOOKUP($A38,Master!$D$25:$G$223,4,FALSE)</f>
        <v>Rent</v>
      </c>
      <c r="C38" s="487"/>
      <c r="D38" s="487"/>
      <c r="E38" s="487"/>
      <c r="F38" s="487"/>
      <c r="G38" s="188">
        <f>+SUMPRODUCT(('2018'!$G38:$R38)*('2018'!$G$5:$R$5&lt;=Master!$B$3)*($A38='2018'!$A$10:$A$66))</f>
        <v>7614737.5099999998</v>
      </c>
      <c r="H38" s="188">
        <f>+SUMPRODUCT(('2018'!$G133:$R133)*('2018'!$G$5:$R$5&lt;=Master!$B$3))</f>
        <v>8372306.0633333335</v>
      </c>
      <c r="I38" s="189">
        <f t="shared" si="0"/>
        <v>-757568.55333333369</v>
      </c>
      <c r="J38" s="190">
        <f t="shared" si="1"/>
        <v>-9.0485052457783266E-2</v>
      </c>
      <c r="K38" s="188">
        <f>+SUMPRODUCT(('2017'!$G38:$R38)*('2017'!$G$5:$R$5&lt;=Master!$B$3))</f>
        <v>6827218.7299999995</v>
      </c>
      <c r="L38" s="189">
        <f t="shared" si="7"/>
        <v>787518.78000000026</v>
      </c>
      <c r="M38" s="191">
        <f t="shared" si="2"/>
        <v>0.11534986810068126</v>
      </c>
      <c r="N38" s="188">
        <f>'2018'!P38</f>
        <v>1043096.71</v>
      </c>
      <c r="O38" s="188">
        <f>+INDEX('2018'!$1:$1048576,MATCH(CONCATENATE('Analytics - 2018'!$A38,"p"),'2018'!$A:$A,0),MATCH('Analytics - 2018'!$O$6,'2018'!$101:$101,0))</f>
        <v>986109.29833333322</v>
      </c>
      <c r="P38" s="189">
        <f t="shared" si="3"/>
        <v>56987.41166666674</v>
      </c>
      <c r="Q38" s="190">
        <f t="shared" si="4"/>
        <v>5.7790157503821993E-2</v>
      </c>
      <c r="R38" s="188">
        <f>'2017'!P38</f>
        <v>802737.21</v>
      </c>
      <c r="S38" s="189">
        <f t="shared" si="5"/>
        <v>240359.5</v>
      </c>
      <c r="T38" s="191">
        <f t="shared" si="6"/>
        <v>0.29942488899947728</v>
      </c>
    </row>
    <row r="39" spans="1:20">
      <c r="A39" s="175">
        <v>418</v>
      </c>
      <c r="B39" s="486" t="str">
        <f>+VLOOKUP($A39,Master!$D$25:$G$223,4,FALSE)</f>
        <v>Subsidies</v>
      </c>
      <c r="C39" s="487"/>
      <c r="D39" s="487"/>
      <c r="E39" s="487"/>
      <c r="F39" s="487"/>
      <c r="G39" s="188">
        <f>+SUMPRODUCT(('2018'!$G39:$R39)*('2018'!$G$5:$R$5&lt;=Master!$B$3)*($A39='2018'!$A$10:$A$66))</f>
        <v>21533573.569999997</v>
      </c>
      <c r="H39" s="188">
        <f>+SUMPRODUCT(('2018'!$G134:$R134)*('2018'!$G$5:$R$5&lt;=Master!$B$3))</f>
        <v>22369833.33333334</v>
      </c>
      <c r="I39" s="189">
        <f t="shared" si="0"/>
        <v>-836259.76333334297</v>
      </c>
      <c r="J39" s="190">
        <f t="shared" si="1"/>
        <v>-3.7383370312698339E-2</v>
      </c>
      <c r="K39" s="188">
        <f>+SUMPRODUCT(('2017'!$G39:$R39)*('2017'!$G$5:$R$5&lt;=Master!$B$3))</f>
        <v>16565637.600000001</v>
      </c>
      <c r="L39" s="189">
        <f t="shared" si="7"/>
        <v>4967935.9699999951</v>
      </c>
      <c r="M39" s="191">
        <f t="shared" si="2"/>
        <v>0.29989403909210188</v>
      </c>
      <c r="N39" s="188">
        <f>'2018'!P39</f>
        <v>3547724.18</v>
      </c>
      <c r="O39" s="188">
        <f>+INDEX('2018'!$1:$1048576,MATCH(CONCATENATE('Analytics - 2018'!$A39,"p"),'2018'!$A:$A,0),MATCH('Analytics - 2018'!$O$6,'2018'!$101:$101,0))</f>
        <v>2180983.3333333344</v>
      </c>
      <c r="P39" s="189">
        <f t="shared" si="3"/>
        <v>1366740.8466666657</v>
      </c>
      <c r="Q39" s="190">
        <f t="shared" si="4"/>
        <v>0.62666267356467564</v>
      </c>
      <c r="R39" s="188">
        <f>'2017'!P39</f>
        <v>2388415.48</v>
      </c>
      <c r="S39" s="189">
        <f t="shared" si="5"/>
        <v>1159308.7000000002</v>
      </c>
      <c r="T39" s="191">
        <f t="shared" si="6"/>
        <v>0.48538820389825976</v>
      </c>
    </row>
    <row r="40" spans="1:20">
      <c r="A40" s="175">
        <v>419</v>
      </c>
      <c r="B40" s="486" t="str">
        <f>+VLOOKUP($A40,Master!$D$25:$G$223,4,FALSE)</f>
        <v>Other expenditures</v>
      </c>
      <c r="C40" s="487"/>
      <c r="D40" s="487"/>
      <c r="E40" s="487"/>
      <c r="F40" s="487"/>
      <c r="G40" s="188">
        <f>+SUMPRODUCT(('2018'!$G40:$R40)*('2018'!$G$5:$R$5&lt;=Master!$B$3)*($A40='2018'!$A$10:$A$66))</f>
        <v>27983277.350000001</v>
      </c>
      <c r="H40" s="188">
        <f>+SUMPRODUCT(('2018'!$G135:$R135)*('2018'!$G$5:$R$5&lt;=Master!$B$3))</f>
        <v>31563283.779111113</v>
      </c>
      <c r="I40" s="189">
        <f t="shared" si="0"/>
        <v>-3580006.4291111119</v>
      </c>
      <c r="J40" s="190">
        <f t="shared" si="1"/>
        <v>-0.11342312967703294</v>
      </c>
      <c r="K40" s="188">
        <f>+SUMPRODUCT(('2017'!$G40:$R40)*('2017'!$G$5:$R$5&lt;=Master!$B$3))</f>
        <v>25466422.619999997</v>
      </c>
      <c r="L40" s="189">
        <f t="shared" si="7"/>
        <v>2516854.7300000042</v>
      </c>
      <c r="M40" s="191">
        <f t="shared" si="2"/>
        <v>9.8830321304076652E-2</v>
      </c>
      <c r="N40" s="188">
        <f>'2018'!P40</f>
        <v>3108711.17</v>
      </c>
      <c r="O40" s="188">
        <f>+INDEX('2018'!$1:$1048576,MATCH(CONCATENATE('Analytics - 2018'!$A40,"p"),'2018'!$A:$A,0),MATCH('Analytics - 2018'!$O$6,'2018'!$101:$101,0))</f>
        <v>3877323.0754444436</v>
      </c>
      <c r="P40" s="189">
        <f t="shared" si="3"/>
        <v>-768611.90544444369</v>
      </c>
      <c r="Q40" s="190">
        <f t="shared" si="4"/>
        <v>-0.19823261835263506</v>
      </c>
      <c r="R40" s="188">
        <f>'2017'!P40</f>
        <v>3382897.72</v>
      </c>
      <c r="S40" s="189">
        <f t="shared" si="5"/>
        <v>-274186.55000000028</v>
      </c>
      <c r="T40" s="191">
        <f t="shared" si="6"/>
        <v>-8.1050795115378271E-2</v>
      </c>
    </row>
    <row r="41" spans="1:20">
      <c r="A41" s="175">
        <v>440</v>
      </c>
      <c r="B41" s="486" t="str">
        <f>+VLOOKUP($A41,Master!$D$25:$G$223,4,FALSE)</f>
        <v>Current Capital Expenditure</v>
      </c>
      <c r="C41" s="487"/>
      <c r="D41" s="487"/>
      <c r="E41" s="487"/>
      <c r="F41" s="487"/>
      <c r="G41" s="188">
        <f>+SUMPRODUCT(('2018'!$G41:$R41)*('2018'!$G$5:$R$5&lt;=Master!$B$3)*($A41='2018'!$A$10:$A$66))</f>
        <v>34522233.640000008</v>
      </c>
      <c r="H41" s="188">
        <f>+SUMPRODUCT(('2018'!$G136:$R136)*('2018'!$G$5:$R$5&lt;=Master!$B$3))</f>
        <v>41473342.03366667</v>
      </c>
      <c r="I41" s="189">
        <f t="shared" si="0"/>
        <v>-6951108.3936666623</v>
      </c>
      <c r="J41" s="190">
        <f t="shared" si="1"/>
        <v>-0.16760425017168823</v>
      </c>
      <c r="K41" s="188">
        <f>+SUMPRODUCT(('2017'!$G41:$R41)*('2017'!$G$5:$R$5&lt;=Master!$B$3))</f>
        <v>21372516.939999998</v>
      </c>
      <c r="L41" s="189">
        <f t="shared" si="7"/>
        <v>13149716.70000001</v>
      </c>
      <c r="M41" s="191">
        <f t="shared" si="2"/>
        <v>0.61526289752937324</v>
      </c>
      <c r="N41" s="188">
        <f>'2018'!P41</f>
        <v>5920389.9699999997</v>
      </c>
      <c r="O41" s="188">
        <f>+INDEX('2018'!$1:$1048576,MATCH(CONCATENATE('Analytics - 2018'!$A41,"p"),'2018'!$A:$A,0),MATCH('Analytics - 2018'!$O$6,'2018'!$101:$101,0))</f>
        <v>5687111.6931666648</v>
      </c>
      <c r="P41" s="189">
        <f t="shared" si="3"/>
        <v>233278.27683333494</v>
      </c>
      <c r="Q41" s="190">
        <f t="shared" si="4"/>
        <v>4.1018761265693149E-2</v>
      </c>
      <c r="R41" s="188">
        <f>'2017'!P41</f>
        <v>3540984.99</v>
      </c>
      <c r="S41" s="189">
        <f t="shared" si="5"/>
        <v>2379404.9799999995</v>
      </c>
      <c r="T41" s="191">
        <f t="shared" si="6"/>
        <v>0.67196132904251571</v>
      </c>
    </row>
    <row r="42" spans="1:20">
      <c r="A42" s="175">
        <v>42</v>
      </c>
      <c r="B42" s="482" t="str">
        <f>+VLOOKUP($A42,Master!$D$25:$G$223,4,FALSE)</f>
        <v>Social Security Transfers</v>
      </c>
      <c r="C42" s="483"/>
      <c r="D42" s="483"/>
      <c r="E42" s="483"/>
      <c r="F42" s="483"/>
      <c r="G42" s="200">
        <f>+SUMPRODUCT(('2018'!$G42:$R42)*('2018'!$G$5:$R$5&lt;=Master!$B$3)*($A42='2018'!$A$10:$A$66))</f>
        <v>447160042.25</v>
      </c>
      <c r="H42" s="200">
        <f>+SUMPRODUCT(('2018'!$G137:$R137)*('2018'!$G$5:$R$5&lt;=Master!$B$3))</f>
        <v>463269283.5800001</v>
      </c>
      <c r="I42" s="219">
        <f t="shared" si="0"/>
        <v>-16109241.330000103</v>
      </c>
      <c r="J42" s="220">
        <f t="shared" si="1"/>
        <v>-3.4772953659938155E-2</v>
      </c>
      <c r="K42" s="200">
        <f>+SUMPRODUCT(('2017'!$G42:$R42)*('2017'!$G$5:$R$5&lt;=Master!$B$3))</f>
        <v>449267863.29999995</v>
      </c>
      <c r="L42" s="219">
        <f t="shared" si="7"/>
        <v>-2107821.0499999523</v>
      </c>
      <c r="M42" s="221">
        <f t="shared" si="2"/>
        <v>-4.6916800024764393E-3</v>
      </c>
      <c r="N42" s="200">
        <f>'2018'!P42</f>
        <v>45490648.009999998</v>
      </c>
      <c r="O42" s="200">
        <f>+INDEX('2018'!$1:$1048576,MATCH(CONCATENATE('Analytics - 2018'!$A42,"p"),'2018'!$A:$A,0),MATCH('Analytics - 2018'!$O$6,'2018'!$101:$101,0))</f>
        <v>47831745.140000008</v>
      </c>
      <c r="P42" s="219">
        <f t="shared" si="3"/>
        <v>-2341097.1300000101</v>
      </c>
      <c r="Q42" s="220">
        <f t="shared" si="4"/>
        <v>-4.8944422227284234E-2</v>
      </c>
      <c r="R42" s="200">
        <f>'2017'!P42</f>
        <v>44748876.500000007</v>
      </c>
      <c r="S42" s="219">
        <f t="shared" si="5"/>
        <v>741771.50999999046</v>
      </c>
      <c r="T42" s="221">
        <f t="shared" si="6"/>
        <v>1.6576315832197208E-2</v>
      </c>
    </row>
    <row r="43" spans="1:20">
      <c r="A43" s="175">
        <v>421</v>
      </c>
      <c r="B43" s="486" t="str">
        <f>+VLOOKUP($A43,Master!$D$25:$G$223,4,FALSE)</f>
        <v>Social Security</v>
      </c>
      <c r="C43" s="487"/>
      <c r="D43" s="487"/>
      <c r="E43" s="487"/>
      <c r="F43" s="487"/>
      <c r="G43" s="188">
        <f>+SUMPRODUCT(('2018'!$G43:$R43)*('2018'!$G$5:$R$5&lt;=Master!$B$3)*($A43='2018'!$A$10:$A$66))</f>
        <v>64808568.329999998</v>
      </c>
      <c r="H43" s="188">
        <f>+SUMPRODUCT(('2018'!$G138:$R138)*('2018'!$G$5:$R$5&lt;=Master!$B$3))</f>
        <v>67997041.954999998</v>
      </c>
      <c r="I43" s="189">
        <f t="shared" si="0"/>
        <v>-3188473.625</v>
      </c>
      <c r="J43" s="190">
        <f t="shared" si="1"/>
        <v>-4.6891357819802137E-2</v>
      </c>
      <c r="K43" s="188">
        <f>+SUMPRODUCT(('2017'!$G43:$R43)*('2017'!$G$5:$R$5&lt;=Master!$B$3))</f>
        <v>85696860.890000001</v>
      </c>
      <c r="L43" s="189">
        <f t="shared" si="7"/>
        <v>-20888292.560000002</v>
      </c>
      <c r="M43" s="191">
        <f t="shared" si="2"/>
        <v>-0.24374629762474143</v>
      </c>
      <c r="N43" s="188">
        <f>'2018'!P43</f>
        <v>7143348.9900000002</v>
      </c>
      <c r="O43" s="188">
        <f>+INDEX('2018'!$1:$1048576,MATCH(CONCATENATE('Analytics - 2018'!$A43,"p"),'2018'!$A:$A,0),MATCH('Analytics - 2018'!$O$6,'2018'!$101:$101,0))</f>
        <v>7394520.9774999991</v>
      </c>
      <c r="P43" s="189">
        <f t="shared" si="3"/>
        <v>-251171.98749999888</v>
      </c>
      <c r="Q43" s="190">
        <f t="shared" si="4"/>
        <v>-3.3967310156298613E-2</v>
      </c>
      <c r="R43" s="188">
        <f>'2017'!P43</f>
        <v>7602969.7000000002</v>
      </c>
      <c r="S43" s="189">
        <f t="shared" si="5"/>
        <v>-459620.70999999996</v>
      </c>
      <c r="T43" s="191">
        <f t="shared" si="6"/>
        <v>-6.0452787283895137E-2</v>
      </c>
    </row>
    <row r="44" spans="1:20">
      <c r="A44" s="175">
        <v>422</v>
      </c>
      <c r="B44" s="486" t="str">
        <f>+VLOOKUP($A44,Master!$D$25:$G$223,4,FALSE)</f>
        <v>Funds for redundant labor</v>
      </c>
      <c r="C44" s="487"/>
      <c r="D44" s="487"/>
      <c r="E44" s="487"/>
      <c r="F44" s="487"/>
      <c r="G44" s="188">
        <f>+SUMPRODUCT(('2018'!$G44:$R44)*('2018'!$G$5:$R$5&lt;=Master!$B$3)*($A44='2018'!$A$10:$A$66))</f>
        <v>10269444.299999999</v>
      </c>
      <c r="H44" s="188">
        <f>+SUMPRODUCT(('2018'!$G139:$R139)*('2018'!$G$5:$R$5&lt;=Master!$B$3))</f>
        <v>15448999.599999998</v>
      </c>
      <c r="I44" s="189">
        <f t="shared" si="0"/>
        <v>-5179555.2999999989</v>
      </c>
      <c r="J44" s="190">
        <f t="shared" si="1"/>
        <v>-0.33526800660930822</v>
      </c>
      <c r="K44" s="188">
        <f>+SUMPRODUCT(('2017'!$G44:$R44)*('2017'!$G$5:$R$5&lt;=Master!$B$3))</f>
        <v>9801456.1000000015</v>
      </c>
      <c r="L44" s="189">
        <f t="shared" si="7"/>
        <v>467988.19999999739</v>
      </c>
      <c r="M44" s="191">
        <f t="shared" si="2"/>
        <v>4.7746803661141479E-2</v>
      </c>
      <c r="N44" s="188">
        <f>'2018'!P44</f>
        <v>1282662.6599999999</v>
      </c>
      <c r="O44" s="188">
        <f>+INDEX('2018'!$1:$1048576,MATCH(CONCATENATE('Analytics - 2018'!$A44,"p"),'2018'!$A:$A,0),MATCH('Analytics - 2018'!$O$6,'2018'!$101:$101,0))</f>
        <v>924899.9599999981</v>
      </c>
      <c r="P44" s="189">
        <f t="shared" si="3"/>
        <v>357762.70000000182</v>
      </c>
      <c r="Q44" s="190">
        <f t="shared" si="4"/>
        <v>0.38681232076169891</v>
      </c>
      <c r="R44" s="188">
        <f>'2017'!P44</f>
        <v>1056401.0900000001</v>
      </c>
      <c r="S44" s="189">
        <f t="shared" si="5"/>
        <v>226261.56999999983</v>
      </c>
      <c r="T44" s="191">
        <f t="shared" si="6"/>
        <v>0.21418149994525271</v>
      </c>
    </row>
    <row r="45" spans="1:20">
      <c r="A45" s="175">
        <v>423</v>
      </c>
      <c r="B45" s="486" t="str">
        <f>+VLOOKUP($A45,Master!$D$25:$G$223,4,FALSE)</f>
        <v>Pension and Disability Insurance</v>
      </c>
      <c r="C45" s="487"/>
      <c r="D45" s="487"/>
      <c r="E45" s="487"/>
      <c r="F45" s="487"/>
      <c r="G45" s="188">
        <f>+SUMPRODUCT(('2018'!$G45:$R45)*('2018'!$G$5:$R$5&lt;=Master!$B$3)*($A45='2018'!$A$10:$A$66))</f>
        <v>345575530.38</v>
      </c>
      <c r="H45" s="188">
        <f>+SUMPRODUCT(('2018'!$G140:$R140)*('2018'!$G$5:$R$5&lt;=Master!$B$3))</f>
        <v>354727325.35833341</v>
      </c>
      <c r="I45" s="189">
        <f t="shared" si="0"/>
        <v>-9151794.9783334136</v>
      </c>
      <c r="J45" s="190">
        <f t="shared" si="1"/>
        <v>-2.579952071380065E-2</v>
      </c>
      <c r="K45" s="188">
        <f>+SUMPRODUCT(('2017'!$G45:$R45)*('2017'!$G$5:$R$5&lt;=Master!$B$3))</f>
        <v>333417075.25999999</v>
      </c>
      <c r="L45" s="189">
        <f t="shared" si="7"/>
        <v>12158455.120000005</v>
      </c>
      <c r="M45" s="191">
        <f t="shared" si="2"/>
        <v>3.6466204109429023E-2</v>
      </c>
      <c r="N45" s="188">
        <f>'2018'!P45</f>
        <v>34511618.530000001</v>
      </c>
      <c r="O45" s="188">
        <f>+INDEX('2018'!$1:$1048576,MATCH(CONCATENATE('Analytics - 2018'!$A45,"p"),'2018'!$A:$A,0),MATCH('Analytics - 2018'!$O$6,'2018'!$101:$101,0))</f>
        <v>35472732.535833336</v>
      </c>
      <c r="P45" s="189">
        <f t="shared" si="3"/>
        <v>-961114.00583333522</v>
      </c>
      <c r="Q45" s="190">
        <f t="shared" si="4"/>
        <v>-2.709444514494197E-2</v>
      </c>
      <c r="R45" s="188">
        <f>'2017'!P45</f>
        <v>33960607.270000003</v>
      </c>
      <c r="S45" s="189">
        <f t="shared" si="5"/>
        <v>551011.25999999791</v>
      </c>
      <c r="T45" s="191">
        <f t="shared" si="6"/>
        <v>1.6225011985776527E-2</v>
      </c>
    </row>
    <row r="46" spans="1:20">
      <c r="A46" s="175">
        <v>424</v>
      </c>
      <c r="B46" s="486" t="str">
        <f>+VLOOKUP($A46,Master!$D$25:$G$223,4,FALSE)</f>
        <v>Other Health Care Transfers</v>
      </c>
      <c r="C46" s="487"/>
      <c r="D46" s="487"/>
      <c r="E46" s="487"/>
      <c r="F46" s="487"/>
      <c r="G46" s="188">
        <f>+SUMPRODUCT(('2018'!$G46:$R46)*('2018'!$G$5:$R$5&lt;=Master!$B$3)*($A46='2018'!$A$10:$A$66))</f>
        <v>15614601</v>
      </c>
      <c r="H46" s="188">
        <f>+SUMPRODUCT(('2018'!$G141:$R141)*('2018'!$G$5:$R$5&lt;=Master!$B$3))</f>
        <v>15000083.33333333</v>
      </c>
      <c r="I46" s="189">
        <f t="shared" si="0"/>
        <v>614517.66666666977</v>
      </c>
      <c r="J46" s="190">
        <f t="shared" si="1"/>
        <v>4.0967616846573351E-2</v>
      </c>
      <c r="K46" s="188">
        <f>+SUMPRODUCT(('2017'!$G46:$R46)*('2017'!$G$5:$R$5&lt;=Master!$B$3))</f>
        <v>13252605.859999999</v>
      </c>
      <c r="L46" s="189">
        <f t="shared" si="7"/>
        <v>2361995.1400000006</v>
      </c>
      <c r="M46" s="191">
        <f t="shared" si="2"/>
        <v>0.17822873214158963</v>
      </c>
      <c r="N46" s="188">
        <f>'2018'!P46</f>
        <v>1661059.04</v>
      </c>
      <c r="O46" s="188">
        <f>+INDEX('2018'!$1:$1048576,MATCH(CONCATENATE('Analytics - 2018'!$A46,"p"),'2018'!$A:$A,0),MATCH('Analytics - 2018'!$O$6,'2018'!$101:$101,0))</f>
        <v>2000008.3333333328</v>
      </c>
      <c r="P46" s="189">
        <f t="shared" si="3"/>
        <v>-338949.29333333275</v>
      </c>
      <c r="Q46" s="190">
        <f t="shared" si="4"/>
        <v>-0.16947394052524756</v>
      </c>
      <c r="R46" s="188">
        <f>'2017'!P46</f>
        <v>1424217.95</v>
      </c>
      <c r="S46" s="189">
        <f t="shared" si="5"/>
        <v>236841.09000000008</v>
      </c>
      <c r="T46" s="191">
        <f t="shared" si="6"/>
        <v>0.16629553784236473</v>
      </c>
    </row>
    <row r="47" spans="1:20">
      <c r="A47" s="175">
        <v>425</v>
      </c>
      <c r="B47" s="486" t="str">
        <f>+VLOOKUP($A47,Master!$D$25:$G$223,4,FALSE)</f>
        <v>Other Health Care Insurance</v>
      </c>
      <c r="C47" s="487"/>
      <c r="D47" s="487"/>
      <c r="E47" s="487"/>
      <c r="F47" s="487"/>
      <c r="G47" s="188">
        <f>+SUMPRODUCT(('2018'!$G47:$R47)*('2018'!$G$5:$R$5&lt;=Master!$B$3)*($A47='2018'!$A$10:$A$66))</f>
        <v>10891898.239999998</v>
      </c>
      <c r="H47" s="188">
        <f>+SUMPRODUCT(('2018'!$G142:$R142)*('2018'!$G$5:$R$5&lt;=Master!$B$3))</f>
        <v>10095833.333333334</v>
      </c>
      <c r="I47" s="189">
        <f t="shared" si="0"/>
        <v>796064.90666666441</v>
      </c>
      <c r="J47" s="190">
        <f t="shared" si="1"/>
        <v>7.8850836813866954E-2</v>
      </c>
      <c r="K47" s="188">
        <f>+SUMPRODUCT(('2017'!$G47:$R47)*('2017'!$G$5:$R$5&lt;=Master!$B$3))</f>
        <v>7099865.1900000004</v>
      </c>
      <c r="L47" s="189">
        <f t="shared" si="7"/>
        <v>3792033.049999998</v>
      </c>
      <c r="M47" s="191">
        <f t="shared" si="2"/>
        <v>0.53409930308831655</v>
      </c>
      <c r="N47" s="188">
        <f>'2018'!P47</f>
        <v>891958.79</v>
      </c>
      <c r="O47" s="188">
        <f>+INDEX('2018'!$1:$1048576,MATCH(CONCATENATE('Analytics - 2018'!$A47,"p"),'2018'!$A:$A,0),MATCH('Analytics - 2018'!$O$6,'2018'!$101:$101,0))</f>
        <v>2039583.333333334</v>
      </c>
      <c r="P47" s="189">
        <f t="shared" si="3"/>
        <v>-1147624.5433333339</v>
      </c>
      <c r="Q47" s="190">
        <f t="shared" si="4"/>
        <v>-0.56267597630234945</v>
      </c>
      <c r="R47" s="188">
        <f>'2017'!P47</f>
        <v>704680.49</v>
      </c>
      <c r="S47" s="189">
        <f t="shared" si="5"/>
        <v>187278.30000000005</v>
      </c>
      <c r="T47" s="191">
        <f t="shared" si="6"/>
        <v>0.2657634242151361</v>
      </c>
    </row>
    <row r="48" spans="1:20">
      <c r="A48" s="175">
        <v>43</v>
      </c>
      <c r="B48" s="484" t="str">
        <f>+VLOOKUP($A48,Master!$D$25:$G$223,4,FALSE)</f>
        <v xml:space="preserve">Transfers to Institutions, Individuals, NGO and Public Sector </v>
      </c>
      <c r="C48" s="485"/>
      <c r="D48" s="485"/>
      <c r="E48" s="485"/>
      <c r="F48" s="485"/>
      <c r="G48" s="200">
        <f>+SUMPRODUCT(('2018'!$G48:$R48)*('2018'!$G$5:$R$5&lt;=Master!$B$3)*($A48='2018'!$A$10:$A$66))</f>
        <v>157727783.88999999</v>
      </c>
      <c r="H48" s="200">
        <f>+SUMPRODUCT(('2018'!$G143:$R143)*('2018'!$G$5:$R$5&lt;=Master!$B$3))</f>
        <v>168822965.57833332</v>
      </c>
      <c r="I48" s="201">
        <f t="shared" si="0"/>
        <v>-11095181.688333333</v>
      </c>
      <c r="J48" s="202">
        <f t="shared" si="1"/>
        <v>-6.5720807890826904E-2</v>
      </c>
      <c r="K48" s="200">
        <f>+SUMPRODUCT(('2017'!$G48:$R48)*('2017'!$G$5:$R$5&lt;=Master!$B$3))</f>
        <v>125842336.61</v>
      </c>
      <c r="L48" s="201">
        <f t="shared" si="7"/>
        <v>31885447.279999986</v>
      </c>
      <c r="M48" s="203">
        <f t="shared" si="2"/>
        <v>0.25337615415404025</v>
      </c>
      <c r="N48" s="200">
        <f>'2018'!P48</f>
        <v>16865431.859999999</v>
      </c>
      <c r="O48" s="200">
        <f>+INDEX('2018'!$1:$1048576,MATCH(CONCATENATE('Analytics - 2018'!$A48,"p"),'2018'!$A:$A,0),MATCH('Analytics - 2018'!$O$6,'2018'!$101:$101,0))</f>
        <v>18930636.555833336</v>
      </c>
      <c r="P48" s="201">
        <f t="shared" si="3"/>
        <v>-2065204.6958333366</v>
      </c>
      <c r="Q48" s="202">
        <f t="shared" si="4"/>
        <v>-0.10909325155243965</v>
      </c>
      <c r="R48" s="200">
        <f>'2017'!P48</f>
        <v>13251144.24</v>
      </c>
      <c r="S48" s="201">
        <f t="shared" si="5"/>
        <v>3614287.6199999992</v>
      </c>
      <c r="T48" s="203">
        <f t="shared" si="6"/>
        <v>0.2727528698306585</v>
      </c>
    </row>
    <row r="49" spans="1:23">
      <c r="A49" s="175">
        <v>44</v>
      </c>
      <c r="B49" s="484" t="str">
        <f>+VLOOKUP($A49,Master!$D$25:$G$223,4,FALSE)</f>
        <v>Capital Expenditure</v>
      </c>
      <c r="C49" s="485"/>
      <c r="D49" s="485"/>
      <c r="E49" s="485"/>
      <c r="F49" s="485"/>
      <c r="G49" s="200">
        <f>+SUMPRODUCT(('2018'!$G49:$R49)*('2018'!$G$5:$R$5&lt;=Master!$B$3)*($A49='2018'!$A$10:$A$66))</f>
        <v>171835661.71999997</v>
      </c>
      <c r="H49" s="200">
        <f>+SUMPRODUCT(('2018'!$G144:$R144)*('2018'!$G$5:$R$5&lt;=Master!$B$3))</f>
        <v>235444166.66666669</v>
      </c>
      <c r="I49" s="201">
        <f t="shared" si="0"/>
        <v>-63608504.946666718</v>
      </c>
      <c r="J49" s="202">
        <f t="shared" si="1"/>
        <v>-0.27016386027826855</v>
      </c>
      <c r="K49" s="401">
        <f>+SUMPRODUCT(('2017'!$G49:$R49)*('2017'!$G$5:$R$5&lt;=Master!$B$3))</f>
        <v>131062045.39000002</v>
      </c>
      <c r="L49" s="201">
        <f t="shared" si="7"/>
        <v>40773616.329999954</v>
      </c>
      <c r="M49" s="203">
        <f t="shared" si="2"/>
        <v>0.31110163288441228</v>
      </c>
      <c r="N49" s="200">
        <f>'2018'!P49</f>
        <v>27286098.32</v>
      </c>
      <c r="O49" s="200">
        <f>+INDEX('2018'!$1:$1048576,MATCH(CONCATENATE('Analytics - 2018'!$A49,"p"),'2018'!$A:$A,0),MATCH('Analytics - 2018'!$O$6,'2018'!$101:$101,0))</f>
        <v>26315416.666666701</v>
      </c>
      <c r="P49" s="201">
        <f t="shared" si="3"/>
        <v>970681.65333329886</v>
      </c>
      <c r="Q49" s="202">
        <f t="shared" si="4"/>
        <v>3.6886425384358157E-2</v>
      </c>
      <c r="R49" s="200">
        <f>'2017'!P49</f>
        <v>29993285.289999999</v>
      </c>
      <c r="S49" s="201">
        <f t="shared" si="5"/>
        <v>-2707186.9699999988</v>
      </c>
      <c r="T49" s="203">
        <f t="shared" si="6"/>
        <v>-9.0259767938879243E-2</v>
      </c>
    </row>
    <row r="50" spans="1:23">
      <c r="A50" s="175">
        <v>451</v>
      </c>
      <c r="B50" s="454" t="str">
        <f>+VLOOKUP($A50,Master!$D$25:$G$223,4,FALSE)</f>
        <v>Credits and Borrowings</v>
      </c>
      <c r="C50" s="455"/>
      <c r="D50" s="455"/>
      <c r="E50" s="455"/>
      <c r="F50" s="455"/>
      <c r="G50" s="188">
        <f>+SUMPRODUCT(('2018'!$G50:$R50)*('2018'!$G$5:$R$5&lt;=Master!$B$3)*($A50='2018'!$A$10:$A$66))</f>
        <v>2024281</v>
      </c>
      <c r="H50" s="188">
        <f>+SUMPRODUCT(('2018'!$G145:$R145)*('2018'!$G$5:$R$5&lt;=Master!$B$3))</f>
        <v>2395834.1666666665</v>
      </c>
      <c r="I50" s="189">
        <f>G50-H50</f>
        <v>-371553.16666666651</v>
      </c>
      <c r="J50" s="343">
        <f t="shared" si="1"/>
        <v>-0.15508300692764976</v>
      </c>
      <c r="K50" s="188">
        <f>+SUMPRODUCT(('2017'!$G50:$R50)*('2017'!$G$5:$R$5&lt;=Master!$B$3))</f>
        <v>1836212</v>
      </c>
      <c r="L50" s="349">
        <f t="shared" si="7"/>
        <v>188069</v>
      </c>
      <c r="M50" s="352">
        <f t="shared" si="2"/>
        <v>0.10242226932402132</v>
      </c>
      <c r="N50" s="188">
        <f>'2018'!P50</f>
        <v>80000</v>
      </c>
      <c r="O50" s="188">
        <f>+INDEX('2018'!$1:$1048576,MATCH(CONCATENATE('Analytics - 2018'!$A50,"p"),'2018'!$A:$A,0),MATCH('Analytics - 2018'!$O$6,'2018'!$101:$101,0))</f>
        <v>239583.41666666666</v>
      </c>
      <c r="P50" s="189">
        <f t="shared" si="3"/>
        <v>-159583.41666666666</v>
      </c>
      <c r="Q50" s="343">
        <f t="shared" si="4"/>
        <v>-0.66608707266536604</v>
      </c>
      <c r="R50" s="188">
        <f>'2017'!P50</f>
        <v>691995.33</v>
      </c>
      <c r="S50" s="349">
        <f t="shared" si="5"/>
        <v>-611995.32999999996</v>
      </c>
      <c r="T50" s="352" t="s">
        <v>779</v>
      </c>
    </row>
    <row r="51" spans="1:23">
      <c r="A51" s="175">
        <v>47</v>
      </c>
      <c r="B51" s="454" t="str">
        <f>+VLOOKUP($A51,Master!$D$25:$G$223,4,FALSE)</f>
        <v>Reserves</v>
      </c>
      <c r="C51" s="455"/>
      <c r="D51" s="455"/>
      <c r="E51" s="455"/>
      <c r="F51" s="455"/>
      <c r="G51" s="188">
        <f>+SUMPRODUCT(('2018'!$G51:$R51)*('2018'!$G$5:$R$5&lt;=Master!$B$3)*($A51='2018'!$A$10:$A$66))</f>
        <v>13236346.75</v>
      </c>
      <c r="H51" s="188">
        <f>+SUMPRODUCT(('2018'!$G146:$R146)*('2018'!$G$5:$R$5&lt;=Master!$B$3))</f>
        <v>18859051.946000002</v>
      </c>
      <c r="I51" s="189">
        <f t="shared" ref="I51:I52" si="8">G51-H51</f>
        <v>-5622705.1960000023</v>
      </c>
      <c r="J51" s="344">
        <f t="shared" si="1"/>
        <v>-0.29814357646926026</v>
      </c>
      <c r="K51" s="188">
        <f>+SUMPRODUCT(('2017'!$G51:$R51)*('2017'!$G$5:$R$5&lt;=Master!$B$3))</f>
        <v>14677879.720000001</v>
      </c>
      <c r="L51" s="350">
        <f t="shared" si="7"/>
        <v>-1441532.9700000007</v>
      </c>
      <c r="M51" s="353">
        <f t="shared" si="2"/>
        <v>-9.8211253770922768E-2</v>
      </c>
      <c r="N51" s="188">
        <f>'2018'!P51</f>
        <v>559184.78</v>
      </c>
      <c r="O51" s="188">
        <f>+INDEX('2018'!$1:$1048576,MATCH(CONCATENATE('Analytics - 2018'!$A51,"p"),'2018'!$A:$A,0),MATCH('Analytics - 2018'!$O$6,'2018'!$101:$101,0))</f>
        <v>5393218.1470000008</v>
      </c>
      <c r="P51" s="189">
        <f t="shared" si="3"/>
        <v>-4834033.3670000006</v>
      </c>
      <c r="Q51" s="344">
        <f t="shared" si="4"/>
        <v>-0.89631704767754505</v>
      </c>
      <c r="R51" s="188">
        <f>'2017'!P51</f>
        <v>4740919.33</v>
      </c>
      <c r="S51" s="350">
        <f t="shared" si="5"/>
        <v>-4181734.55</v>
      </c>
      <c r="T51" s="353">
        <f t="shared" si="6"/>
        <v>-0.88205140373059243</v>
      </c>
      <c r="W51" s="448"/>
    </row>
    <row r="52" spans="1:23" ht="15.75" thickBot="1">
      <c r="A52" s="175">
        <v>462</v>
      </c>
      <c r="B52" s="472" t="str">
        <f>+VLOOKUP($A52,Master!$D$25:$G$223,4,FALSE)</f>
        <v>Repayment of Guarantees</v>
      </c>
      <c r="C52" s="473"/>
      <c r="D52" s="473"/>
      <c r="E52" s="473"/>
      <c r="F52" s="473"/>
      <c r="G52" s="188">
        <f>+SUMPRODUCT(('2018'!$G52:$R52)*('2018'!$G$5:$R$5&lt;=Master!$B$3)*($A52='2018'!$A$10:$A$66))</f>
        <v>0</v>
      </c>
      <c r="H52" s="188">
        <f>+SUMPRODUCT(('2018'!$G147:$R147)*('2018'!$G$5:$R$5&lt;=Master!$B$3))</f>
        <v>0</v>
      </c>
      <c r="I52" s="189">
        <f t="shared" si="8"/>
        <v>0</v>
      </c>
      <c r="J52" s="345" t="str">
        <f t="shared" si="1"/>
        <v>…</v>
      </c>
      <c r="K52" s="188">
        <f>+SUMPRODUCT(('2017'!$G52:$R52)*('2017'!$G$5:$R$5&lt;=Master!$B$3))</f>
        <v>0</v>
      </c>
      <c r="L52" s="350">
        <f t="shared" si="7"/>
        <v>0</v>
      </c>
      <c r="M52" s="354" t="str">
        <f t="shared" si="2"/>
        <v>…</v>
      </c>
      <c r="N52" s="188">
        <f>'2018'!P52</f>
        <v>0</v>
      </c>
      <c r="O52" s="188">
        <f>+INDEX('2018'!$1:$1048576,MATCH(CONCATENATE('Analytics - 2018'!$A52,"p"),'2018'!$A:$A,0),MATCH('Analytics - 2018'!$O$6,'2018'!$101:$101,0))</f>
        <v>0</v>
      </c>
      <c r="P52" s="189">
        <f t="shared" si="3"/>
        <v>0</v>
      </c>
      <c r="Q52" s="345" t="str">
        <f t="shared" si="4"/>
        <v>…</v>
      </c>
      <c r="R52" s="188">
        <f>'2017'!P52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72" t="str">
        <f>+VLOOKUP($A53,Master!$D$25:$G$223,4,FALSE)</f>
        <v>Repayments of Arrears</v>
      </c>
      <c r="C53" s="473"/>
      <c r="D53" s="473"/>
      <c r="E53" s="473"/>
      <c r="F53" s="473"/>
      <c r="G53" s="392">
        <f>+SUMPRODUCT(('2018'!$G53:$R53)*('2018'!$G$5:$R$5&lt;=Master!$B$3)*($A53='2018'!$A$10:$A$66))</f>
        <v>19978513.379999995</v>
      </c>
      <c r="H53" s="392">
        <f>+SUMPRODUCT(('2018'!$G148:$R148)*('2018'!$G$5:$R$5&lt;=Master!$B$3))</f>
        <v>0</v>
      </c>
      <c r="I53" s="351">
        <f>G53-H53</f>
        <v>19978513.379999995</v>
      </c>
      <c r="J53" s="346" t="str">
        <f t="shared" si="1"/>
        <v>…</v>
      </c>
      <c r="K53" s="392">
        <f>+SUMPRODUCT(('2017'!$G53:$R53)*('2017'!$G$5:$R$5&lt;=Master!$B$3))</f>
        <v>35456286.730000004</v>
      </c>
      <c r="L53" s="357">
        <f t="shared" si="7"/>
        <v>-15477773.350000009</v>
      </c>
      <c r="M53" s="355">
        <f t="shared" si="2"/>
        <v>-0.43653114235744472</v>
      </c>
      <c r="N53" s="392">
        <f>'2018'!P53</f>
        <v>1966075.9</v>
      </c>
      <c r="O53" s="392">
        <v>0</v>
      </c>
      <c r="P53" s="351">
        <f>N53-O53</f>
        <v>1966075.9</v>
      </c>
      <c r="Q53" s="346" t="str">
        <f t="shared" si="4"/>
        <v>…</v>
      </c>
      <c r="R53" s="392">
        <f>'2017'!P53</f>
        <v>2862908.84</v>
      </c>
      <c r="S53" s="357">
        <f>+N53-R53</f>
        <v>-896832.94</v>
      </c>
      <c r="T53" s="355">
        <f>+IF(ISNUMBER(N53/R53-1),N53/R53-1,"…")</f>
        <v>-0.31325934220106011</v>
      </c>
    </row>
    <row r="54" spans="1:23" ht="15.75" thickBot="1">
      <c r="A54" s="169">
        <v>1005</v>
      </c>
      <c r="B54" s="472" t="str">
        <f>+VLOOKUP($A54,Master!$D$25:$G$225,4,FALSE)</f>
        <v>Net increase of liabilities</v>
      </c>
      <c r="C54" s="473"/>
      <c r="D54" s="473"/>
      <c r="E54" s="473"/>
      <c r="F54" s="473"/>
      <c r="G54" s="188">
        <f>+SUMPRODUCT(('2018'!$G54:$R54)*('2018'!$G$5:$R$5&lt;=Master!$B$3)*($A54='2018'!$A$10:$A$66))</f>
        <v>0</v>
      </c>
      <c r="H54" s="188">
        <v>0</v>
      </c>
      <c r="I54" s="351">
        <f>G54-H54</f>
        <v>0</v>
      </c>
      <c r="J54" s="346" t="str">
        <f t="shared" si="1"/>
        <v>…</v>
      </c>
      <c r="K54" s="188">
        <f>+SUMPRODUCT(('2017'!$G54:$R54)*('2017'!$G$5:$R$5&lt;=Master!$B$3))</f>
        <v>0</v>
      </c>
      <c r="L54" s="357">
        <f t="shared" si="7"/>
        <v>0</v>
      </c>
      <c r="M54" s="355" t="str">
        <f t="shared" si="2"/>
        <v>…</v>
      </c>
      <c r="N54" s="188">
        <f>'2018'!P54</f>
        <v>0</v>
      </c>
      <c r="O54" s="188">
        <v>0</v>
      </c>
      <c r="P54" s="351">
        <f>N54-O54</f>
        <v>0</v>
      </c>
      <c r="Q54" s="346" t="str">
        <f t="shared" si="4"/>
        <v>…</v>
      </c>
      <c r="R54" s="188">
        <f>'2017'!P54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78" t="str">
        <f>+VLOOKUP($A55,Master!$D$25:$G$223,4,FALSE)</f>
        <v>Surplus / deficit</v>
      </c>
      <c r="C55" s="479"/>
      <c r="D55" s="479"/>
      <c r="E55" s="479"/>
      <c r="F55" s="479"/>
      <c r="G55" s="176">
        <f>+SUMPRODUCT(('2018'!$G55:$R55)*('2018'!$G$5:$R$5&lt;=Master!$B$3)*($A55='2018'!$A$10:$A$66))</f>
        <v>-37933619.829999983</v>
      </c>
      <c r="H55" s="176">
        <f>+SUMPRODUCT(('2018'!$G149:$R149)*('2018'!$G$5:$R$5&lt;=Master!$B$3))</f>
        <v>-125726425.5745471</v>
      </c>
      <c r="I55" s="404">
        <f>+G55-H55</f>
        <v>87792805.744547114</v>
      </c>
      <c r="J55" s="348">
        <f t="shared" si="1"/>
        <v>-0.69828443259521467</v>
      </c>
      <c r="K55" s="176">
        <f>+SUMPRODUCT(('2017'!$G55:$R55)*('2017'!$G$5:$R$5&lt;=Master!$B$3))</f>
        <v>-120570664.28000002</v>
      </c>
      <c r="L55" s="358">
        <f t="shared" si="7"/>
        <v>82637044.450000033</v>
      </c>
      <c r="M55" s="356">
        <f t="shared" si="2"/>
        <v>-0.68538267532550767</v>
      </c>
      <c r="N55" s="176">
        <f>'2018'!P55</f>
        <v>-12664812.659999967</v>
      </c>
      <c r="O55" s="176">
        <f>+INDEX('2018'!$1:$1048576,MATCH(CONCATENATE('Analytics - 2018'!$A55,"p"),'2018'!$A:$A,0),MATCH('Analytics - 2018'!$O$6,'2018'!$101:$101,0))</f>
        <v>-23342791.08790341</v>
      </c>
      <c r="P55" s="404">
        <f>N55-O55</f>
        <v>10677978.427903444</v>
      </c>
      <c r="Q55" s="348">
        <f t="shared" si="4"/>
        <v>-0.45744223078091695</v>
      </c>
      <c r="R55" s="176">
        <f>'2017'!P55</f>
        <v>-17910257.660000026</v>
      </c>
      <c r="S55" s="358">
        <f t="shared" si="5"/>
        <v>5245445.0000000596</v>
      </c>
      <c r="T55" s="356"/>
    </row>
    <row r="56" spans="1:23" ht="15.75" thickBot="1">
      <c r="A56" s="169">
        <v>1001</v>
      </c>
      <c r="B56" s="480" t="str">
        <f>+VLOOKUP($A56,Master!$D$25:$G$223,4,FALSE)</f>
        <v>Primary balance</v>
      </c>
      <c r="C56" s="481"/>
      <c r="D56" s="481"/>
      <c r="E56" s="481"/>
      <c r="F56" s="481"/>
      <c r="G56" s="176">
        <f>+SUMPRODUCT(('2018'!$G56:$R56)*('2018'!$G$5:$R$5&lt;=Master!$B$3)*($A56='2018'!$A$10:$A$66))</f>
        <v>34241781.840000011</v>
      </c>
      <c r="H56" s="176">
        <f>+SUMPRODUCT(('2018'!$G150:$R150)*('2018'!$G$5:$R$5&lt;=Master!$B$3))</f>
        <v>-53514175.574547097</v>
      </c>
      <c r="I56" s="231">
        <f t="shared" si="0"/>
        <v>87755957.414547116</v>
      </c>
      <c r="J56" s="232">
        <f t="shared" si="1"/>
        <v>-1.6398637645515071</v>
      </c>
      <c r="K56" s="176">
        <f>+SUMPRODUCT(('2017'!$G57:$R57)*('2017'!$G$5:$R$5&lt;=Master!$B$3))</f>
        <v>-28077294.860000022</v>
      </c>
      <c r="L56" s="231">
        <f t="shared" si="7"/>
        <v>62319076.700000033</v>
      </c>
      <c r="M56" s="233">
        <f t="shared" si="2"/>
        <v>-2.219554163274545</v>
      </c>
      <c r="N56" s="176">
        <f>'2018'!P56</f>
        <v>-11156131.719999967</v>
      </c>
      <c r="O56" s="176">
        <f>+INDEX('2018'!$1:$1048576,MATCH(CONCATENATE('Analytics - 2018'!$A56,"p"),'2018'!$A:$A,0),MATCH('Analytics - 2018'!$O$6,'2018'!$101:$101,0))</f>
        <v>-15727566.08790341</v>
      </c>
      <c r="P56" s="231">
        <f t="shared" si="3"/>
        <v>4571434.3679034431</v>
      </c>
      <c r="Q56" s="232">
        <f t="shared" si="4"/>
        <v>-0.29066381551685128</v>
      </c>
      <c r="R56" s="176">
        <f>'2017'!P56</f>
        <v>-17910257.660000026</v>
      </c>
      <c r="S56" s="231">
        <f t="shared" si="5"/>
        <v>6754125.9400000591</v>
      </c>
      <c r="T56" s="233" t="s">
        <v>779</v>
      </c>
    </row>
    <row r="57" spans="1:23">
      <c r="A57" s="169">
        <v>46</v>
      </c>
      <c r="B57" s="482" t="str">
        <f>+VLOOKUP($A57,Master!$D$25:$G$223,4,FALSE)</f>
        <v>Repayment of Debt</v>
      </c>
      <c r="C57" s="483"/>
      <c r="D57" s="483"/>
      <c r="E57" s="483"/>
      <c r="F57" s="483"/>
      <c r="G57" s="182">
        <f>+SUMPRODUCT(('2018'!$G57:$R57)*('2018'!$G$5:$R$5&lt;=Master!$B$3)*($A57='2018'!$A$10:$A$66))</f>
        <v>313428449.31999999</v>
      </c>
      <c r="H57" s="182">
        <f>+SUMPRODUCT(('2018'!$G151:$R151)*('2018'!$G$5:$R$5&lt;=Master!$B$3))</f>
        <v>146436000.39418665</v>
      </c>
      <c r="I57" s="219">
        <f t="shared" si="0"/>
        <v>166992448.92581335</v>
      </c>
      <c r="J57" s="220">
        <f t="shared" si="1"/>
        <v>1.1403783801544116</v>
      </c>
      <c r="K57" s="182">
        <f>+SUMPRODUCT(('2017'!$G58:$R58)*('2017'!$G$5:$R$5&lt;=Master!$B$3))</f>
        <v>322806148.76999998</v>
      </c>
      <c r="L57" s="219">
        <f t="shared" si="7"/>
        <v>-9377699.4499999881</v>
      </c>
      <c r="M57" s="221">
        <f t="shared" si="2"/>
        <v>-2.9050560175920337E-2</v>
      </c>
      <c r="N57" s="182">
        <f>'2018'!P57</f>
        <v>6031992.4700000007</v>
      </c>
      <c r="O57" s="182">
        <f>+INDEX('2018'!$1:$1048576,MATCH(CONCATENATE('Analytics - 2018'!$A57,"p"),'2018'!$A:$A,0),MATCH('Analytics - 2018'!$O$6,'2018'!$101:$101,0))</f>
        <v>8472904.0295741912</v>
      </c>
      <c r="P57" s="219">
        <f t="shared" si="3"/>
        <v>-2440911.5595741905</v>
      </c>
      <c r="Q57" s="220">
        <f t="shared" si="4"/>
        <v>-0.28808441014489572</v>
      </c>
      <c r="R57" s="182">
        <f>'2017'!P57</f>
        <v>-16171116.670000026</v>
      </c>
      <c r="S57" s="219">
        <f t="shared" si="5"/>
        <v>22203109.140000027</v>
      </c>
      <c r="T57" s="221">
        <f t="shared" si="6"/>
        <v>-1.3730102622529647</v>
      </c>
    </row>
    <row r="58" spans="1:23">
      <c r="A58" s="169">
        <v>4611</v>
      </c>
      <c r="B58" s="470" t="str">
        <f>+VLOOKUP($A58,Master!$D$25:$G$223,4,FALSE)</f>
        <v>Repayment of Domestic Debt</v>
      </c>
      <c r="C58" s="471"/>
      <c r="D58" s="471"/>
      <c r="E58" s="471"/>
      <c r="F58" s="471"/>
      <c r="G58" s="188">
        <f>+SUMPRODUCT(('2018'!$G58:$R58)*('2018'!$G$5:$R$5&lt;=Master!$B$3)*($A58='2018'!$A$10:$A$66))</f>
        <v>231787358.74000001</v>
      </c>
      <c r="H58" s="188">
        <f>+SUMPRODUCT(('2018'!$G152:$R152)*('2018'!$G$5:$R$5&lt;=Master!$B$3))</f>
        <v>37652066.009999998</v>
      </c>
      <c r="I58" s="237">
        <f t="shared" si="0"/>
        <v>194135292.73000002</v>
      </c>
      <c r="J58" s="238">
        <f t="shared" si="1"/>
        <v>5.1560329432769958</v>
      </c>
      <c r="K58" s="188">
        <f>+SUMPRODUCT(('2017'!$G59:$R59)*('2017'!$G$5:$R$5&lt;=Master!$B$3))</f>
        <v>207968795.75</v>
      </c>
      <c r="L58" s="237">
        <f t="shared" si="7"/>
        <v>23818562.99000001</v>
      </c>
      <c r="M58" s="239">
        <f t="shared" si="2"/>
        <v>0.11452950383302873</v>
      </c>
      <c r="N58" s="188">
        <f>'2018'!P58</f>
        <v>2260146.02</v>
      </c>
      <c r="O58" s="188">
        <f>+INDEX('2018'!$1:$1048576,MATCH(CONCATENATE('Analytics - 2018'!$A58,"p"),'2018'!$A:$A,0),MATCH('Analytics - 2018'!$O$6,'2018'!$101:$101,0))</f>
        <v>1510132.11</v>
      </c>
      <c r="P58" s="237">
        <f t="shared" si="3"/>
        <v>750013.90999999992</v>
      </c>
      <c r="Q58" s="238">
        <f t="shared" si="4"/>
        <v>0.4966545013071737</v>
      </c>
      <c r="R58" s="188">
        <f>'2017'!P58</f>
        <v>7199515.9700000007</v>
      </c>
      <c r="S58" s="237">
        <f t="shared" si="5"/>
        <v>-4939369.9500000011</v>
      </c>
      <c r="T58" s="239">
        <f t="shared" si="6"/>
        <v>-0.68606972615688222</v>
      </c>
    </row>
    <row r="59" spans="1:23">
      <c r="A59" s="169">
        <v>4612</v>
      </c>
      <c r="B59" s="454" t="str">
        <f>+VLOOKUP($A59,Master!$D$25:$G$223,4,FALSE)</f>
        <v>Repayment of Foreign Debt</v>
      </c>
      <c r="C59" s="455"/>
      <c r="D59" s="455"/>
      <c r="E59" s="455"/>
      <c r="F59" s="455"/>
      <c r="G59" s="188">
        <f>+SUMPRODUCT(('2018'!$G59:$R59)*('2018'!$G$5:$R$5&lt;=Master!$B$3)*($A59='2018'!$A$10:$A$66))</f>
        <v>81641090.579999998</v>
      </c>
      <c r="H59" s="188">
        <f>+SUMPRODUCT(('2018'!$G153:$R153)*('2018'!$G$5:$R$5&lt;=Master!$B$3))</f>
        <v>84679355.217519969</v>
      </c>
      <c r="I59" s="237">
        <f t="shared" si="0"/>
        <v>-3038264.6375199705</v>
      </c>
      <c r="J59" s="238">
        <f t="shared" si="1"/>
        <v>-3.587963830989771E-2</v>
      </c>
      <c r="K59" s="188">
        <f>+SUMPRODUCT(('2017'!$G60:$R60)*('2017'!$G$5:$R$5&lt;=Master!$B$3))</f>
        <v>114837353.02000004</v>
      </c>
      <c r="L59" s="237">
        <f t="shared" si="7"/>
        <v>-33196262.440000042</v>
      </c>
      <c r="M59" s="239">
        <f t="shared" si="2"/>
        <v>-0.28907199240493286</v>
      </c>
      <c r="N59" s="188">
        <f>'2018'!P59</f>
        <v>3771846.45</v>
      </c>
      <c r="O59" s="188">
        <f>+INDEX('2018'!$1:$1048576,MATCH(CONCATENATE('Analytics - 2018'!$A59,"p"),'2018'!$A:$A,0),MATCH('Analytics - 2018'!$O$6,'2018'!$101:$101,0))</f>
        <v>4165314.0029075216</v>
      </c>
      <c r="P59" s="237">
        <f t="shared" si="3"/>
        <v>-393467.55290752137</v>
      </c>
      <c r="Q59" s="238">
        <f t="shared" si="4"/>
        <v>-9.4462879060946747E-2</v>
      </c>
      <c r="R59" s="188">
        <f>'2017'!P59</f>
        <v>2314998.5699999998</v>
      </c>
      <c r="S59" s="237">
        <f t="shared" si="5"/>
        <v>1456847.8800000004</v>
      </c>
      <c r="T59" s="239">
        <f t="shared" si="6"/>
        <v>0.62930832825525274</v>
      </c>
    </row>
    <row r="60" spans="1:23">
      <c r="A60" s="169"/>
      <c r="B60" s="399" t="s">
        <v>369</v>
      </c>
      <c r="C60" s="400"/>
      <c r="D60" s="400"/>
      <c r="E60" s="400"/>
      <c r="F60" s="400"/>
      <c r="G60" s="188">
        <v>0</v>
      </c>
      <c r="H60" s="188">
        <f>+SUMPRODUCT(('2018'!$G154:$R154)*('2018'!$G$5:$R$5&lt;=Master!$B$3))</f>
        <v>24104579.166666672</v>
      </c>
      <c r="I60" s="237">
        <f t="shared" si="0"/>
        <v>-24104579.166666672</v>
      </c>
      <c r="J60" s="238">
        <f t="shared" si="1"/>
        <v>-1</v>
      </c>
      <c r="K60" s="188">
        <v>0</v>
      </c>
      <c r="L60" s="237">
        <f t="shared" si="7"/>
        <v>0</v>
      </c>
      <c r="M60" s="239" t="str">
        <f t="shared" si="2"/>
        <v>…</v>
      </c>
      <c r="N60" s="188">
        <v>0</v>
      </c>
      <c r="O60" s="188">
        <f>'2018'!G154</f>
        <v>1807457.9166666667</v>
      </c>
      <c r="P60" s="237">
        <f t="shared" si="3"/>
        <v>-1807457.9166666667</v>
      </c>
      <c r="Q60" s="238">
        <f t="shared" si="4"/>
        <v>-1</v>
      </c>
      <c r="R60" s="188">
        <v>0</v>
      </c>
      <c r="S60" s="237">
        <f t="shared" ref="S60:S67" si="9">+N60-R60</f>
        <v>0</v>
      </c>
      <c r="T60" s="239" t="str">
        <f t="shared" ref="T60:T67" si="10">+IF(ISNUMBER(N60/R60-1),N60/R60-1,"…")</f>
        <v>…</v>
      </c>
    </row>
    <row r="61" spans="1:23" ht="15.75" thickBot="1">
      <c r="A61" s="169">
        <v>4418</v>
      </c>
      <c r="B61" s="490" t="s">
        <v>340</v>
      </c>
      <c r="C61" s="491"/>
      <c r="D61" s="491"/>
      <c r="E61" s="491"/>
      <c r="F61" s="491"/>
      <c r="G61" s="432">
        <f>'2018'!S60</f>
        <v>68939595.359999999</v>
      </c>
      <c r="H61" s="432">
        <f>+SUMPRODUCT(('2018'!$G155:$R155)*('2018'!$G$5:$R$5&lt;=Master!$B$3))</f>
        <v>70000000</v>
      </c>
      <c r="I61" s="433">
        <f t="shared" si="0"/>
        <v>-1060404.6400000006</v>
      </c>
      <c r="J61" s="434">
        <f t="shared" si="1"/>
        <v>-1.5148637714285762E-2</v>
      </c>
      <c r="K61" s="432">
        <v>0</v>
      </c>
      <c r="L61" s="433">
        <f t="shared" si="7"/>
        <v>68939595.359999999</v>
      </c>
      <c r="M61" s="435" t="str">
        <f t="shared" si="2"/>
        <v>…</v>
      </c>
      <c r="N61" s="432">
        <f>+DataEx!FC168</f>
        <v>0</v>
      </c>
      <c r="O61" s="432">
        <f>+'2018'!K155</f>
        <v>70000000</v>
      </c>
      <c r="P61" s="433">
        <f t="shared" ref="P61:P67" si="11">+N61-O61</f>
        <v>-70000000</v>
      </c>
      <c r="Q61" s="434">
        <f t="shared" ref="Q61:Q67" si="12">+IF(ISNUMBER(N61/O61-1),N61/O61-1,"…")</f>
        <v>-1</v>
      </c>
      <c r="R61" s="432">
        <v>0</v>
      </c>
      <c r="S61" s="433">
        <f t="shared" si="9"/>
        <v>0</v>
      </c>
      <c r="T61" s="435" t="str">
        <f t="shared" si="10"/>
        <v>…</v>
      </c>
    </row>
    <row r="62" spans="1:23" ht="15.75" thickBot="1">
      <c r="A62" s="169">
        <v>1002</v>
      </c>
      <c r="B62" s="474" t="str">
        <f>+VLOOKUP($A62,Master!$D$25:$G$223,4,FALSE)</f>
        <v>Financing needs</v>
      </c>
      <c r="C62" s="475"/>
      <c r="D62" s="475"/>
      <c r="E62" s="475"/>
      <c r="F62" s="475"/>
      <c r="G62" s="393">
        <f>+SUMPRODUCT(('2018'!$G61:$R61)*('2018'!$G$5:$R$5&lt;=Master!$B$3)*($A62='2018'!$A$10:$A$66))</f>
        <v>-420301664.50999999</v>
      </c>
      <c r="H62" s="403">
        <f>+SUMPRODUCT(('2018'!$G156:$R156)*('2018'!$G$5:$R$5&lt;=Master!$B$3))</f>
        <v>-342162425.96873373</v>
      </c>
      <c r="I62" s="405">
        <f t="shared" si="0"/>
        <v>-78139238.541266263</v>
      </c>
      <c r="J62" s="406">
        <f t="shared" si="1"/>
        <v>0.22836884652088152</v>
      </c>
      <c r="K62" s="393">
        <f>+SUMPRODUCT(('2017'!$G61:$R61)*('2017'!$G$5:$R$5&lt;=Master!$B$3))</f>
        <v>-443376813.04999995</v>
      </c>
      <c r="L62" s="405">
        <f t="shared" si="7"/>
        <v>23075148.539999962</v>
      </c>
      <c r="M62" s="408">
        <f t="shared" si="2"/>
        <v>-5.2044103031156363E-2</v>
      </c>
      <c r="N62" s="393">
        <f>'2018'!P61</f>
        <v>-18696805.129999965</v>
      </c>
      <c r="O62" s="403">
        <f>+INDEX('2018'!$1:$1048576,MATCH(CONCATENATE('Analytics - 2018'!$A62,"p"),'2018'!$A:$A,0),MATCH('Analytics - 2018'!$O$6,'2018'!$101:$101,0))</f>
        <v>-31815695.117477603</v>
      </c>
      <c r="P62" s="405">
        <f t="shared" si="11"/>
        <v>13118889.987477638</v>
      </c>
      <c r="Q62" s="406">
        <f t="shared" si="12"/>
        <v>-0.41234019684425882</v>
      </c>
      <c r="R62" s="393">
        <f>'2017'!P61</f>
        <v>-25109773.630000025</v>
      </c>
      <c r="S62" s="405">
        <f t="shared" si="9"/>
        <v>6412968.5000000596</v>
      </c>
      <c r="T62" s="408" t="s">
        <v>779</v>
      </c>
    </row>
    <row r="63" spans="1:23" ht="15.75" thickBot="1">
      <c r="A63" s="169">
        <v>1003</v>
      </c>
      <c r="B63" s="476" t="str">
        <f>+VLOOKUP($A63,Master!$D$25:$G$223,4,FALSE)</f>
        <v>Financing</v>
      </c>
      <c r="C63" s="477"/>
      <c r="D63" s="477"/>
      <c r="E63" s="477"/>
      <c r="F63" s="477"/>
      <c r="G63" s="176">
        <f>+SUMPRODUCT(('2018'!$G62:$R62)*('2018'!$G$5:$R$5&lt;=Master!$B$3)*($A63='2018'!$A$10:$A$66))</f>
        <v>420301664.50999999</v>
      </c>
      <c r="H63" s="176">
        <f>+SUMPRODUCT(('2018'!$G157:$R157)*('2018'!$G$5:$R$5&lt;=Master!$B$3))</f>
        <v>342162425.96873373</v>
      </c>
      <c r="I63" s="404">
        <f t="shared" si="0"/>
        <v>78139238.541266263</v>
      </c>
      <c r="J63" s="407">
        <f t="shared" si="1"/>
        <v>0.22836884652088152</v>
      </c>
      <c r="K63" s="176">
        <f>+SUMPRODUCT(('2017'!$G62:$R62)*('2017'!$G$5:$R$5&lt;=Master!$B$3))</f>
        <v>443376813.04999995</v>
      </c>
      <c r="L63" s="404">
        <f t="shared" si="7"/>
        <v>-23075148.539999962</v>
      </c>
      <c r="M63" s="409">
        <f t="shared" si="2"/>
        <v>-5.2044103031156363E-2</v>
      </c>
      <c r="N63" s="176">
        <f>'2018'!P62</f>
        <v>18696805.129999965</v>
      </c>
      <c r="O63" s="176">
        <f>+INDEX('2018'!$1:$1048576,MATCH(CONCATENATE('Analytics - 2018'!$A63,"p"),'2018'!$A:$A,0),MATCH('Analytics - 2018'!$O$6,'2018'!$101:$101,0))</f>
        <v>31815695.117477603</v>
      </c>
      <c r="P63" s="404">
        <f t="shared" si="11"/>
        <v>-13118889.987477638</v>
      </c>
      <c r="Q63" s="407">
        <f t="shared" si="12"/>
        <v>-0.41234019684425882</v>
      </c>
      <c r="R63" s="176">
        <f>'2017'!P62</f>
        <v>25109773.630000025</v>
      </c>
      <c r="S63" s="404">
        <f t="shared" si="9"/>
        <v>-6412968.5000000596</v>
      </c>
      <c r="T63" s="409" t="s">
        <v>779</v>
      </c>
    </row>
    <row r="64" spans="1:23">
      <c r="A64" s="169">
        <v>7511</v>
      </c>
      <c r="B64" s="470" t="str">
        <f>+VLOOKUP($A64,Master!$D$25:$G$223,4,FALSE)</f>
        <v>Domestic Loans and Borrowings</v>
      </c>
      <c r="C64" s="471"/>
      <c r="D64" s="471"/>
      <c r="E64" s="471"/>
      <c r="F64" s="471"/>
      <c r="G64" s="188">
        <f>+SUMPRODUCT(('2018'!$G63:$R63)*('2018'!$G$5:$R$5&lt;=Master!$B$3)*($A64='2018'!$A$10:$A$66))</f>
        <v>197600000</v>
      </c>
      <c r="H64" s="188">
        <f>+SUMPRODUCT(('2018'!$G158:$R158)*('2018'!$G$5:$R$5&lt;=Master!$B$3))</f>
        <v>0</v>
      </c>
      <c r="I64" s="237">
        <f t="shared" si="0"/>
        <v>197600000</v>
      </c>
      <c r="J64" s="238" t="str">
        <f t="shared" si="1"/>
        <v>…</v>
      </c>
      <c r="K64" s="188">
        <f>+SUMPRODUCT(('2017'!$G63:$R63)*('2017'!$G$5:$R$5&lt;=Master!$B$3))</f>
        <v>257070000</v>
      </c>
      <c r="L64" s="237">
        <f t="shared" si="7"/>
        <v>-59470000</v>
      </c>
      <c r="M64" s="239">
        <f t="shared" si="2"/>
        <v>-0.23133776792313376</v>
      </c>
      <c r="N64" s="188">
        <f>'2018'!P63</f>
        <v>0</v>
      </c>
      <c r="O64" s="188">
        <f>+INDEX('2018'!$1:$1048576,MATCH(CONCATENATE('Analytics - 2018'!$A64,"p"),'2018'!$A:$A,0),MATCH('Analytics - 2018'!$O$6,'2018'!$101:$101,0))</f>
        <v>0</v>
      </c>
      <c r="P64" s="237">
        <f t="shared" si="11"/>
        <v>0</v>
      </c>
      <c r="Q64" s="238" t="str">
        <f t="shared" si="12"/>
        <v>…</v>
      </c>
      <c r="R64" s="188">
        <f>'2017'!P63</f>
        <v>0</v>
      </c>
      <c r="S64" s="237">
        <f t="shared" si="9"/>
        <v>0</v>
      </c>
      <c r="T64" s="239" t="str">
        <f t="shared" si="10"/>
        <v>…</v>
      </c>
    </row>
    <row r="65" spans="1:20">
      <c r="A65" s="169">
        <v>7512</v>
      </c>
      <c r="B65" s="454" t="str">
        <f>+VLOOKUP($A65,Master!$D$25:$G$223,4,FALSE)</f>
        <v>Foreign Loans and Borrowings</v>
      </c>
      <c r="C65" s="455"/>
      <c r="D65" s="455"/>
      <c r="E65" s="455"/>
      <c r="F65" s="455"/>
      <c r="G65" s="188">
        <f>+SUMPRODUCT(('2018'!$G64:$R64)*('2018'!$G$5:$R$5&lt;=Master!$B$3)*($A65='2018'!$A$10:$A$66))</f>
        <v>468745435.53999996</v>
      </c>
      <c r="H65" s="188">
        <f>+SUMPRODUCT(('2018'!$G159:$R159)*('2018'!$G$5:$R$5&lt;=Master!$B$3))</f>
        <v>246583333.29999995</v>
      </c>
      <c r="I65" s="237">
        <f t="shared" si="0"/>
        <v>222162102.24000001</v>
      </c>
      <c r="J65" s="238">
        <f t="shared" si="1"/>
        <v>0.90096155026711222</v>
      </c>
      <c r="K65" s="188">
        <f>+SUMPRODUCT(('2017'!$G64:$R64)*('2017'!$G$5:$R$5&lt;=Master!$B$3))</f>
        <v>197100304.11000001</v>
      </c>
      <c r="L65" s="237">
        <f t="shared" si="7"/>
        <v>271645131.42999995</v>
      </c>
      <c r="M65" s="239">
        <f t="shared" si="2"/>
        <v>1.3782075713003321</v>
      </c>
      <c r="N65" s="188">
        <f>'2018'!P64</f>
        <v>18810730.620000001</v>
      </c>
      <c r="O65" s="188">
        <f>+INDEX('2018'!$1:$1048576,MATCH(CONCATENATE('Analytics - 2018'!$A65,"p"),'2018'!$A:$A,0),MATCH('Analytics - 2018'!$O$6,'2018'!$101:$101,0))</f>
        <v>24658333.329999998</v>
      </c>
      <c r="P65" s="237">
        <f t="shared" si="11"/>
        <v>-5847602.7099999972</v>
      </c>
      <c r="Q65" s="238">
        <f t="shared" si="12"/>
        <v>-0.23714509134669071</v>
      </c>
      <c r="R65" s="188">
        <f>'2017'!P64</f>
        <v>20632990.120000001</v>
      </c>
      <c r="S65" s="237">
        <f t="shared" si="9"/>
        <v>-1822259.5</v>
      </c>
      <c r="T65" s="239">
        <f t="shared" si="10"/>
        <v>-8.8317761478189483E-2</v>
      </c>
    </row>
    <row r="66" spans="1:20">
      <c r="A66" s="169">
        <v>72</v>
      </c>
      <c r="B66" s="454" t="str">
        <f>+VLOOKUP($A66,Master!$D$25:$G$223,4,FALSE)</f>
        <v>Revenues from Selling Assets</v>
      </c>
      <c r="C66" s="455"/>
      <c r="D66" s="455"/>
      <c r="E66" s="455"/>
      <c r="F66" s="455"/>
      <c r="G66" s="188">
        <f>+SUMPRODUCT(('2018'!$G65:$R65)*('2018'!$G$5:$R$5&lt;=Master!$B$3)*($A66='2018'!$A$10:$A$66))</f>
        <v>14435937.83</v>
      </c>
      <c r="H66" s="188">
        <f>+SUMPRODUCT(('2018'!$G160:$R160)*('2018'!$G$5:$R$5&lt;=Master!$B$3))</f>
        <v>0</v>
      </c>
      <c r="I66" s="237">
        <f t="shared" si="0"/>
        <v>14435937.83</v>
      </c>
      <c r="J66" s="238" t="str">
        <f t="shared" si="1"/>
        <v>…</v>
      </c>
      <c r="K66" s="188">
        <f>+SUMPRODUCT(('2017'!$G65:$R65)*('2017'!$G$5:$R$5&lt;=Master!$B$3))</f>
        <v>4702505.67</v>
      </c>
      <c r="L66" s="237">
        <f t="shared" si="7"/>
        <v>9733432.1600000001</v>
      </c>
      <c r="M66" s="239">
        <f t="shared" si="2"/>
        <v>2.0698395372695</v>
      </c>
      <c r="N66" s="188">
        <f>'2018'!P65</f>
        <v>158760.32999999999</v>
      </c>
      <c r="O66" s="188">
        <f>+INDEX('2018'!$1:$1048576,MATCH(CONCATENATE('Analytics - 2018'!$A66,"p"),'2018'!$A:$A,0),MATCH('Analytics - 2018'!$O$6,'2018'!$101:$101,0))</f>
        <v>0</v>
      </c>
      <c r="P66" s="237">
        <f t="shared" si="11"/>
        <v>158760.32999999999</v>
      </c>
      <c r="Q66" s="238" t="str">
        <f t="shared" si="12"/>
        <v>…</v>
      </c>
      <c r="R66" s="188">
        <f>'2017'!P65</f>
        <v>68693.73</v>
      </c>
      <c r="S66" s="237">
        <f t="shared" si="9"/>
        <v>90066.599999999991</v>
      </c>
      <c r="T66" s="239">
        <f t="shared" si="10"/>
        <v>1.3111327627717988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394">
        <f>+SUMPRODUCT(('2018'!$G66:$R66)*('2018'!$G$5:$R$5&lt;=Master!$B$3)*($A67='2018'!$A$10:$A$66))</f>
        <v>-260479708.86000004</v>
      </c>
      <c r="H67" s="398">
        <f>+SUMPRODUCT(('2018'!$G161:$R161)*('2018'!$G$5:$R$5&lt;=Master!$B$3))</f>
        <v>95579092.668733776</v>
      </c>
      <c r="I67" s="251">
        <f t="shared" si="0"/>
        <v>-356058801.52873385</v>
      </c>
      <c r="J67" s="252" t="str">
        <f>+IF(ISNUMBER(G66/H66-1),G66/H66-1,"…")</f>
        <v>…</v>
      </c>
      <c r="K67" s="394">
        <f>+SUMPRODUCT(('2017'!$G66:$R66)*('2017'!$G$5:$R$5&lt;=Master!$B$3))</f>
        <v>-15495996.729999967</v>
      </c>
      <c r="L67" s="251">
        <f t="shared" si="7"/>
        <v>-244983712.13000008</v>
      </c>
      <c r="M67" s="253"/>
      <c r="N67" s="394">
        <f>'2018'!P66</f>
        <v>-272685.82000003383</v>
      </c>
      <c r="O67" s="398">
        <f>+INDEX('2018'!$1:$1048576,MATCH(CONCATENATE('Analytics - 2018'!$A67,"p"),'2018'!$A:$A,0),MATCH('Analytics - 2018'!$O$6,'2018'!$101:$101,0))</f>
        <v>7157361.787477605</v>
      </c>
      <c r="P67" s="251">
        <f t="shared" si="11"/>
        <v>-7430047.6074776389</v>
      </c>
      <c r="Q67" s="252">
        <f t="shared" si="12"/>
        <v>-1.0380986497674494</v>
      </c>
      <c r="R67" s="394">
        <f>'2017'!P66</f>
        <v>4408089.7800000235</v>
      </c>
      <c r="S67" s="251">
        <f t="shared" si="9"/>
        <v>-4680775.6000000574</v>
      </c>
      <c r="T67" s="253">
        <f t="shared" si="10"/>
        <v>-1.0618603144693737</v>
      </c>
    </row>
    <row r="69" spans="1:20">
      <c r="H69" s="395"/>
    </row>
    <row r="70" spans="1:20">
      <c r="H70" s="364"/>
    </row>
    <row r="72" spans="1:20">
      <c r="R72" s="451"/>
    </row>
  </sheetData>
  <mergeCells count="63"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 activeCell="Q31" sqref="Q31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760</v>
      </c>
      <c r="H6" s="259" t="s">
        <v>761</v>
      </c>
      <c r="I6" s="259" t="s">
        <v>762</v>
      </c>
      <c r="J6" s="259" t="s">
        <v>763</v>
      </c>
      <c r="K6" s="259" t="s">
        <v>764</v>
      </c>
      <c r="L6" s="259" t="s">
        <v>765</v>
      </c>
      <c r="M6" s="259" t="s">
        <v>766</v>
      </c>
      <c r="N6" s="259" t="s">
        <v>767</v>
      </c>
      <c r="O6" s="259" t="s">
        <v>768</v>
      </c>
      <c r="P6" s="259" t="s">
        <v>769</v>
      </c>
      <c r="Q6" s="259" t="s">
        <v>770</v>
      </c>
      <c r="R6" s="259" t="s">
        <v>771</v>
      </c>
      <c r="S6" s="258"/>
      <c r="T6" s="258"/>
    </row>
    <row r="7" spans="1:20" ht="15" customHeight="1" thickBot="1">
      <c r="A7" s="169"/>
      <c r="B7" s="557" t="str">
        <f>+Master!G249</f>
        <v>Budget Execution</v>
      </c>
      <c r="C7" s="457"/>
      <c r="D7" s="457"/>
      <c r="E7" s="457"/>
      <c r="F7" s="457"/>
      <c r="G7" s="465">
        <v>2018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+Master!G246</f>
        <v>GDP</v>
      </c>
      <c r="T7" s="261">
        <v>4430900000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5" t="str">
        <f>+Master!G243</f>
        <v>Jan - Oct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8" t="str">
        <f>+VLOOKUP($A10,Master!$D$25:$G$223,4,FALSE)</f>
        <v>Total Revenues</v>
      </c>
      <c r="C10" s="499"/>
      <c r="D10" s="499"/>
      <c r="E10" s="499"/>
      <c r="F10" s="499"/>
      <c r="G10" s="176">
        <f t="shared" ref="G10:R10" si="1">+G11+G19+SUM(G24:G28)</f>
        <v>81544844.829999998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156827966.73000002</v>
      </c>
      <c r="K10" s="176">
        <f t="shared" si="1"/>
        <v>138841162.98999998</v>
      </c>
      <c r="L10" s="176">
        <f t="shared" si="1"/>
        <v>140708489.35000002</v>
      </c>
      <c r="M10" s="176">
        <f t="shared" si="1"/>
        <v>160619767.91999999</v>
      </c>
      <c r="N10" s="176">
        <f t="shared" si="1"/>
        <v>161263780.17000002</v>
      </c>
      <c r="O10" s="176">
        <f t="shared" si="1"/>
        <v>187314805.19999999</v>
      </c>
      <c r="P10" s="176">
        <f t="shared" si="1"/>
        <v>145723069.17000002</v>
      </c>
      <c r="Q10" s="176">
        <f t="shared" si="1"/>
        <v>0</v>
      </c>
      <c r="R10" s="176">
        <f t="shared" si="1"/>
        <v>0</v>
      </c>
      <c r="S10" s="264">
        <f>+SUM(G10:R10)</f>
        <v>1418782350.0500002</v>
      </c>
      <c r="T10" s="265">
        <f>+S10/$T$7</f>
        <v>0.32020184388047579</v>
      </c>
    </row>
    <row r="11" spans="1:20">
      <c r="A11" s="175">
        <v>711</v>
      </c>
      <c r="B11" s="500" t="str">
        <f>+VLOOKUP($A11,Master!$D$25:$G$223,4,FALSE)</f>
        <v>Taxes</v>
      </c>
      <c r="C11" s="501"/>
      <c r="D11" s="501"/>
      <c r="E11" s="501"/>
      <c r="F11" s="501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895725585.26999998</v>
      </c>
      <c r="T11" s="268">
        <f t="shared" ref="T11:T66" si="4">+S11/$T$7</f>
        <v>0.2021543219819901</v>
      </c>
    </row>
    <row r="12" spans="1:20">
      <c r="A12" s="175">
        <v>7111</v>
      </c>
      <c r="B12" s="486" t="str">
        <f>+VLOOKUP($A12,Master!$D$25:$G$223,4,FALSE)</f>
        <v>Personal Income Tax</v>
      </c>
      <c r="C12" s="487"/>
      <c r="D12" s="487"/>
      <c r="E12" s="487"/>
      <c r="F12" s="487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0</v>
      </c>
      <c r="R12" s="188">
        <f>+INDEX(DataEx!$1:$1048576,MATCH('2018'!$A12,DataEx!$D:$D,0),MATCH('2018'!R$6,DataEx!$7:$7,0))</f>
        <v>0</v>
      </c>
      <c r="S12" s="269">
        <f t="shared" si="3"/>
        <v>95520952.170000017</v>
      </c>
      <c r="T12" s="270">
        <f t="shared" si="4"/>
        <v>2.1557911974993797E-2</v>
      </c>
    </row>
    <row r="13" spans="1:20">
      <c r="A13" s="175">
        <v>7112</v>
      </c>
      <c r="B13" s="486" t="str">
        <f>+VLOOKUP($A13,Master!$D$25:$G$223,4,FALSE)</f>
        <v>Corporate Income Tax</v>
      </c>
      <c r="C13" s="487"/>
      <c r="D13" s="487"/>
      <c r="E13" s="487"/>
      <c r="F13" s="487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0</v>
      </c>
      <c r="R13" s="188">
        <f>+INDEX(DataEx!$1:$1048576,MATCH('2018'!$A13,DataEx!$D:$D,0),MATCH('2018'!R$6,DataEx!$7:$7,0))</f>
        <v>0</v>
      </c>
      <c r="S13" s="269">
        <f t="shared" si="3"/>
        <v>65557425.61999999</v>
      </c>
      <c r="T13" s="270">
        <f t="shared" si="4"/>
        <v>1.4795510081473288E-2</v>
      </c>
    </row>
    <row r="14" spans="1:20">
      <c r="A14" s="175">
        <v>7113</v>
      </c>
      <c r="B14" s="486" t="str">
        <f>+VLOOKUP($A14,Master!$D$25:$G$223,4,FALSE)</f>
        <v xml:space="preserve">Taxes on Sales of Property </v>
      </c>
      <c r="C14" s="487"/>
      <c r="D14" s="487"/>
      <c r="E14" s="487"/>
      <c r="F14" s="487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0</v>
      </c>
      <c r="R14" s="188">
        <f>+INDEX(DataEx!$1:$1048576,MATCH('2018'!$A14,DataEx!$D:$D,0),MATCH('2018'!R$6,DataEx!$7:$7,0))</f>
        <v>0</v>
      </c>
      <c r="S14" s="269">
        <f t="shared" si="3"/>
        <v>1433468.22</v>
      </c>
      <c r="T14" s="270">
        <f t="shared" si="4"/>
        <v>3.2351626531855829E-4</v>
      </c>
    </row>
    <row r="15" spans="1:20">
      <c r="A15" s="175">
        <v>7114</v>
      </c>
      <c r="B15" s="486" t="str">
        <f>+VLOOKUP($A15,Master!$D$25:$G$223,4,FALSE)</f>
        <v>Value Added Tax</v>
      </c>
      <c r="C15" s="487"/>
      <c r="D15" s="487"/>
      <c r="E15" s="487"/>
      <c r="F15" s="487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0</v>
      </c>
      <c r="R15" s="188">
        <f>+INDEX(DataEx!$1:$1048576,MATCH('2018'!$A15,DataEx!$D:$D,0),MATCH('2018'!R$6,DataEx!$7:$7,0))</f>
        <v>0</v>
      </c>
      <c r="S15" s="269">
        <f t="shared" si="3"/>
        <v>518208928.78000003</v>
      </c>
      <c r="T15" s="270">
        <f t="shared" si="4"/>
        <v>0.11695342453677583</v>
      </c>
    </row>
    <row r="16" spans="1:20">
      <c r="A16" s="175">
        <v>7115</v>
      </c>
      <c r="B16" s="486" t="str">
        <f>+VLOOKUP($A16,Master!$D$25:$G$223,4,FALSE)</f>
        <v>Excises</v>
      </c>
      <c r="C16" s="487"/>
      <c r="D16" s="487"/>
      <c r="E16" s="487"/>
      <c r="F16" s="487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0</v>
      </c>
      <c r="R16" s="188">
        <f>+INDEX(DataEx!$1:$1048576,MATCH('2018'!$A16,DataEx!$D:$D,0),MATCH('2018'!R$6,DataEx!$7:$7,0))</f>
        <v>0</v>
      </c>
      <c r="S16" s="269">
        <f t="shared" si="3"/>
        <v>184638453.90000001</v>
      </c>
      <c r="T16" s="270">
        <f t="shared" si="4"/>
        <v>4.1670643413302039E-2</v>
      </c>
    </row>
    <row r="17" spans="1:25">
      <c r="A17" s="175">
        <v>7116</v>
      </c>
      <c r="B17" s="486" t="str">
        <f>+VLOOKUP($A17,Master!$D$25:$G$223,4,FALSE)</f>
        <v>Tax on International Trade and Transactions</v>
      </c>
      <c r="C17" s="487"/>
      <c r="D17" s="487"/>
      <c r="E17" s="487"/>
      <c r="F17" s="487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0</v>
      </c>
      <c r="R17" s="188">
        <f>+INDEX(DataEx!$1:$1048576,MATCH('2018'!$A17,DataEx!$D:$D,0),MATCH('2018'!R$6,DataEx!$7:$7,0))</f>
        <v>0</v>
      </c>
      <c r="S17" s="269">
        <f t="shared" si="3"/>
        <v>22682604.940000001</v>
      </c>
      <c r="T17" s="270">
        <f t="shared" si="4"/>
        <v>5.1191868333747099E-3</v>
      </c>
    </row>
    <row r="18" spans="1:25">
      <c r="A18" s="175">
        <v>7118</v>
      </c>
      <c r="B18" s="486" t="str">
        <f>+VLOOKUP($A18,Master!$D$25:$G$223,4,FALSE)</f>
        <v>Other Republic Taxes</v>
      </c>
      <c r="C18" s="487"/>
      <c r="D18" s="487"/>
      <c r="E18" s="487"/>
      <c r="F18" s="487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0</v>
      </c>
      <c r="R18" s="188">
        <f>+INDEX(DataEx!$1:$1048576,MATCH('2018'!$A18,DataEx!$D:$D,0),MATCH('2018'!R$6,DataEx!$7:$7,0))</f>
        <v>0</v>
      </c>
      <c r="S18" s="269">
        <f t="shared" si="3"/>
        <v>7683751.6399999997</v>
      </c>
      <c r="T18" s="270">
        <f t="shared" si="4"/>
        <v>1.7341288767519013E-3</v>
      </c>
    </row>
    <row r="19" spans="1:25">
      <c r="A19" s="175">
        <v>712</v>
      </c>
      <c r="B19" s="496" t="str">
        <f>+VLOOKUP($A19,Master!$D$25:$G$223,4,FALSE)</f>
        <v>Contributions</v>
      </c>
      <c r="C19" s="497"/>
      <c r="D19" s="497"/>
      <c r="E19" s="497"/>
      <c r="F19" s="497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0</v>
      </c>
      <c r="R19" s="194">
        <f>+INDEX(DataEx!$1:$1048576,MATCH('2018'!$A19,DataEx!$D:$D,0),MATCH('2018'!R$6,DataEx!$7:$7,0))</f>
        <v>0</v>
      </c>
      <c r="S19" s="272">
        <f t="shared" si="3"/>
        <v>399152737.57999998</v>
      </c>
      <c r="T19" s="273">
        <f t="shared" si="4"/>
        <v>9.0083896630481386E-2</v>
      </c>
    </row>
    <row r="20" spans="1:25">
      <c r="A20" s="175">
        <v>7121</v>
      </c>
      <c r="B20" s="486" t="str">
        <f>+VLOOKUP($A20,Master!$D$25:$G$223,4,FALSE)</f>
        <v>Contributions for Pension and Disability Insurance</v>
      </c>
      <c r="C20" s="487"/>
      <c r="D20" s="487"/>
      <c r="E20" s="487"/>
      <c r="F20" s="487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0</v>
      </c>
      <c r="R20" s="188">
        <f>+INDEX(DataEx!$1:$1048576,MATCH('2018'!$A20,DataEx!$D:$D,0),MATCH('2018'!R$6,DataEx!$7:$7,0))</f>
        <v>0</v>
      </c>
      <c r="S20" s="269">
        <f t="shared" si="3"/>
        <v>241005373.69000003</v>
      </c>
      <c r="T20" s="270">
        <f t="shared" si="4"/>
        <v>5.439196860457244E-2</v>
      </c>
    </row>
    <row r="21" spans="1:25">
      <c r="A21" s="175">
        <v>7122</v>
      </c>
      <c r="B21" s="486" t="str">
        <f>+VLOOKUP($A21,Master!$D$25:$G$223,4,FALSE)</f>
        <v>Contributions for Health Insurance</v>
      </c>
      <c r="C21" s="487"/>
      <c r="D21" s="487"/>
      <c r="E21" s="487"/>
      <c r="F21" s="487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0</v>
      </c>
      <c r="R21" s="188">
        <f>+INDEX(DataEx!$1:$1048576,MATCH('2018'!$A21,DataEx!$D:$D,0),MATCH('2018'!R$6,DataEx!$7:$7,0))</f>
        <v>0</v>
      </c>
      <c r="S21" s="269">
        <f t="shared" si="3"/>
        <v>138395746.62</v>
      </c>
      <c r="T21" s="270">
        <f t="shared" si="4"/>
        <v>3.1234229303301813E-2</v>
      </c>
    </row>
    <row r="22" spans="1:25">
      <c r="A22" s="175">
        <v>7123</v>
      </c>
      <c r="B22" s="486" t="str">
        <f>+VLOOKUP($A22,Master!$D$25:$G$223,4,FALSE)</f>
        <v>Contributions for  Unemployment Insurance</v>
      </c>
      <c r="C22" s="487"/>
      <c r="D22" s="487"/>
      <c r="E22" s="487"/>
      <c r="F22" s="487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0</v>
      </c>
      <c r="R22" s="188">
        <f>+INDEX(DataEx!$1:$1048576,MATCH('2018'!$A22,DataEx!$D:$D,0),MATCH('2018'!R$6,DataEx!$7:$7,0))</f>
        <v>0</v>
      </c>
      <c r="S22" s="269">
        <f t="shared" si="3"/>
        <v>10284198.550000001</v>
      </c>
      <c r="T22" s="270">
        <f t="shared" si="4"/>
        <v>2.3210179760319574E-3</v>
      </c>
    </row>
    <row r="23" spans="1:25">
      <c r="A23" s="175">
        <v>7124</v>
      </c>
      <c r="B23" s="486" t="str">
        <f>+VLOOKUP($A23,Master!$D$25:$G$223,4,FALSE)</f>
        <v>Other contributions</v>
      </c>
      <c r="C23" s="487"/>
      <c r="D23" s="487"/>
      <c r="E23" s="487"/>
      <c r="F23" s="487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0</v>
      </c>
      <c r="R23" s="188">
        <f>+INDEX(DataEx!$1:$1048576,MATCH('2018'!$A23,DataEx!$D:$D,0),MATCH('2018'!R$6,DataEx!$7:$7,0))</f>
        <v>0</v>
      </c>
      <c r="S23" s="269">
        <f t="shared" si="3"/>
        <v>9467418.7200000007</v>
      </c>
      <c r="T23" s="270">
        <f t="shared" si="4"/>
        <v>2.1366807465751881E-3</v>
      </c>
      <c r="Y23" s="379"/>
    </row>
    <row r="24" spans="1:25">
      <c r="A24" s="175">
        <v>713</v>
      </c>
      <c r="B24" s="488" t="str">
        <f>+VLOOKUP($A24,Master!$D$25:$G$223,4,FALSE)</f>
        <v>Duties</v>
      </c>
      <c r="C24" s="489"/>
      <c r="D24" s="489"/>
      <c r="E24" s="489"/>
      <c r="F24" s="489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0</v>
      </c>
      <c r="R24" s="274">
        <f>+INDEX(DataEx!$1:$1048576,MATCH('2018'!$A24,DataEx!$D:$D,0),MATCH('2018'!R$6,DataEx!$7:$7,0))</f>
        <v>0</v>
      </c>
      <c r="S24" s="272">
        <f t="shared" si="3"/>
        <v>14008837.229999999</v>
      </c>
      <c r="T24" s="273">
        <f t="shared" si="4"/>
        <v>3.1616234241350514E-3</v>
      </c>
      <c r="Y24" s="379"/>
    </row>
    <row r="25" spans="1:25">
      <c r="A25" s="175">
        <v>714</v>
      </c>
      <c r="B25" s="488" t="str">
        <f>+VLOOKUP($A25,Master!$D$25:$G$223,4,FALSE)</f>
        <v>Fees</v>
      </c>
      <c r="C25" s="489"/>
      <c r="D25" s="489"/>
      <c r="E25" s="489"/>
      <c r="F25" s="489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0</v>
      </c>
      <c r="R25" s="274">
        <f>+INDEX(DataEx!$1:$1048576,MATCH('2018'!$A25,DataEx!$D:$D,0),MATCH('2018'!R$6,DataEx!$7:$7,0))</f>
        <v>0</v>
      </c>
      <c r="S25" s="272">
        <f t="shared" si="3"/>
        <v>21699377.060000002</v>
      </c>
      <c r="T25" s="273">
        <f t="shared" si="4"/>
        <v>4.8972843124421676E-3</v>
      </c>
      <c r="W25" s="366"/>
    </row>
    <row r="26" spans="1:25">
      <c r="A26" s="175">
        <v>715</v>
      </c>
      <c r="B26" s="488" t="str">
        <f>+VLOOKUP($A26,Master!$D$25:$G$223,4,FALSE)</f>
        <v>Other revenues</v>
      </c>
      <c r="C26" s="489"/>
      <c r="D26" s="489"/>
      <c r="E26" s="489"/>
      <c r="F26" s="489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2742352.51</v>
      </c>
      <c r="M26" s="200">
        <f>+INDEX(DataEx!$1:$1048576,MATCH('2018'!$A26,DataEx!$D:$D,0),MATCH('2018'!M$6,DataEx!$7:$7,0))</f>
        <v>3928944.25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37466612.939999998</v>
      </c>
      <c r="P26" s="200">
        <f>+INDEX(DataEx!$1:$1048576,MATCH('2018'!$A26,DataEx!$D:$D,0),MATCH('2018'!P$6,DataEx!$7:$7,0))</f>
        <v>2296014.21</v>
      </c>
      <c r="Q26" s="200">
        <f>+INDEX(DataEx!$1:$1048576,MATCH('2018'!$A26,DataEx!$D:$D,0),MATCH('2018'!Q$6,DataEx!$7:$7,0))</f>
        <v>0</v>
      </c>
      <c r="R26" s="274">
        <f>+INDEX(DataEx!$1:$1048576,MATCH('2018'!$A26,DataEx!$D:$D,0),MATCH('2018'!R$6,DataEx!$7:$7,0))</f>
        <v>0</v>
      </c>
      <c r="S26" s="272">
        <f t="shared" si="3"/>
        <v>63601311.670000002</v>
      </c>
      <c r="T26" s="273">
        <f t="shared" si="4"/>
        <v>1.4354039059784694E-2</v>
      </c>
    </row>
    <row r="27" spans="1:25">
      <c r="A27" s="175">
        <v>73</v>
      </c>
      <c r="B27" s="488" t="str">
        <f>+VLOOKUP($A27,Master!$D$25:$G$223,4,FALSE)</f>
        <v>Receipts from Repayment of Loans and Funds Carried over from Previous Year</v>
      </c>
      <c r="C27" s="489"/>
      <c r="D27" s="489"/>
      <c r="E27" s="489"/>
      <c r="F27" s="489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433978.03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0</v>
      </c>
      <c r="R27" s="274">
        <f>+INDEX(DataEx!$1:$1048576,MATCH('2018'!$A27,DataEx!$D:$D,0),MATCH('2018'!R$6,DataEx!$7:$7,0))</f>
        <v>0</v>
      </c>
      <c r="S27" s="272">
        <f t="shared" si="3"/>
        <v>6103260.96</v>
      </c>
      <c r="T27" s="273">
        <f t="shared" si="4"/>
        <v>1.3774314383082444E-3</v>
      </c>
    </row>
    <row r="28" spans="1:25" ht="13.5" thickBot="1">
      <c r="A28" s="175">
        <v>74</v>
      </c>
      <c r="B28" s="490" t="str">
        <f>+VLOOKUP($A28,Master!$D$25:$G$223,4,FALSE)</f>
        <v>Grants and Transfers</v>
      </c>
      <c r="C28" s="491"/>
      <c r="D28" s="491"/>
      <c r="E28" s="491"/>
      <c r="F28" s="491"/>
      <c r="G28" s="200">
        <f>+INDEX(DataEx!$1:$1048576,MATCH('2018'!$A28,DataEx!$D:$D,0),MATCH('2018'!G$6,DataEx!$7:$7,0))</f>
        <v>1518621.66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1515704.84</v>
      </c>
      <c r="Q28" s="200">
        <f>+INDEX(DataEx!$1:$1048576,MATCH('2018'!$A28,DataEx!$D:$D,0),MATCH('2018'!Q$6,DataEx!$7:$7,0))</f>
        <v>0</v>
      </c>
      <c r="R28" s="274">
        <f>+INDEX(DataEx!$1:$1048576,MATCH('2018'!$A28,DataEx!$D:$D,0),MATCH('2018'!R$6,DataEx!$7:$7,0))</f>
        <v>0</v>
      </c>
      <c r="S28" s="272">
        <f t="shared" si="3"/>
        <v>18491240.280000001</v>
      </c>
      <c r="T28" s="276">
        <f t="shared" si="4"/>
        <v>4.1732470333340861E-3</v>
      </c>
    </row>
    <row r="29" spans="1:25" ht="13.5" thickBot="1">
      <c r="A29" s="175">
        <v>4</v>
      </c>
      <c r="B29" s="476" t="str">
        <f>+VLOOKUP($A29,Master!$D$25:$G$223,4,FALSE)</f>
        <v>Total Expenditures</v>
      </c>
      <c r="C29" s="477"/>
      <c r="D29" s="477"/>
      <c r="E29" s="477"/>
      <c r="F29" s="477"/>
      <c r="G29" s="176">
        <f>+G31+G42+G48+SUM(G49:G53)</f>
        <v>106127861.81999999</v>
      </c>
      <c r="H29" s="176">
        <f t="shared" ref="H29:R29" si="5">+H31+H42+H48+SUM(H49:H53)</f>
        <v>119016381.51999998</v>
      </c>
      <c r="I29" s="176">
        <f t="shared" si="5"/>
        <v>172442993.90000004</v>
      </c>
      <c r="J29" s="176">
        <f t="shared" si="5"/>
        <v>147732484.72</v>
      </c>
      <c r="K29" s="176">
        <f t="shared" si="5"/>
        <v>141761088.21000004</v>
      </c>
      <c r="L29" s="176">
        <f t="shared" si="5"/>
        <v>162103517.94999999</v>
      </c>
      <c r="M29" s="176">
        <f t="shared" si="5"/>
        <v>155865456.88</v>
      </c>
      <c r="N29" s="176">
        <f t="shared" si="5"/>
        <v>127202225.30999999</v>
      </c>
      <c r="O29" s="176">
        <f t="shared" si="5"/>
        <v>166076077.74000001</v>
      </c>
      <c r="P29" s="176">
        <f t="shared" si="5"/>
        <v>158387881.82999998</v>
      </c>
      <c r="Q29" s="176">
        <f t="shared" si="5"/>
        <v>0</v>
      </c>
      <c r="R29" s="176">
        <f t="shared" si="5"/>
        <v>0</v>
      </c>
      <c r="S29" s="277">
        <f t="shared" si="3"/>
        <v>1456715969.8800001</v>
      </c>
      <c r="T29" s="278">
        <f t="shared" si="4"/>
        <v>0.32876299846080936</v>
      </c>
    </row>
    <row r="30" spans="1:25" ht="13.5" thickBot="1">
      <c r="A30" s="175">
        <v>41</v>
      </c>
      <c r="B30" s="492" t="str">
        <f>+VLOOKUP($A30,Master!$D$25:$G$223,4,FALSE)</f>
        <v>Current Expenditures</v>
      </c>
      <c r="C30" s="493"/>
      <c r="D30" s="493"/>
      <c r="E30" s="493"/>
      <c r="F30" s="493"/>
      <c r="G30" s="206">
        <f>+G29-G49</f>
        <v>104067287.55</v>
      </c>
      <c r="H30" s="206">
        <f t="shared" ref="H30:R30" si="6">+H29-H49</f>
        <v>116057986.02999999</v>
      </c>
      <c r="I30" s="206">
        <f t="shared" si="6"/>
        <v>161636488.23000005</v>
      </c>
      <c r="J30" s="206">
        <f t="shared" si="6"/>
        <v>118956993.23999999</v>
      </c>
      <c r="K30" s="206">
        <f t="shared" si="6"/>
        <v>129446729.29000004</v>
      </c>
      <c r="L30" s="206">
        <f t="shared" si="6"/>
        <v>142109230.73999998</v>
      </c>
      <c r="M30" s="206">
        <f t="shared" si="6"/>
        <v>133645993.16</v>
      </c>
      <c r="N30" s="206">
        <f t="shared" si="6"/>
        <v>120135154.73999998</v>
      </c>
      <c r="O30" s="206">
        <f t="shared" si="6"/>
        <v>127722661.67000002</v>
      </c>
      <c r="P30" s="206">
        <f t="shared" si="6"/>
        <v>131101783.50999999</v>
      </c>
      <c r="Q30" s="206">
        <f t="shared" si="6"/>
        <v>0</v>
      </c>
      <c r="R30" s="206">
        <f t="shared" si="6"/>
        <v>0</v>
      </c>
      <c r="S30" s="438">
        <f t="shared" si="3"/>
        <v>1284880308.1600001</v>
      </c>
      <c r="T30" s="280">
        <f t="shared" si="4"/>
        <v>0.28998178883748227</v>
      </c>
    </row>
    <row r="31" spans="1:25">
      <c r="A31" s="175">
        <v>40</v>
      </c>
      <c r="B31" s="494" t="str">
        <f>+VLOOKUP($A31,Master!$D$25:$G$223,4,FALSE)</f>
        <v>Current Budgetary Expenditures</v>
      </c>
      <c r="C31" s="495"/>
      <c r="D31" s="495"/>
      <c r="E31" s="495"/>
      <c r="F31" s="495"/>
      <c r="G31" s="212">
        <f>+SUM(G32:G41)</f>
        <v>48891808.700000003</v>
      </c>
      <c r="H31" s="212">
        <f t="shared" ref="H31:R31" si="7">+SUM(H32:H41)</f>
        <v>54746975.089999989</v>
      </c>
      <c r="I31" s="212">
        <f t="shared" si="7"/>
        <v>95707779.320000023</v>
      </c>
      <c r="J31" s="212">
        <f t="shared" si="7"/>
        <v>57011774.789999992</v>
      </c>
      <c r="K31" s="212">
        <f t="shared" si="7"/>
        <v>66900183.370000012</v>
      </c>
      <c r="L31" s="212">
        <f t="shared" si="7"/>
        <v>74421249.74000001</v>
      </c>
      <c r="M31" s="212">
        <f t="shared" si="7"/>
        <v>62878455.359999999</v>
      </c>
      <c r="N31" s="212">
        <f t="shared" si="7"/>
        <v>54575073.569999985</v>
      </c>
      <c r="O31" s="212">
        <f t="shared" si="7"/>
        <v>63479597.990000002</v>
      </c>
      <c r="P31" s="212">
        <f t="shared" si="7"/>
        <v>66140442.960000001</v>
      </c>
      <c r="Q31" s="212">
        <f t="shared" si="7"/>
        <v>0</v>
      </c>
      <c r="R31" s="281">
        <f t="shared" si="7"/>
        <v>0</v>
      </c>
      <c r="S31" s="439">
        <f t="shared" si="3"/>
        <v>644753340.8900001</v>
      </c>
      <c r="T31" s="268">
        <f t="shared" si="4"/>
        <v>0.14551295242275838</v>
      </c>
    </row>
    <row r="32" spans="1:25">
      <c r="A32" s="175">
        <v>411</v>
      </c>
      <c r="B32" s="486" t="str">
        <f>+VLOOKUP($A32,Master!$D$25:$G$223,4,FALSE)</f>
        <v>Gross Salaries and Contributions</v>
      </c>
      <c r="C32" s="487"/>
      <c r="D32" s="487"/>
      <c r="E32" s="487"/>
      <c r="F32" s="487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38350938.119999997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38983346.57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38163591.060000002</v>
      </c>
      <c r="P32" s="188">
        <f>+INDEX(DataEx!$1:$1048576,MATCH('2018'!$A32,DataEx!$D:$D,0),MATCH('2018'!P$6,DataEx!$7:$7,0))</f>
        <v>39555636.280000001</v>
      </c>
      <c r="Q32" s="188">
        <f>+INDEX(DataEx!$1:$1048576,MATCH('2018'!$A32,DataEx!$D:$D,0),MATCH('2018'!Q$6,DataEx!$7:$7,0))</f>
        <v>0</v>
      </c>
      <c r="R32" s="188">
        <f>+INDEX(DataEx!$1:$1048576,MATCH('2018'!$A32,DataEx!$D:$D,0),MATCH('2018'!R$6,DataEx!$7:$7,0))</f>
        <v>0</v>
      </c>
      <c r="S32" s="269">
        <f t="shared" si="3"/>
        <v>379671530.76999998</v>
      </c>
      <c r="T32" s="270">
        <f t="shared" si="4"/>
        <v>8.568722624523234E-2</v>
      </c>
    </row>
    <row r="33" spans="1:22">
      <c r="A33" s="175">
        <v>412</v>
      </c>
      <c r="B33" s="486" t="str">
        <f>+VLOOKUP($A33,Master!$D$25:$G$223,4,FALSE)</f>
        <v>Other Personal Income</v>
      </c>
      <c r="C33" s="487"/>
      <c r="D33" s="487"/>
      <c r="E33" s="487"/>
      <c r="F33" s="487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0</v>
      </c>
      <c r="R33" s="188">
        <f>+INDEX(DataEx!$1:$1048576,MATCH('2018'!$A33,DataEx!$D:$D,0),MATCH('2018'!R$6,DataEx!$7:$7,0))</f>
        <v>0</v>
      </c>
      <c r="S33" s="269">
        <f t="shared" si="3"/>
        <v>8762759.75</v>
      </c>
      <c r="T33" s="270">
        <f t="shared" si="4"/>
        <v>1.9776478254982057E-3</v>
      </c>
      <c r="U33" s="367"/>
    </row>
    <row r="34" spans="1:22">
      <c r="A34" s="175">
        <v>413</v>
      </c>
      <c r="B34" s="486" t="str">
        <f>+VLOOKUP($A34,Master!$D$25:$G$223,4,FALSE)</f>
        <v>Expenditures for Supplies</v>
      </c>
      <c r="C34" s="487"/>
      <c r="D34" s="487"/>
      <c r="E34" s="487"/>
      <c r="F34" s="487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0</v>
      </c>
      <c r="R34" s="188">
        <f>+INDEX(DataEx!$1:$1048576,MATCH('2018'!$A34,DataEx!$D:$D,0),MATCH('2018'!R$6,DataEx!$7:$7,0))</f>
        <v>0</v>
      </c>
      <c r="S34" s="269">
        <f t="shared" si="3"/>
        <v>24849648.059999999</v>
      </c>
      <c r="T34" s="270">
        <f t="shared" si="4"/>
        <v>5.6082619919203772E-3</v>
      </c>
      <c r="U34" s="385"/>
      <c r="V34" s="365"/>
    </row>
    <row r="35" spans="1:22">
      <c r="A35" s="175">
        <v>414</v>
      </c>
      <c r="B35" s="486" t="str">
        <f>+VLOOKUP($A35,Master!$D$25:$G$223,4,FALSE)</f>
        <v>Expenditures for Services</v>
      </c>
      <c r="C35" s="487"/>
      <c r="D35" s="487"/>
      <c r="E35" s="487"/>
      <c r="F35" s="487"/>
      <c r="G35" s="188">
        <f>+INDEX(DataEx!$1:$1048576,MATCH('2018'!$A35,DataEx!$D:$D,0),MATCH('2018'!G$6,DataEx!$7:$7,0))</f>
        <v>1697415.73</v>
      </c>
      <c r="H35" s="188">
        <f>+INDEX(DataEx!$1:$1048576,MATCH('2018'!$A35,DataEx!$D:$D,0),MATCH('2018'!H$6,DataEx!$7:$7,0))</f>
        <v>3151750.86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14378909.960000001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0</v>
      </c>
      <c r="R35" s="188">
        <f>+INDEX(DataEx!$1:$1048576,MATCH('2018'!$A35,DataEx!$D:$D,0),MATCH('2018'!R$6,DataEx!$7:$7,0))</f>
        <v>0</v>
      </c>
      <c r="S35" s="269">
        <f t="shared" si="3"/>
        <v>52649453.939999998</v>
      </c>
      <c r="T35" s="270">
        <f t="shared" si="4"/>
        <v>1.1882338563271569E-2</v>
      </c>
    </row>
    <row r="36" spans="1:22">
      <c r="A36" s="175">
        <v>415</v>
      </c>
      <c r="B36" s="486" t="str">
        <f>+VLOOKUP($A36,Master!$D$25:$G$223,4,FALSE)</f>
        <v>Current Maintenance</v>
      </c>
      <c r="C36" s="487"/>
      <c r="D36" s="487"/>
      <c r="E36" s="487"/>
      <c r="F36" s="487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0</v>
      </c>
      <c r="R36" s="188">
        <f>+INDEX(DataEx!$1:$1048576,MATCH('2018'!$A36,DataEx!$D:$D,0),MATCH('2018'!R$6,DataEx!$7:$7,0))</f>
        <v>0</v>
      </c>
      <c r="S36" s="269">
        <f t="shared" si="3"/>
        <v>14990724.629999999</v>
      </c>
      <c r="T36" s="270">
        <f t="shared" si="4"/>
        <v>3.3832234151075398E-3</v>
      </c>
    </row>
    <row r="37" spans="1:22">
      <c r="A37" s="175">
        <v>416</v>
      </c>
      <c r="B37" s="486" t="str">
        <f>+VLOOKUP($A37,Master!$D$25:$G$223,4,FALSE)</f>
        <v>Interests</v>
      </c>
      <c r="C37" s="487"/>
      <c r="D37" s="487"/>
      <c r="E37" s="487"/>
      <c r="F37" s="487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1628189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1508680.94</v>
      </c>
      <c r="Q37" s="188">
        <f>+INDEX(DataEx!$1:$1048576,MATCH('2018'!$A37,DataEx!$D:$D,0),MATCH('2018'!Q$6,DataEx!$7:$7,0))</f>
        <v>0</v>
      </c>
      <c r="R37" s="188">
        <f>+INDEX(DataEx!$1:$1048576,MATCH('2018'!$A37,DataEx!$D:$D,0),MATCH('2018'!R$6,DataEx!$7:$7,0))</f>
        <v>0</v>
      </c>
      <c r="S37" s="269">
        <f>+SUM(G37:R37)</f>
        <v>72175401.670000002</v>
      </c>
      <c r="T37" s="270">
        <f t="shared" si="4"/>
        <v>1.6289106427588074E-2</v>
      </c>
    </row>
    <row r="38" spans="1:22">
      <c r="A38" s="175">
        <v>417</v>
      </c>
      <c r="B38" s="486" t="str">
        <f>+VLOOKUP($A38,Master!$D$25:$G$223,4,FALSE)</f>
        <v>Rent</v>
      </c>
      <c r="C38" s="487"/>
      <c r="D38" s="487"/>
      <c r="E38" s="487"/>
      <c r="F38" s="487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0</v>
      </c>
      <c r="R38" s="188">
        <f>+INDEX(DataEx!$1:$1048576,MATCH('2018'!$A38,DataEx!$D:$D,0),MATCH('2018'!R$6,DataEx!$7:$7,0))</f>
        <v>0</v>
      </c>
      <c r="S38" s="269">
        <f t="shared" si="3"/>
        <v>7614737.5099999998</v>
      </c>
      <c r="T38" s="270">
        <f t="shared" si="4"/>
        <v>1.718553230720621E-3</v>
      </c>
    </row>
    <row r="39" spans="1:22">
      <c r="A39" s="175">
        <v>418</v>
      </c>
      <c r="B39" s="486" t="str">
        <f>+VLOOKUP($A39,Master!$D$25:$G$223,4,FALSE)</f>
        <v>Subsidies</v>
      </c>
      <c r="C39" s="487"/>
      <c r="D39" s="487"/>
      <c r="E39" s="487"/>
      <c r="F39" s="487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0</v>
      </c>
      <c r="R39" s="188">
        <f>+INDEX(DataEx!$1:$1048576,MATCH('2018'!$A39,DataEx!$D:$D,0),MATCH('2018'!R$6,DataEx!$7:$7,0))</f>
        <v>0</v>
      </c>
      <c r="S39" s="269">
        <f t="shared" si="3"/>
        <v>21533573.569999997</v>
      </c>
      <c r="T39" s="270">
        <f t="shared" si="4"/>
        <v>4.8598644902841399E-3</v>
      </c>
    </row>
    <row r="40" spans="1:22">
      <c r="A40" s="175">
        <v>419</v>
      </c>
      <c r="B40" s="486" t="str">
        <f>+VLOOKUP($A40,Master!$D$25:$G$223,4,FALSE)</f>
        <v>Other expenditures</v>
      </c>
      <c r="C40" s="487"/>
      <c r="D40" s="487"/>
      <c r="E40" s="487"/>
      <c r="F40" s="487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0</v>
      </c>
      <c r="R40" s="188">
        <f>+INDEX(DataEx!$1:$1048576,MATCH('2018'!$A40,DataEx!$D:$D,0),MATCH('2018'!R$6,DataEx!$7:$7,0))</f>
        <v>0</v>
      </c>
      <c r="S40" s="269">
        <f t="shared" si="3"/>
        <v>27983277.350000001</v>
      </c>
      <c r="T40" s="270">
        <f t="shared" si="4"/>
        <v>6.3154838407547004E-3</v>
      </c>
    </row>
    <row r="41" spans="1:22">
      <c r="A41" s="175">
        <v>440</v>
      </c>
      <c r="B41" s="486" t="str">
        <f>+VLOOKUP($A41,Master!$D$25:$G$223,4,FALSE)</f>
        <v>Current Capital Expenditure</v>
      </c>
      <c r="C41" s="487"/>
      <c r="D41" s="487"/>
      <c r="E41" s="487"/>
      <c r="F41" s="487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3090956.9800000042</v>
      </c>
      <c r="L41" s="188">
        <f>+INDEX(DataEx!$1:$1048576,MATCH('2018'!$A41,DataEx!$D:$D,0),MATCH('2018'!L$6,DataEx!$7:$7,0))</f>
        <v>7288010.0899999999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3339367.45</v>
      </c>
      <c r="P41" s="188">
        <f>+INDEX(DataEx!$1:$1048576,MATCH('2018'!$A41,DataEx!$D:$D,0),MATCH('2018'!P$6,DataEx!$7:$7,0))</f>
        <v>5920389.9699999997</v>
      </c>
      <c r="Q41" s="188">
        <f>+INDEX(DataEx!$1:$1048576,MATCH('2018'!$A41,DataEx!$D:$D,0),MATCH('2018'!Q$6,DataEx!$7:$7,0))</f>
        <v>0</v>
      </c>
      <c r="R41" s="188">
        <f>+INDEX(DataEx!$1:$1048576,MATCH('2018'!$A41,DataEx!$D:$D,0),MATCH('2018'!R$6,DataEx!$7:$7,0))</f>
        <v>0</v>
      </c>
      <c r="S41" s="269">
        <f t="shared" si="3"/>
        <v>34522233.640000008</v>
      </c>
      <c r="T41" s="270">
        <f t="shared" si="4"/>
        <v>7.7912463923807823E-3</v>
      </c>
    </row>
    <row r="42" spans="1:22">
      <c r="A42" s="175">
        <v>42</v>
      </c>
      <c r="B42" s="482" t="str">
        <f>+VLOOKUP($A42,Master!$D$25:$G$223,4,FALSE)</f>
        <v>Social Security Transfers</v>
      </c>
      <c r="C42" s="483"/>
      <c r="D42" s="483"/>
      <c r="E42" s="483"/>
      <c r="F42" s="483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47054657.780000001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0</v>
      </c>
      <c r="R42" s="282">
        <f t="shared" si="8"/>
        <v>0</v>
      </c>
      <c r="S42" s="272">
        <f t="shared" si="3"/>
        <v>447160042.25</v>
      </c>
      <c r="T42" s="273">
        <f t="shared" si="4"/>
        <v>0.10091855881423639</v>
      </c>
    </row>
    <row r="43" spans="1:22">
      <c r="A43" s="175">
        <v>421</v>
      </c>
      <c r="B43" s="486" t="str">
        <f>+VLOOKUP($A43,Master!$D$25:$G$223,4,FALSE)</f>
        <v>Social Security</v>
      </c>
      <c r="C43" s="487"/>
      <c r="D43" s="487"/>
      <c r="E43" s="487"/>
      <c r="F43" s="487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0</v>
      </c>
      <c r="R43" s="188">
        <f>+INDEX(DataEx!$1:$1048576,MATCH('2018'!$A43,DataEx!$D:$D,0),MATCH('2018'!R$6,DataEx!$7:$7,0))</f>
        <v>0</v>
      </c>
      <c r="S43" s="269">
        <f t="shared" si="3"/>
        <v>64808568.329999998</v>
      </c>
      <c r="T43" s="270">
        <f t="shared" si="4"/>
        <v>1.4626502139520187E-2</v>
      </c>
    </row>
    <row r="44" spans="1:22">
      <c r="A44" s="175">
        <v>422</v>
      </c>
      <c r="B44" s="486" t="str">
        <f>+VLOOKUP($A44,Master!$D$25:$G$223,4,FALSE)</f>
        <v>Funds for redundant labor</v>
      </c>
      <c r="C44" s="487"/>
      <c r="D44" s="487"/>
      <c r="E44" s="487"/>
      <c r="F44" s="487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0</v>
      </c>
      <c r="R44" s="188">
        <f>+INDEX(DataEx!$1:$1048576,MATCH('2018'!$A44,DataEx!$D:$D,0),MATCH('2018'!R$6,DataEx!$7:$7,0))</f>
        <v>0</v>
      </c>
      <c r="S44" s="269">
        <f t="shared" si="3"/>
        <v>10269444.299999999</v>
      </c>
      <c r="T44" s="270">
        <f t="shared" si="4"/>
        <v>2.3176881220519532E-3</v>
      </c>
    </row>
    <row r="45" spans="1:22">
      <c r="A45" s="175">
        <v>423</v>
      </c>
      <c r="B45" s="486" t="str">
        <f>+VLOOKUP($A45,Master!$D$25:$G$223,4,FALSE)</f>
        <v>Pension and Disability Insurance</v>
      </c>
      <c r="C45" s="487"/>
      <c r="D45" s="487"/>
      <c r="E45" s="487"/>
      <c r="F45" s="487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0</v>
      </c>
      <c r="R45" s="188">
        <f>+INDEX(DataEx!$1:$1048576,MATCH('2018'!$A45,DataEx!$D:$D,0),MATCH('2018'!R$6,DataEx!$7:$7,0))</f>
        <v>0</v>
      </c>
      <c r="S45" s="269">
        <f t="shared" si="3"/>
        <v>345575530.38</v>
      </c>
      <c r="T45" s="270">
        <f t="shared" si="4"/>
        <v>7.7992175490306709E-2</v>
      </c>
    </row>
    <row r="46" spans="1:22">
      <c r="A46" s="175">
        <v>424</v>
      </c>
      <c r="B46" s="486" t="str">
        <f>+VLOOKUP($A46,Master!$D$25:$G$223,4,FALSE)</f>
        <v>Other Health Care Transfers</v>
      </c>
      <c r="C46" s="487"/>
      <c r="D46" s="487"/>
      <c r="E46" s="487"/>
      <c r="F46" s="487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0</v>
      </c>
      <c r="R46" s="188">
        <f>+INDEX(DataEx!$1:$1048576,MATCH('2018'!$A46,DataEx!$D:$D,0),MATCH('2018'!R$6,DataEx!$7:$7,0))</f>
        <v>0</v>
      </c>
      <c r="S46" s="269">
        <f t="shared" si="3"/>
        <v>15614601</v>
      </c>
      <c r="T46" s="270">
        <f t="shared" si="4"/>
        <v>3.524024690243517E-3</v>
      </c>
    </row>
    <row r="47" spans="1:22">
      <c r="A47" s="175">
        <v>425</v>
      </c>
      <c r="B47" s="555" t="str">
        <f>+VLOOKUP($A47,Master!$D$25:$G$223,4,FALSE)</f>
        <v>Other Health Care Insurance</v>
      </c>
      <c r="C47" s="556"/>
      <c r="D47" s="556"/>
      <c r="E47" s="556"/>
      <c r="F47" s="556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3555204.14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0</v>
      </c>
      <c r="R47" s="188">
        <f>+INDEX(DataEx!$1:$1048576,MATCH('2018'!$A47,DataEx!$D:$D,0),MATCH('2018'!R$6,DataEx!$7:$7,0))</f>
        <v>0</v>
      </c>
      <c r="S47" s="269">
        <f t="shared" si="3"/>
        <v>10891898.239999998</v>
      </c>
      <c r="T47" s="270">
        <f t="shared" si="4"/>
        <v>2.4581683721140173E-3</v>
      </c>
    </row>
    <row r="48" spans="1:22">
      <c r="A48" s="175">
        <v>43</v>
      </c>
      <c r="B48" s="484" t="str">
        <f>+VLOOKUP($A48,Master!$D$25:$G$223,4,FALSE)</f>
        <v xml:space="preserve">Transfers to Institutions, Individuals, NGO and Public Sector </v>
      </c>
      <c r="C48" s="485"/>
      <c r="D48" s="485"/>
      <c r="E48" s="485"/>
      <c r="F48" s="485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0</v>
      </c>
      <c r="R48" s="274">
        <f>+INDEX(DataEx!$1:$1048576,MATCH('2018'!$A48,DataEx!$D:$D,0),MATCH('2018'!R$6,DataEx!$7:$7,0))</f>
        <v>0</v>
      </c>
      <c r="S48" s="272">
        <f t="shared" si="3"/>
        <v>157727783.88999999</v>
      </c>
      <c r="T48" s="273">
        <f t="shared" si="4"/>
        <v>3.5597233945699518E-2</v>
      </c>
    </row>
    <row r="49" spans="1:22">
      <c r="A49" s="175">
        <v>44</v>
      </c>
      <c r="B49" s="484" t="str">
        <f>+VLOOKUP($A49,Master!$D$25:$G$223,4,FALSE)</f>
        <v>Capital Expenditure</v>
      </c>
      <c r="C49" s="485"/>
      <c r="D49" s="485"/>
      <c r="E49" s="485"/>
      <c r="F49" s="485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19994287.210000001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38353416.07</v>
      </c>
      <c r="P49" s="200">
        <f>+INDEX(DataEx!$1:$1048576,MATCH('2018'!$A49,DataEx!$D:$D,0),MATCH('2018'!P$6,DataEx!$7:$7,0))</f>
        <v>27286098.32</v>
      </c>
      <c r="Q49" s="200">
        <f>+INDEX(DataEx!$1:$1048576,MATCH('2018'!$A49,DataEx!$D:$D,0),MATCH('2018'!Q$6,DataEx!$7:$7,0))</f>
        <v>0</v>
      </c>
      <c r="R49" s="200">
        <f>+INDEX(DataEx!$1:$1048576,MATCH('2018'!$A49,DataEx!$D:$D,0),MATCH('2018'!R$6,DataEx!$7:$7,0))</f>
        <v>0</v>
      </c>
      <c r="S49" s="272">
        <f t="shared" si="3"/>
        <v>171835661.71999997</v>
      </c>
      <c r="T49" s="273">
        <f t="shared" si="4"/>
        <v>3.8781209623327081E-2</v>
      </c>
    </row>
    <row r="50" spans="1:22">
      <c r="A50" s="175">
        <v>451</v>
      </c>
      <c r="B50" s="549" t="str">
        <f>+VLOOKUP($A50,Master!$D$25:$G$223,4,FALSE)</f>
        <v>Credits and Borrowings</v>
      </c>
      <c r="C50" s="550"/>
      <c r="D50" s="550"/>
      <c r="E50" s="550"/>
      <c r="F50" s="550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0</v>
      </c>
      <c r="R50" s="188">
        <f>+INDEX(DataEx!$1:$1048576,MATCH('2018'!$A50,DataEx!$D:$D,0),MATCH('2018'!R$6,DataEx!$7:$7,0))</f>
        <v>0</v>
      </c>
      <c r="S50" s="269">
        <f t="shared" si="3"/>
        <v>2024281</v>
      </c>
      <c r="T50" s="270">
        <f t="shared" si="4"/>
        <v>4.5685549211221197E-4</v>
      </c>
    </row>
    <row r="51" spans="1:22">
      <c r="A51" s="175">
        <v>47</v>
      </c>
      <c r="B51" s="454" t="str">
        <f>+VLOOKUP($A51,Master!$D$25:$G$223,4,FALSE)</f>
        <v>Reserves</v>
      </c>
      <c r="C51" s="455"/>
      <c r="D51" s="455"/>
      <c r="E51" s="455"/>
      <c r="F51" s="455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1800352.01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0</v>
      </c>
      <c r="R51" s="188">
        <f>+INDEX(DataEx!$1:$1048576,MATCH('2018'!$A51,DataEx!$D:$D,0),MATCH('2018'!R$6,DataEx!$7:$7,0))</f>
        <v>0</v>
      </c>
      <c r="S51" s="269">
        <f t="shared" si="3"/>
        <v>13236346.75</v>
      </c>
      <c r="T51" s="270">
        <f t="shared" si="4"/>
        <v>2.9872817599133359E-3</v>
      </c>
    </row>
    <row r="52" spans="1:22" ht="13.5" thickBot="1">
      <c r="A52" s="175">
        <v>462</v>
      </c>
      <c r="B52" s="472" t="str">
        <f>+VLOOKUP($A52,Master!$D$25:$G$223,4,FALSE)</f>
        <v>Repayment of Guarantees</v>
      </c>
      <c r="C52" s="473"/>
      <c r="D52" s="473"/>
      <c r="E52" s="473"/>
      <c r="F52" s="473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51" t="str">
        <f>+VLOOKUP($A53,Master!$D$25:$G$223,4,TRUE)</f>
        <v>Repayments of Arrears</v>
      </c>
      <c r="C53" s="552"/>
      <c r="D53" s="552"/>
      <c r="E53" s="552"/>
      <c r="F53" s="552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2489375.23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4551831.17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834123.33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0</v>
      </c>
      <c r="R53" s="224">
        <f>+INDEX(DataEx!$1:$1048576,MATCH('2018'!$A53,DataEx!$D:$D,0),MATCH('2018'!R$6,DataEx!$7:$7,0))</f>
        <v>0</v>
      </c>
      <c r="S53" s="440">
        <f>+SUM(G53:R53)</f>
        <v>19978513.379999995</v>
      </c>
      <c r="T53" s="284">
        <f>+S53/$T$7</f>
        <v>4.5089064027624172E-3</v>
      </c>
    </row>
    <row r="54" spans="1:22" ht="13.5" thickBot="1">
      <c r="A54" s="71">
        <v>1005</v>
      </c>
      <c r="B54" s="553" t="str">
        <f>+VLOOKUP($A54,Master!$D$25:$G$225,4,FALSE)</f>
        <v>Net increase of liabilities</v>
      </c>
      <c r="C54" s="554"/>
      <c r="D54" s="554"/>
      <c r="E54" s="554"/>
      <c r="F54" s="554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8" t="str">
        <f>+VLOOKUP($A55,Master!$D$25:$G$223,4,FALSE)</f>
        <v>Surplus / deficit</v>
      </c>
      <c r="C55" s="479"/>
      <c r="D55" s="479"/>
      <c r="E55" s="479"/>
      <c r="F55" s="479"/>
      <c r="G55" s="176">
        <f t="shared" ref="G55:R55" si="9">+G10-G29</f>
        <v>-24583016.989999995</v>
      </c>
      <c r="H55" s="176">
        <f t="shared" si="9"/>
        <v>-11936273.369999975</v>
      </c>
      <c r="I55" s="176">
        <f t="shared" si="9"/>
        <v>-33584638.360000044</v>
      </c>
      <c r="J55" s="176">
        <f t="shared" si="9"/>
        <v>9095482.0100000203</v>
      </c>
      <c r="K55" s="176">
        <f t="shared" si="9"/>
        <v>-2919925.2200000584</v>
      </c>
      <c r="L55" s="176">
        <f t="shared" si="9"/>
        <v>-21395028.599999964</v>
      </c>
      <c r="M55" s="176">
        <f t="shared" si="9"/>
        <v>4754311.0399999917</v>
      </c>
      <c r="N55" s="176">
        <f t="shared" si="9"/>
        <v>34061554.860000029</v>
      </c>
      <c r="O55" s="176">
        <f t="shared" si="9"/>
        <v>21238727.459999979</v>
      </c>
      <c r="P55" s="176">
        <f t="shared" si="9"/>
        <v>-12664812.659999967</v>
      </c>
      <c r="Q55" s="176">
        <f t="shared" si="9"/>
        <v>0</v>
      </c>
      <c r="R55" s="176">
        <f t="shared" si="9"/>
        <v>0</v>
      </c>
      <c r="S55" s="285">
        <f t="shared" si="3"/>
        <v>-37933619.829999983</v>
      </c>
      <c r="T55" s="286">
        <f t="shared" si="4"/>
        <v>-8.5611545803335621E-3</v>
      </c>
    </row>
    <row r="56" spans="1:22" ht="13.5" thickBot="1">
      <c r="A56" s="169">
        <v>1001</v>
      </c>
      <c r="B56" s="480" t="str">
        <f>+VLOOKUP($A56,Master!$D$25:$G$223,4,FALSE)</f>
        <v>Primary balance</v>
      </c>
      <c r="C56" s="481"/>
      <c r="D56" s="481"/>
      <c r="E56" s="481"/>
      <c r="F56" s="481"/>
      <c r="G56" s="230">
        <f>+G55+G37</f>
        <v>-20258939.439999994</v>
      </c>
      <c r="H56" s="230">
        <f t="shared" ref="H56:R56" si="10">+H55+H37</f>
        <v>-10885472.139999975</v>
      </c>
      <c r="I56" s="230">
        <f t="shared" si="10"/>
        <v>5930038.3499999568</v>
      </c>
      <c r="J56" s="230">
        <f t="shared" si="10"/>
        <v>10723671.01000002</v>
      </c>
      <c r="K56" s="230">
        <f t="shared" si="10"/>
        <v>7144883.8399999421</v>
      </c>
      <c r="L56" s="230">
        <f t="shared" si="10"/>
        <v>-19556307.969999965</v>
      </c>
      <c r="M56" s="230">
        <f t="shared" si="10"/>
        <v>12248247.049999991</v>
      </c>
      <c r="N56" s="230">
        <f t="shared" si="10"/>
        <v>35195709.800000027</v>
      </c>
      <c r="O56" s="230">
        <f t="shared" si="10"/>
        <v>24856083.05999998</v>
      </c>
      <c r="P56" s="230">
        <f t="shared" si="10"/>
        <v>-11156131.719999967</v>
      </c>
      <c r="Q56" s="230">
        <f t="shared" si="10"/>
        <v>0</v>
      </c>
      <c r="R56" s="230">
        <f t="shared" si="10"/>
        <v>0</v>
      </c>
      <c r="S56" s="285">
        <f t="shared" si="3"/>
        <v>34241781.840000011</v>
      </c>
      <c r="T56" s="286">
        <f t="shared" si="4"/>
        <v>7.7279518472545107E-3</v>
      </c>
    </row>
    <row r="57" spans="1:22">
      <c r="A57" s="169">
        <v>46</v>
      </c>
      <c r="B57" s="547" t="str">
        <f>+VLOOKUP($A57,Master!$D$25:$G$223,4,FALSE)</f>
        <v>Repayment of Debt</v>
      </c>
      <c r="C57" s="548"/>
      <c r="D57" s="548"/>
      <c r="E57" s="548"/>
      <c r="F57" s="548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19981471.990000002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0</v>
      </c>
      <c r="R57" s="218">
        <f t="shared" si="11"/>
        <v>0</v>
      </c>
      <c r="S57" s="287">
        <f t="shared" si="3"/>
        <v>313428449.31999999</v>
      </c>
      <c r="T57" s="288">
        <f t="shared" si="4"/>
        <v>7.07369720192286E-2</v>
      </c>
      <c r="V57" s="383"/>
    </row>
    <row r="58" spans="1:22">
      <c r="A58" s="169">
        <v>4611</v>
      </c>
      <c r="B58" s="470" t="str">
        <f>+VLOOKUP($A58,Master!$D$25:$G$223,4,FALSE)</f>
        <v>Repayment of Domestic Debt</v>
      </c>
      <c r="C58" s="471"/>
      <c r="D58" s="471"/>
      <c r="E58" s="471"/>
      <c r="F58" s="471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0</v>
      </c>
      <c r="R58" s="236">
        <f>+INDEX(DataEx!$1:$1048576,MATCH('2018'!$A58,DataEx!$D:$D,0),MATCH('2018'!R$6,DataEx!$7:$7,0))</f>
        <v>0</v>
      </c>
      <c r="S58" s="289">
        <f t="shared" si="3"/>
        <v>231787358.74000001</v>
      </c>
      <c r="T58" s="290">
        <f t="shared" si="4"/>
        <v>5.231157524205015E-2</v>
      </c>
    </row>
    <row r="59" spans="1:22" ht="13.5" thickBot="1">
      <c r="A59" s="169">
        <v>4612</v>
      </c>
      <c r="B59" s="454" t="str">
        <f>+VLOOKUP($A59,Master!$D$25:$G$223,4,FALSE)</f>
        <v>Repayment of Foreign Debt</v>
      </c>
      <c r="C59" s="455"/>
      <c r="D59" s="455"/>
      <c r="E59" s="455"/>
      <c r="F59" s="455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17749813.48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0</v>
      </c>
      <c r="R59" s="236">
        <f>+INDEX(DataEx!$1:$1048576,MATCH('2018'!$A59,DataEx!$D:$D,0),MATCH('2018'!R$6,DataEx!$7:$7,0))</f>
        <v>0</v>
      </c>
      <c r="S59" s="289">
        <f t="shared" si="3"/>
        <v>81641090.579999998</v>
      </c>
      <c r="T59" s="290">
        <f t="shared" si="4"/>
        <v>1.842539677717845E-2</v>
      </c>
      <c r="V59" s="402"/>
    </row>
    <row r="60" spans="1:22" ht="13.5" thickBot="1">
      <c r="A60" s="169">
        <v>4418</v>
      </c>
      <c r="B60" s="490" t="s">
        <v>777</v>
      </c>
      <c r="C60" s="491"/>
      <c r="D60" s="491"/>
      <c r="E60" s="491"/>
      <c r="F60" s="491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0</v>
      </c>
      <c r="S60" s="287">
        <f>SUM(G60:R60)</f>
        <v>68939595.359999999</v>
      </c>
      <c r="T60" s="288">
        <f>+S60/$T$7</f>
        <v>1.5558824473583244E-2</v>
      </c>
      <c r="V60" s="402"/>
    </row>
    <row r="61" spans="1:22" ht="13.5" thickBot="1">
      <c r="A61" s="169">
        <v>1002</v>
      </c>
      <c r="B61" s="474" t="str">
        <f>+VLOOKUP($A61,Master!$D$25:$G$223,4,FALSE)</f>
        <v>Financing needs</v>
      </c>
      <c r="C61" s="475"/>
      <c r="D61" s="475"/>
      <c r="E61" s="475"/>
      <c r="F61" s="475"/>
      <c r="G61" s="242">
        <f>+G55-G57-G60</f>
        <v>-50783181.969999999</v>
      </c>
      <c r="H61" s="242">
        <f t="shared" ref="H61:R61" si="12">+H55-H57-H60</f>
        <v>-66425245.129999973</v>
      </c>
      <c r="I61" s="242">
        <f t="shared" si="12"/>
        <v>-52650662.850000046</v>
      </c>
      <c r="J61" s="242">
        <f t="shared" si="12"/>
        <v>-10885989.979999982</v>
      </c>
      <c r="K61" s="242">
        <f t="shared" si="12"/>
        <v>-86620216.340000063</v>
      </c>
      <c r="L61" s="242">
        <f t="shared" si="12"/>
        <v>-34324579.409999967</v>
      </c>
      <c r="M61" s="242">
        <f t="shared" si="12"/>
        <v>-39211454.980000012</v>
      </c>
      <c r="N61" s="242">
        <f t="shared" si="12"/>
        <v>-64518550.279999971</v>
      </c>
      <c r="O61" s="242">
        <f t="shared" si="12"/>
        <v>3815021.55999998</v>
      </c>
      <c r="P61" s="242">
        <f t="shared" si="12"/>
        <v>-18696805.129999965</v>
      </c>
      <c r="Q61" s="242">
        <f t="shared" si="12"/>
        <v>0</v>
      </c>
      <c r="R61" s="242">
        <f t="shared" si="12"/>
        <v>0</v>
      </c>
      <c r="S61" s="291">
        <f t="shared" si="3"/>
        <v>-420301664.50999999</v>
      </c>
      <c r="T61" s="292">
        <f t="shared" si="4"/>
        <v>-9.4856951073145415E-2</v>
      </c>
    </row>
    <row r="62" spans="1:22" ht="13.5" thickBot="1">
      <c r="A62" s="169">
        <v>1003</v>
      </c>
      <c r="B62" s="476" t="str">
        <f>+VLOOKUP($A62,Master!$D$25:$G$223,4,FALSE)</f>
        <v>Financing</v>
      </c>
      <c r="C62" s="477"/>
      <c r="D62" s="477"/>
      <c r="E62" s="477"/>
      <c r="F62" s="477"/>
      <c r="G62" s="176">
        <f>+SUM(G63:G66)</f>
        <v>50783181.969999999</v>
      </c>
      <c r="H62" s="176">
        <f t="shared" ref="H62:R62" si="13">+SUM(H63:H66)</f>
        <v>66425245.129999973</v>
      </c>
      <c r="I62" s="176">
        <f t="shared" si="13"/>
        <v>52650662.850000046</v>
      </c>
      <c r="J62" s="176">
        <f t="shared" si="13"/>
        <v>10885989.979999974</v>
      </c>
      <c r="K62" s="176">
        <f t="shared" si="13"/>
        <v>86620216.340000063</v>
      </c>
      <c r="L62" s="176">
        <f t="shared" si="13"/>
        <v>34324579.409999967</v>
      </c>
      <c r="M62" s="176">
        <f t="shared" si="13"/>
        <v>39211454.980000012</v>
      </c>
      <c r="N62" s="176">
        <f t="shared" si="13"/>
        <v>64518550.279999971</v>
      </c>
      <c r="O62" s="176">
        <f t="shared" si="13"/>
        <v>-3815021.5599999819</v>
      </c>
      <c r="P62" s="176">
        <f t="shared" si="13"/>
        <v>18696805.129999965</v>
      </c>
      <c r="Q62" s="176">
        <f t="shared" si="13"/>
        <v>0</v>
      </c>
      <c r="R62" s="176">
        <f t="shared" si="13"/>
        <v>0</v>
      </c>
      <c r="S62" s="293">
        <f t="shared" si="3"/>
        <v>420301664.50999999</v>
      </c>
      <c r="T62" s="294">
        <f t="shared" si="4"/>
        <v>9.4856951073145415E-2</v>
      </c>
    </row>
    <row r="63" spans="1:22">
      <c r="A63" s="169">
        <v>7511</v>
      </c>
      <c r="B63" s="470" t="str">
        <f>+VLOOKUP($A63,Master!$D$25:$G$223,4,FALSE)</f>
        <v>Domestic Loans and Borrowings</v>
      </c>
      <c r="C63" s="471"/>
      <c r="D63" s="471"/>
      <c r="E63" s="471"/>
      <c r="F63" s="471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75357443.420000002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197600000</v>
      </c>
      <c r="T63" s="290">
        <f t="shared" si="4"/>
        <v>4.459590602360694E-2</v>
      </c>
    </row>
    <row r="64" spans="1:22">
      <c r="A64" s="169">
        <v>7512</v>
      </c>
      <c r="B64" s="454" t="str">
        <f>+VLOOKUP($A64,Master!$D$25:$G$223,4,FALSE)</f>
        <v>Foreign Loans and Borrowings</v>
      </c>
      <c r="C64" s="455"/>
      <c r="D64" s="455"/>
      <c r="E64" s="455"/>
      <c r="F64" s="455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5238085.6500000004</v>
      </c>
      <c r="J64" s="236">
        <f>+INDEX(DataEx!$1:$1048576,MATCH('2018'!$A64,DataEx!$D:$D,0),MATCH('2018'!J$6,DataEx!$7:$7,0))</f>
        <v>125398354.06999999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16543114.029999999</v>
      </c>
      <c r="P64" s="236">
        <f>+INDEX(DataEx!$1:$1048576,MATCH('2018'!$A64,DataEx!$D:$D,0),MATCH('2018'!P$6,DataEx!$7:$7,0))</f>
        <v>18810730.620000001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468745435.53999996</v>
      </c>
      <c r="T64" s="290">
        <f t="shared" si="4"/>
        <v>0.10579011838226995</v>
      </c>
    </row>
    <row r="65" spans="1:20">
      <c r="A65" s="169">
        <v>72</v>
      </c>
      <c r="B65" s="454" t="str">
        <f>+VLOOKUP($A65,Master!$D$25:$G$223,4,FALSE)</f>
        <v>Revenues from Selling Assets</v>
      </c>
      <c r="C65" s="455"/>
      <c r="D65" s="455"/>
      <c r="E65" s="455"/>
      <c r="F65" s="455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0</v>
      </c>
      <c r="R65" s="236">
        <f>+INDEX(DataEx!$1:$1048576,MATCH('2018'!$A65,DataEx!$D:$D,0),MATCH('2018'!R$6,DataEx!$7:$7,0))</f>
        <v>0</v>
      </c>
      <c r="S65" s="289">
        <f t="shared" si="3"/>
        <v>14435937.83</v>
      </c>
      <c r="T65" s="290">
        <f t="shared" si="4"/>
        <v>3.2580148118892325E-3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25890245.369999997</v>
      </c>
      <c r="H66" s="250">
        <f t="shared" ref="H66:R66" si="14">-H61-SUM(H63:H65)</f>
        <v>-9396323.6700000241</v>
      </c>
      <c r="I66" s="250">
        <f t="shared" si="14"/>
        <v>24362705.940000042</v>
      </c>
      <c r="J66" s="250">
        <f t="shared" si="14"/>
        <v>-114620637.20000002</v>
      </c>
      <c r="K66" s="250">
        <f t="shared" si="14"/>
        <v>78731298.080000058</v>
      </c>
      <c r="L66" s="250">
        <f t="shared" si="14"/>
        <v>-242177174.57000005</v>
      </c>
      <c r="M66" s="250">
        <f t="shared" si="14"/>
        <v>5441545.9800000116</v>
      </c>
      <c r="N66" s="250">
        <f t="shared" si="14"/>
        <v>-7856838.0900000334</v>
      </c>
      <c r="O66" s="250">
        <f t="shared" si="14"/>
        <v>-20581844.87999998</v>
      </c>
      <c r="P66" s="250">
        <f t="shared" si="14"/>
        <v>-272685.82000003383</v>
      </c>
      <c r="Q66" s="250">
        <f t="shared" si="14"/>
        <v>0</v>
      </c>
      <c r="R66" s="250">
        <f t="shared" si="14"/>
        <v>0</v>
      </c>
      <c r="S66" s="295">
        <f>+SUM(G66:R66)</f>
        <v>-260479708.86000004</v>
      </c>
      <c r="T66" s="296">
        <f t="shared" si="4"/>
        <v>-5.878708814462074E-2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8" t="str">
        <f>+Master!G250</f>
        <v>Planned Budget Execution</v>
      </c>
      <c r="C102" s="539"/>
      <c r="D102" s="539"/>
      <c r="E102" s="539"/>
      <c r="F102" s="539"/>
      <c r="G102" s="532">
        <v>2018</v>
      </c>
      <c r="H102" s="546"/>
      <c r="I102" s="546"/>
      <c r="J102" s="546"/>
      <c r="K102" s="546"/>
      <c r="L102" s="546"/>
      <c r="M102" s="546"/>
      <c r="N102" s="546"/>
      <c r="O102" s="546"/>
      <c r="P102" s="546"/>
      <c r="Q102" s="546"/>
      <c r="R102" s="533"/>
      <c r="S102" s="115" t="str">
        <f>+S7</f>
        <v>GDP</v>
      </c>
      <c r="T102" s="116">
        <f>+T7</f>
        <v>4430900000</v>
      </c>
    </row>
    <row r="103" spans="1:21" ht="15.75" customHeight="1">
      <c r="B103" s="540"/>
      <c r="C103" s="541"/>
      <c r="D103" s="541"/>
      <c r="E103" s="541"/>
      <c r="F103" s="542"/>
      <c r="G103" s="73" t="str">
        <f t="shared" ref="G103:R103" si="16">+G8</f>
        <v>January</v>
      </c>
      <c r="H103" s="73" t="str">
        <f t="shared" si="16"/>
        <v>February</v>
      </c>
      <c r="I103" s="73" t="str">
        <f t="shared" si="16"/>
        <v>March</v>
      </c>
      <c r="J103" s="73" t="str">
        <f t="shared" si="16"/>
        <v>April</v>
      </c>
      <c r="K103" s="73" t="str">
        <f t="shared" si="16"/>
        <v>May</v>
      </c>
      <c r="L103" s="73" t="str">
        <f t="shared" si="16"/>
        <v>June</v>
      </c>
      <c r="M103" s="73" t="str">
        <f t="shared" si="16"/>
        <v>July</v>
      </c>
      <c r="N103" s="73" t="str">
        <f t="shared" si="16"/>
        <v>August</v>
      </c>
      <c r="O103" s="73" t="str">
        <f t="shared" si="16"/>
        <v>September</v>
      </c>
      <c r="P103" s="73" t="str">
        <f t="shared" si="16"/>
        <v>October</v>
      </c>
      <c r="Q103" s="73" t="str">
        <f t="shared" si="16"/>
        <v>November</v>
      </c>
      <c r="R103" s="73" t="str">
        <f t="shared" si="16"/>
        <v>December</v>
      </c>
      <c r="S103" s="532" t="str">
        <f>+Master!G244</f>
        <v>Jan - Dec</v>
      </c>
      <c r="T103" s="533">
        <f>+T8</f>
        <v>0</v>
      </c>
    </row>
    <row r="104" spans="1:21" ht="13.5" thickBot="1">
      <c r="B104" s="543"/>
      <c r="C104" s="544"/>
      <c r="D104" s="544"/>
      <c r="E104" s="544"/>
      <c r="F104" s="545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7">+CONCATENATE(A10,"p")</f>
        <v>7p</v>
      </c>
      <c r="B105" s="534" t="str">
        <f>+VLOOKUP(LEFT($A105,LEN(A105)-1)*1,Master!$D$25:$G$223,4,FALSE)</f>
        <v>Total Revenues</v>
      </c>
      <c r="C105" s="535"/>
      <c r="D105" s="535"/>
      <c r="E105" s="535"/>
      <c r="F105" s="535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0.39653416261576935</v>
      </c>
    </row>
    <row r="106" spans="1:21">
      <c r="A106" s="137" t="str">
        <f t="shared" si="17"/>
        <v>711p</v>
      </c>
      <c r="B106" s="536" t="str">
        <f>+VLOOKUP(LEFT($A106,LEN(A106)-1)*1,Master!$D$25:$G$223,4,FALSE)</f>
        <v>Taxes</v>
      </c>
      <c r="C106" s="537"/>
      <c r="D106" s="537"/>
      <c r="E106" s="537"/>
      <c r="F106" s="537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0.2433810714295489</v>
      </c>
      <c r="U106" s="302"/>
    </row>
    <row r="107" spans="1:21">
      <c r="A107" s="137" t="str">
        <f t="shared" si="17"/>
        <v>7111p</v>
      </c>
      <c r="B107" s="518" t="str">
        <f>+VLOOKUP(LEFT($A107,LEN(A107)-1)*1,Master!$D$25:$G$223,4,FALSE)</f>
        <v>Personal Income Tax</v>
      </c>
      <c r="C107" s="519"/>
      <c r="D107" s="519"/>
      <c r="E107" s="519"/>
      <c r="F107" s="519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2.7389393163553131E-2</v>
      </c>
    </row>
    <row r="108" spans="1:21">
      <c r="A108" s="137" t="str">
        <f t="shared" si="17"/>
        <v>7112p</v>
      </c>
      <c r="B108" s="518" t="str">
        <f>+VLOOKUP(LEFT($A108,LEN(A108)-1)*1,Master!$D$25:$G$223,4,FALSE)</f>
        <v>Corporate Income Tax</v>
      </c>
      <c r="C108" s="519"/>
      <c r="D108" s="519"/>
      <c r="E108" s="519"/>
      <c r="F108" s="519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1.3920053571600954E-2</v>
      </c>
    </row>
    <row r="109" spans="1:21">
      <c r="A109" s="137" t="str">
        <f t="shared" si="17"/>
        <v>7113p</v>
      </c>
      <c r="B109" s="518" t="str">
        <f>+VLOOKUP(LEFT($A109,LEN(A109)-1)*1,Master!$D$25:$G$223,4,FALSE)</f>
        <v xml:space="preserve">Taxes on Sales of Property </v>
      </c>
      <c r="C109" s="519"/>
      <c r="D109" s="519"/>
      <c r="E109" s="519"/>
      <c r="F109" s="519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4.1862784773715486E-4</v>
      </c>
    </row>
    <row r="110" spans="1:21">
      <c r="A110" s="137" t="str">
        <f t="shared" si="17"/>
        <v>7114p</v>
      </c>
      <c r="B110" s="518" t="str">
        <f>+VLOOKUP(LEFT($A110,LEN(A110)-1)*1,Master!$D$25:$G$223,4,FALSE)</f>
        <v>Value Added Tax</v>
      </c>
      <c r="C110" s="519"/>
      <c r="D110" s="519"/>
      <c r="E110" s="519"/>
      <c r="F110" s="519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0.14091759733264006</v>
      </c>
    </row>
    <row r="111" spans="1:21">
      <c r="A111" s="137" t="str">
        <f t="shared" si="17"/>
        <v>7115p</v>
      </c>
      <c r="B111" s="518" t="str">
        <f>+VLOOKUP(LEFT($A111,LEN(A111)-1)*1,Master!$D$25:$G$223,4,FALSE)</f>
        <v>Excises</v>
      </c>
      <c r="C111" s="519"/>
      <c r="D111" s="519"/>
      <c r="E111" s="519"/>
      <c r="F111" s="519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5.2517057695824099E-2</v>
      </c>
    </row>
    <row r="112" spans="1:21">
      <c r="A112" s="137" t="str">
        <f t="shared" si="17"/>
        <v>7116p</v>
      </c>
      <c r="B112" s="518" t="str">
        <f>+VLOOKUP(LEFT($A112,LEN(A112)-1)*1,Master!$D$25:$G$223,4,FALSE)</f>
        <v>Tax on International Trade and Transactions</v>
      </c>
      <c r="C112" s="519"/>
      <c r="D112" s="519"/>
      <c r="E112" s="519"/>
      <c r="F112" s="519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6.061974966202829E-3</v>
      </c>
    </row>
    <row r="113" spans="1:20">
      <c r="A113" s="137" t="str">
        <f t="shared" si="17"/>
        <v>7118p</v>
      </c>
      <c r="B113" s="518" t="str">
        <f>+VLOOKUP(LEFT($A113,LEN(A113)-1)*1,Master!$D$25:$G$223,4,FALSE)</f>
        <v>Other Republic Taxes</v>
      </c>
      <c r="C113" s="519"/>
      <c r="D113" s="519"/>
      <c r="E113" s="519"/>
      <c r="F113" s="519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2.1563668519906966E-3</v>
      </c>
    </row>
    <row r="114" spans="1:20">
      <c r="A114" s="137" t="str">
        <f t="shared" si="17"/>
        <v>712p</v>
      </c>
      <c r="B114" s="530" t="str">
        <f>+VLOOKUP(LEFT($A114,LEN(A114)-1)*1,Master!$D$25:$G$223,4,FALSE)</f>
        <v>Contributions</v>
      </c>
      <c r="C114" s="531"/>
      <c r="D114" s="531"/>
      <c r="E114" s="531"/>
      <c r="F114" s="531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0.11786630908402237</v>
      </c>
    </row>
    <row r="115" spans="1:20">
      <c r="A115" s="137" t="str">
        <f t="shared" si="17"/>
        <v>7121p</v>
      </c>
      <c r="B115" s="518" t="str">
        <f>+VLOOKUP(LEFT($A115,LEN(A115)-1)*1,Master!$D$25:$G$223,4,FALSE)</f>
        <v>Contributions for Pension and Disability Insurance</v>
      </c>
      <c r="C115" s="519"/>
      <c r="D115" s="519"/>
      <c r="E115" s="519"/>
      <c r="F115" s="519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7.0977931111636625E-2</v>
      </c>
    </row>
    <row r="116" spans="1:20">
      <c r="A116" s="137" t="str">
        <f t="shared" si="17"/>
        <v>7122p</v>
      </c>
      <c r="B116" s="518" t="str">
        <f>+VLOOKUP(LEFT($A116,LEN(A116)-1)*1,Master!$D$25:$G$223,4,FALSE)</f>
        <v>Contributions for Health Insurance</v>
      </c>
      <c r="C116" s="519"/>
      <c r="D116" s="519"/>
      <c r="E116" s="519"/>
      <c r="F116" s="519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4.0826034089370598E-2</v>
      </c>
    </row>
    <row r="117" spans="1:20">
      <c r="A117" s="137" t="str">
        <f t="shared" si="17"/>
        <v>7123p</v>
      </c>
      <c r="B117" s="518" t="str">
        <f>+VLOOKUP(LEFT($A117,LEN(A117)-1)*1,Master!$D$25:$G$223,4,FALSE)</f>
        <v>Contributions for  Unemployment Insurance</v>
      </c>
      <c r="C117" s="519"/>
      <c r="D117" s="519"/>
      <c r="E117" s="519"/>
      <c r="F117" s="519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3.1932906685639114E-3</v>
      </c>
    </row>
    <row r="118" spans="1:20">
      <c r="A118" s="137" t="str">
        <f t="shared" si="17"/>
        <v>7124p</v>
      </c>
      <c r="B118" s="518" t="str">
        <f>+VLOOKUP(LEFT($A118,LEN(A118)-1)*1,Master!$D$25:$G$223,4,FALSE)</f>
        <v>Other contributions</v>
      </c>
      <c r="C118" s="519"/>
      <c r="D118" s="519"/>
      <c r="E118" s="519"/>
      <c r="F118" s="519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2.8690532144512431E-3</v>
      </c>
    </row>
    <row r="119" spans="1:20">
      <c r="A119" s="137" t="str">
        <f t="shared" si="17"/>
        <v>713p</v>
      </c>
      <c r="B119" s="522" t="str">
        <f>+VLOOKUP(LEFT($A119,LEN(A119)-1)*1,Master!$D$25:$G$223,4,FALSE)</f>
        <v>Duties</v>
      </c>
      <c r="C119" s="523"/>
      <c r="D119" s="523"/>
      <c r="E119" s="523"/>
      <c r="F119" s="523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3.9947794778089924E-3</v>
      </c>
    </row>
    <row r="120" spans="1:20">
      <c r="A120" s="137" t="str">
        <f t="shared" si="17"/>
        <v>714p</v>
      </c>
      <c r="B120" s="522" t="str">
        <f>+VLOOKUP(LEFT($A120,LEN(A120)-1)*1,Master!$D$25:$G$223,4,FALSE)</f>
        <v>Fees</v>
      </c>
      <c r="C120" s="523"/>
      <c r="D120" s="523"/>
      <c r="E120" s="523"/>
      <c r="F120" s="523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6.348174433441353E-3</v>
      </c>
    </row>
    <row r="121" spans="1:20">
      <c r="A121" s="137" t="str">
        <f t="shared" si="17"/>
        <v>715p</v>
      </c>
      <c r="B121" s="522" t="str">
        <f>+VLOOKUP(LEFT($A121,LEN(A121)-1)*1,Master!$D$25:$G$223,4,FALSE)</f>
        <v>Other revenues</v>
      </c>
      <c r="C121" s="523"/>
      <c r="D121" s="523"/>
      <c r="E121" s="523"/>
      <c r="F121" s="523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1.6189240260394196E-2</v>
      </c>
    </row>
    <row r="122" spans="1:20">
      <c r="A122" s="137" t="str">
        <f t="shared" si="17"/>
        <v>73p</v>
      </c>
      <c r="B122" s="522" t="str">
        <f>+VLOOKUP(LEFT($A122,LEN(A122)-1)*1,Master!$D$25:$G$223,4,FALSE)</f>
        <v>Receipts from Repayment of Loans and Funds Carried over from Previous Year</v>
      </c>
      <c r="C122" s="523"/>
      <c r="D122" s="523"/>
      <c r="E122" s="523"/>
      <c r="F122" s="523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1.6390156041972306E-3</v>
      </c>
    </row>
    <row r="123" spans="1:20" ht="13.5" thickBot="1">
      <c r="A123" s="137" t="str">
        <f t="shared" si="17"/>
        <v>74p</v>
      </c>
      <c r="B123" s="524" t="str">
        <f>+VLOOKUP(LEFT($A123,LEN(A123)-1)*1,Master!$D$25:$G$223,4,FALSE)</f>
        <v>Grants and Transfers</v>
      </c>
      <c r="C123" s="525"/>
      <c r="D123" s="525"/>
      <c r="E123" s="525"/>
      <c r="F123" s="525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7.1155723263562932E-3</v>
      </c>
    </row>
    <row r="124" spans="1:20" ht="13.5" thickBot="1">
      <c r="A124" s="137" t="str">
        <f t="shared" si="17"/>
        <v>4p</v>
      </c>
      <c r="B124" s="508" t="str">
        <f>+VLOOKUP(LEFT($A124,LEN(A124)-1)*1,Master!$D$25:$G$223,4,FALSE)</f>
        <v>Total Expenditures</v>
      </c>
      <c r="C124" s="509"/>
      <c r="D124" s="509"/>
      <c r="E124" s="509"/>
      <c r="F124" s="509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0.42877137256464071</v>
      </c>
    </row>
    <row r="125" spans="1:20" ht="13.5" thickBot="1">
      <c r="A125" s="137" t="str">
        <f t="shared" si="17"/>
        <v>41p</v>
      </c>
      <c r="B125" s="526" t="str">
        <f>+VLOOKUP(LEFT($A125,LEN(A125)-1)*1,Master!$D$25:$G$223,4,FALSE)</f>
        <v>Current Expenditures</v>
      </c>
      <c r="C125" s="527"/>
      <c r="D125" s="527"/>
      <c r="E125" s="527"/>
      <c r="F125" s="527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0.36353067654426863</v>
      </c>
    </row>
    <row r="126" spans="1:20">
      <c r="A126" s="137" t="str">
        <f t="shared" si="17"/>
        <v>40p</v>
      </c>
      <c r="B126" s="528" t="str">
        <f>+VLOOKUP(LEFT($A126,LEN(A126)-1)*1,Master!$D$25:$G$223,4,FALSE)</f>
        <v>Current Budgetary Expenditures</v>
      </c>
      <c r="C126" s="529"/>
      <c r="D126" s="529"/>
      <c r="E126" s="529"/>
      <c r="F126" s="529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0.1834007928208716</v>
      </c>
    </row>
    <row r="127" spans="1:20">
      <c r="A127" s="137" t="str">
        <f t="shared" si="17"/>
        <v>411p</v>
      </c>
      <c r="B127" s="518" t="str">
        <f>+VLOOKUP(LEFT($A127,LEN(A127)-1)*1,Master!$D$25:$G$223,4,FALSE)</f>
        <v>Gross Salaries and Contributions</v>
      </c>
      <c r="C127" s="519"/>
      <c r="D127" s="519"/>
      <c r="E127" s="519"/>
      <c r="F127" s="519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0.10426184216976232</v>
      </c>
    </row>
    <row r="128" spans="1:20">
      <c r="A128" s="137" t="str">
        <f t="shared" si="17"/>
        <v>412p</v>
      </c>
      <c r="B128" s="518" t="str">
        <f>+VLOOKUP(LEFT($A128,LEN(A128)-1)*1,Master!$D$25:$G$223,4,FALSE)</f>
        <v>Other Personal Income</v>
      </c>
      <c r="C128" s="519"/>
      <c r="D128" s="519"/>
      <c r="E128" s="519"/>
      <c r="F128" s="519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2.9932120291588605E-3</v>
      </c>
    </row>
    <row r="129" spans="1:20">
      <c r="A129" s="137" t="str">
        <f t="shared" si="17"/>
        <v>413p</v>
      </c>
      <c r="B129" s="518" t="str">
        <f>+VLOOKUP(LEFT($A129,LEN(A129)-1)*1,Master!$D$25:$G$223,4,FALSE)</f>
        <v>Expenditures for Supplies</v>
      </c>
      <c r="C129" s="519"/>
      <c r="D129" s="519"/>
      <c r="E129" s="519"/>
      <c r="F129" s="519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8.9557908099934559E-3</v>
      </c>
    </row>
    <row r="130" spans="1:20">
      <c r="A130" s="137" t="str">
        <f t="shared" si="17"/>
        <v>414p</v>
      </c>
      <c r="B130" s="518" t="str">
        <f>+VLOOKUP(LEFT($A130,LEN(A130)-1)*1,Master!$D$25:$G$223,4,FALSE)</f>
        <v>Expenditures for Services</v>
      </c>
      <c r="C130" s="519"/>
      <c r="D130" s="519"/>
      <c r="E130" s="519"/>
      <c r="F130" s="519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1.325733664492541E-2</v>
      </c>
    </row>
    <row r="131" spans="1:20">
      <c r="A131" s="137" t="str">
        <f t="shared" si="17"/>
        <v>415p</v>
      </c>
      <c r="B131" s="518" t="str">
        <f>+VLOOKUP(LEFT($A131,LEN(A131)-1)*1,Master!$D$25:$G$223,4,FALSE)</f>
        <v>Current Maintenance</v>
      </c>
      <c r="C131" s="519"/>
      <c r="D131" s="519"/>
      <c r="E131" s="519"/>
      <c r="F131" s="519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5.0295621228192925E-3</v>
      </c>
    </row>
    <row r="132" spans="1:20">
      <c r="A132" s="137" t="str">
        <f t="shared" si="17"/>
        <v>416p</v>
      </c>
      <c r="B132" s="518" t="str">
        <f>+VLOOKUP(LEFT($A132,LEN(A132)-1)*1,Master!$D$25:$G$223,4,FALSE)</f>
        <v>Interests</v>
      </c>
      <c r="C132" s="519"/>
      <c r="D132" s="519"/>
      <c r="E132" s="519"/>
      <c r="F132" s="519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1.9734749148028616E-2</v>
      </c>
    </row>
    <row r="133" spans="1:20">
      <c r="A133" s="137" t="str">
        <f t="shared" si="17"/>
        <v>417p</v>
      </c>
      <c r="B133" s="518" t="str">
        <f>+VLOOKUP(LEFT($A133,LEN(A133)-1)*1,Master!$D$25:$G$223,4,FALSE)</f>
        <v>Rent</v>
      </c>
      <c r="C133" s="519"/>
      <c r="D133" s="519"/>
      <c r="E133" s="519"/>
      <c r="F133" s="519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2.334632842086258E-3</v>
      </c>
    </row>
    <row r="134" spans="1:20">
      <c r="A134" s="137" t="str">
        <f t="shared" si="17"/>
        <v>418p</v>
      </c>
      <c r="B134" s="518" t="str">
        <f>+VLOOKUP(LEFT($A134,LEN(A134)-1)*1,Master!$D$25:$G$223,4,FALSE)</f>
        <v>Subsidies</v>
      </c>
      <c r="C134" s="519"/>
      <c r="D134" s="519"/>
      <c r="E134" s="519"/>
      <c r="F134" s="519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6.0330406915073713E-3</v>
      </c>
    </row>
    <row r="135" spans="1:20">
      <c r="A135" s="137" t="str">
        <f t="shared" si="17"/>
        <v>419p</v>
      </c>
      <c r="B135" s="518" t="str">
        <f>+VLOOKUP(LEFT($A135,LEN(A135)-1)*1,Master!$D$25:$G$223,4,FALSE)</f>
        <v>Other expenditures</v>
      </c>
      <c r="C135" s="519"/>
      <c r="D135" s="519"/>
      <c r="E135" s="519"/>
      <c r="F135" s="519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8.8735764585073009E-3</v>
      </c>
    </row>
    <row r="136" spans="1:20">
      <c r="A136" s="137" t="str">
        <f t="shared" si="17"/>
        <v>440p</v>
      </c>
      <c r="B136" s="518" t="str">
        <f>+VLOOKUP(LEFT($A136,LEN(A136)-1)*1,Master!$D$25:$G$223,4,FALSE)</f>
        <v>Current Capital Expenditure</v>
      </c>
      <c r="C136" s="519"/>
      <c r="D136" s="519"/>
      <c r="E136" s="519"/>
      <c r="F136" s="519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1.1927049904082689E-2</v>
      </c>
    </row>
    <row r="137" spans="1:20">
      <c r="A137" s="137" t="str">
        <f t="shared" si="17"/>
        <v>42p</v>
      </c>
      <c r="B137" s="516" t="str">
        <f>+VLOOKUP(LEFT($A137,LEN(A137)-1)*1,Master!$D$25:$G$223,4,FALSE)</f>
        <v>Social Security Transfers</v>
      </c>
      <c r="C137" s="517"/>
      <c r="D137" s="517"/>
      <c r="E137" s="517"/>
      <c r="F137" s="517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0.12614429886930423</v>
      </c>
    </row>
    <row r="138" spans="1:20">
      <c r="A138" s="137" t="str">
        <f t="shared" si="17"/>
        <v>421p</v>
      </c>
      <c r="B138" s="518" t="str">
        <f>+VLOOKUP(LEFT($A138,LEN(A138)-1)*1,Master!$D$25:$G$223,4,FALSE)</f>
        <v>Social Security</v>
      </c>
      <c r="C138" s="519"/>
      <c r="D138" s="519"/>
      <c r="E138" s="519"/>
      <c r="F138" s="519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1.8683807783971652E-2</v>
      </c>
    </row>
    <row r="139" spans="1:20">
      <c r="A139" s="137" t="str">
        <f t="shared" si="17"/>
        <v>422p</v>
      </c>
      <c r="B139" s="518" t="str">
        <f>+VLOOKUP(LEFT($A139,LEN(A139)-1)*1,Master!$D$25:$G$223,4,FALSE)</f>
        <v>Funds for redundant labor</v>
      </c>
      <c r="C139" s="519"/>
      <c r="D139" s="519"/>
      <c r="E139" s="519"/>
      <c r="F139" s="519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3.9041277212304481E-3</v>
      </c>
    </row>
    <row r="140" spans="1:20">
      <c r="A140" s="137" t="str">
        <f t="shared" si="17"/>
        <v>423p</v>
      </c>
      <c r="B140" s="518" t="str">
        <f>+VLOOKUP(LEFT($A140,LEN(A140)-1)*1,Master!$D$25:$G$223,4,FALSE)</f>
        <v>Pension and Disability Insurance</v>
      </c>
      <c r="C140" s="519"/>
      <c r="D140" s="519"/>
      <c r="E140" s="519"/>
      <c r="F140" s="519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9.6069148577038549E-2</v>
      </c>
    </row>
    <row r="141" spans="1:20">
      <c r="A141" s="137" t="str">
        <f t="shared" si="17"/>
        <v>424p</v>
      </c>
      <c r="B141" s="518" t="str">
        <f>+VLOOKUP(LEFT($A141,LEN(A141)-1)*1,Master!$D$25:$G$223,4,FALSE)</f>
        <v>Other Health Care Transfers</v>
      </c>
      <c r="C141" s="519"/>
      <c r="D141" s="519"/>
      <c r="E141" s="519"/>
      <c r="F141" s="519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4.288090455663634E-3</v>
      </c>
    </row>
    <row r="142" spans="1:20">
      <c r="A142" s="137" t="str">
        <f t="shared" si="17"/>
        <v>425p</v>
      </c>
      <c r="B142" s="518" t="str">
        <f>+VLOOKUP(LEFT($A142,LEN(A142)-1)*1,Master!$D$25:$G$223,4,FALSE)</f>
        <v>Other Health Care Insurance</v>
      </c>
      <c r="C142" s="519"/>
      <c r="D142" s="519"/>
      <c r="E142" s="519"/>
      <c r="F142" s="519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3.1991243313999416E-3</v>
      </c>
    </row>
    <row r="143" spans="1:20">
      <c r="A143" s="137" t="str">
        <f t="shared" si="17"/>
        <v>43p</v>
      </c>
      <c r="B143" s="520" t="str">
        <f>+VLOOKUP(LEFT($A143,LEN(A143)-1)*1,Master!$D$25:$G$223,4,FALSE)</f>
        <v xml:space="preserve">Transfers to Institutions, Individuals, NGO and Public Sector </v>
      </c>
      <c r="C143" s="521"/>
      <c r="D143" s="521"/>
      <c r="E143" s="521"/>
      <c r="F143" s="521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4.6646107718522199E-2</v>
      </c>
    </row>
    <row r="144" spans="1:20">
      <c r="A144" s="137" t="str">
        <f t="shared" si="17"/>
        <v>44p</v>
      </c>
      <c r="B144" s="520" t="str">
        <f>+VLOOKUP(LEFT($A144,LEN(A144)-1)*1,Master!$D$25:$G$223,4,FALSE)</f>
        <v>Capital Expenditure</v>
      </c>
      <c r="C144" s="521"/>
      <c r="D144" s="521"/>
      <c r="E144" s="521"/>
      <c r="F144" s="521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6.5240696020372094E-2</v>
      </c>
    </row>
    <row r="145" spans="1:20">
      <c r="A145" s="137" t="str">
        <f t="shared" si="17"/>
        <v>451p</v>
      </c>
      <c r="B145" s="504" t="str">
        <f>+VLOOKUP(LEFT($A145,LEN(A145)-1)*1,Master!$D$25:$G$223,4,FALSE)</f>
        <v>Credits and Borrowings</v>
      </c>
      <c r="C145" s="505"/>
      <c r="D145" s="505"/>
      <c r="E145" s="505"/>
      <c r="F145" s="505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6.4885260330858278E-4</v>
      </c>
    </row>
    <row r="146" spans="1:20">
      <c r="A146" s="137" t="str">
        <f t="shared" si="17"/>
        <v>47p</v>
      </c>
      <c r="B146" s="504" t="str">
        <f>+VLOOKUP(LEFT($A146,LEN(A146)-1)*1,Master!$D$25:$G$223,4,FALSE)</f>
        <v>Reserves</v>
      </c>
      <c r="C146" s="505"/>
      <c r="D146" s="505"/>
      <c r="E146" s="505"/>
      <c r="F146" s="505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6.6906245322620695E-3</v>
      </c>
    </row>
    <row r="147" spans="1:20">
      <c r="A147" s="137" t="str">
        <f t="shared" si="17"/>
        <v>462p</v>
      </c>
      <c r="B147" s="504" t="str">
        <f>+VLOOKUP(LEFT($A147,LEN(A147)-1)*1,Master!$D$25:$G$223,4,FALSE)</f>
        <v>Repayment of Guarantees</v>
      </c>
      <c r="C147" s="505"/>
      <c r="D147" s="505"/>
      <c r="E147" s="505"/>
      <c r="F147" s="505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699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12" t="str">
        <f>+VLOOKUP(LEFT($A149,LEN(A149)-1)*1,Master!$D$25:$G$223,4,FALSE)</f>
        <v>Surplus / deficit</v>
      </c>
      <c r="C149" s="513"/>
      <c r="D149" s="513"/>
      <c r="E149" s="513"/>
      <c r="F149" s="513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-3.2237209948871401E-2</v>
      </c>
    </row>
    <row r="150" spans="1:20" ht="13.5" thickBot="1">
      <c r="A150" s="138" t="str">
        <f>+CONCATENATE(A56,"p")</f>
        <v>1001p</v>
      </c>
      <c r="B150" s="514" t="str">
        <f>+VLOOKUP(LEFT($A150,LEN(A150)-1)*1,Master!$D$25:$G$223,4,FALSE)</f>
        <v>Primary balance</v>
      </c>
      <c r="C150" s="515"/>
      <c r="D150" s="515"/>
      <c r="E150" s="515"/>
      <c r="F150" s="515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-1.2502460800842779E-2</v>
      </c>
    </row>
    <row r="151" spans="1:20">
      <c r="A151" s="138" t="str">
        <f>+CONCATENATE(A57,"p")</f>
        <v>46p</v>
      </c>
      <c r="B151" s="516" t="str">
        <f>+VLOOKUP(LEFT($A151,LEN(A151)-1)*1,Master!$D$25:$G$223,4,FALSE)</f>
        <v>Repayment of Debt</v>
      </c>
      <c r="C151" s="517"/>
      <c r="D151" s="517"/>
      <c r="E151" s="517"/>
      <c r="F151" s="517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0.122420450655623</v>
      </c>
    </row>
    <row r="152" spans="1:20">
      <c r="A152" s="138" t="str">
        <f>+CONCATENATE(A58,"p")</f>
        <v>4611p</v>
      </c>
      <c r="B152" s="510" t="str">
        <f>+VLOOKUP(LEFT($A152,LEN(A152)-1)*1,Master!$D$25:$G$223,4,FALSE)</f>
        <v>Repayment of Domestic Debt</v>
      </c>
      <c r="C152" s="511"/>
      <c r="D152" s="511"/>
      <c r="E152" s="511"/>
      <c r="F152" s="511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1.143972552077456E-2</v>
      </c>
    </row>
    <row r="153" spans="1:20">
      <c r="A153" s="138" t="str">
        <f>+CONCATENATE(A59,"p")</f>
        <v>4612p</v>
      </c>
      <c r="B153" s="504" t="str">
        <f>+VLOOKUP(LEFT($A153,LEN(A153)-1)*1,Master!$D$25:$G$223,4,FALSE)</f>
        <v>Repayment of Foreign Debt</v>
      </c>
      <c r="C153" s="505"/>
      <c r="D153" s="505"/>
      <c r="E153" s="505"/>
      <c r="F153" s="505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0.10415491209460832</v>
      </c>
    </row>
    <row r="154" spans="1:20">
      <c r="A154" s="138" t="str">
        <f>+CONCATENATE(A53,"p")</f>
        <v>4630p</v>
      </c>
      <c r="B154" s="504" t="str">
        <f>+VLOOKUP(LEFT($A154,LEN(A154)-1)*1,Master!$D$25:$G$223,4,FALSE)</f>
        <v>Repayments of Arrears</v>
      </c>
      <c r="C154" s="505"/>
      <c r="D154" s="505"/>
      <c r="E154" s="505"/>
      <c r="F154" s="505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6.825813040240135E-3</v>
      </c>
    </row>
    <row r="155" spans="1:20" ht="13.5" thickBot="1">
      <c r="A155" s="138"/>
      <c r="B155" s="429" t="s">
        <v>340</v>
      </c>
      <c r="C155" s="430"/>
      <c r="D155" s="430"/>
      <c r="E155" s="430"/>
      <c r="F155" s="430"/>
      <c r="G155" s="436">
        <f>+DataEx!ET377</f>
        <v>0</v>
      </c>
      <c r="H155" s="436">
        <f>+DataEx!EU377</f>
        <v>0</v>
      </c>
      <c r="I155" s="436">
        <f>+DataEx!EV377</f>
        <v>0</v>
      </c>
      <c r="J155" s="436">
        <f>+DataEx!EW377</f>
        <v>0</v>
      </c>
      <c r="K155" s="436">
        <f>+DataEx!EX377</f>
        <v>70000000</v>
      </c>
      <c r="L155" s="436">
        <f>+DataEx!EY377</f>
        <v>0</v>
      </c>
      <c r="M155" s="436">
        <f>+DataEx!EZ377</f>
        <v>0</v>
      </c>
      <c r="N155" s="436">
        <f>+DataEx!FA377</f>
        <v>0</v>
      </c>
      <c r="O155" s="436">
        <f>+DataEx!FB377</f>
        <v>0</v>
      </c>
      <c r="P155" s="436">
        <f>+DataEx!FC377</f>
        <v>0</v>
      </c>
      <c r="Q155" s="436">
        <f>+DataEx!FD377</f>
        <v>0</v>
      </c>
      <c r="R155" s="436">
        <f>+DataEx!FE377</f>
        <v>0</v>
      </c>
      <c r="S155" s="107">
        <f t="shared" si="20"/>
        <v>70000000</v>
      </c>
      <c r="T155" s="108">
        <f t="shared" si="21"/>
        <v>1.5798144846419462E-2</v>
      </c>
    </row>
    <row r="156" spans="1:20" ht="13.5" thickBot="1">
      <c r="A156" s="138" t="str">
        <f t="shared" ref="A156:A161" si="30">+CONCATENATE(A61,"p")</f>
        <v>1002p</v>
      </c>
      <c r="B156" s="506" t="str">
        <f>+VLOOKUP(LEFT($A156,LEN(A156)-1)*1,Master!$D$25:$G$223,4,FALSE)</f>
        <v>Financing needs</v>
      </c>
      <c r="C156" s="507"/>
      <c r="D156" s="507"/>
      <c r="E156" s="507"/>
      <c r="F156" s="507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-0.17045580545091385</v>
      </c>
    </row>
    <row r="157" spans="1:20" ht="13.5" thickBot="1">
      <c r="A157" s="138" t="str">
        <f t="shared" si="30"/>
        <v>1003p</v>
      </c>
      <c r="B157" s="508" t="str">
        <f>+VLOOKUP(LEFT($A157,LEN(A157)-1)*1,Master!$D$25:$G$223,4,FALSE)</f>
        <v>Financing</v>
      </c>
      <c r="C157" s="509"/>
      <c r="D157" s="509"/>
      <c r="E157" s="509"/>
      <c r="F157" s="509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0.17045580545091385</v>
      </c>
    </row>
    <row r="158" spans="1:20">
      <c r="A158" s="138" t="str">
        <f t="shared" si="30"/>
        <v>7511p</v>
      </c>
      <c r="B158" s="510" t="str">
        <f>+VLOOKUP(LEFT($A158,LEN(A158)-1)*1,Master!$D$25:$G$223,4,FALSE)</f>
        <v>Domestic Loans and Borrowings</v>
      </c>
      <c r="C158" s="511"/>
      <c r="D158" s="511"/>
      <c r="E158" s="511"/>
      <c r="F158" s="511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4" t="str">
        <f>+VLOOKUP(LEFT($A159,LEN(A159)-1)*1,Master!$D$25:$G$223,4,FALSE)</f>
        <v>Foreign Loans and Borrowings</v>
      </c>
      <c r="C159" s="505"/>
      <c r="D159" s="505"/>
      <c r="E159" s="505"/>
      <c r="F159" s="505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0.16684293226337479</v>
      </c>
    </row>
    <row r="160" spans="1:20">
      <c r="A160" s="138" t="str">
        <f t="shared" si="30"/>
        <v>72p</v>
      </c>
      <c r="B160" s="504" t="str">
        <f>+VLOOKUP(LEFT($A160,LEN(A160)-1)*1,Master!$D$25:$G$223,4,FALSE)</f>
        <v>Revenues from Selling Assets</v>
      </c>
      <c r="C160" s="505"/>
      <c r="D160" s="505"/>
      <c r="E160" s="505"/>
      <c r="F160" s="505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3.611004536324449E-3</v>
      </c>
    </row>
    <row r="161" spans="1:20" ht="13.5" thickBot="1">
      <c r="A161" s="138" t="str">
        <f t="shared" si="30"/>
        <v>1004p</v>
      </c>
      <c r="B161" s="102" t="str">
        <f>+VLOOKUP(LEFT($A161,LEN(A161)-1)*1,Master!$D$25:$G$223,4,FALSE)</f>
        <v>Increase / decrease of deposits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1.8686512146281224E-6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4.28515625" style="303" customWidth="1"/>
    <col min="9" max="9" width="14.5703125" style="303" customWidth="1"/>
    <col min="10" max="10" width="16.5703125" style="303" customWidth="1"/>
    <col min="11" max="11" width="17.140625" style="303" customWidth="1"/>
    <col min="12" max="12" width="14.85546875" style="303" customWidth="1"/>
    <col min="13" max="13" width="15.7109375" style="303" customWidth="1"/>
    <col min="14" max="14" width="14" style="303" customWidth="1"/>
    <col min="15" max="15" width="15" style="303" customWidth="1"/>
    <col min="16" max="16" width="13.85546875" style="303" customWidth="1"/>
    <col min="17" max="17" width="14.28515625" style="303" customWidth="1"/>
    <col min="18" max="18" width="19.1406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742</v>
      </c>
      <c r="H6" s="259" t="s">
        <v>743</v>
      </c>
      <c r="I6" s="259" t="s">
        <v>744</v>
      </c>
      <c r="J6" s="259" t="s">
        <v>745</v>
      </c>
      <c r="K6" s="259" t="s">
        <v>746</v>
      </c>
      <c r="L6" s="259" t="s">
        <v>747</v>
      </c>
      <c r="M6" s="259" t="s">
        <v>748</v>
      </c>
      <c r="N6" s="259" t="s">
        <v>749</v>
      </c>
      <c r="O6" s="259" t="s">
        <v>750</v>
      </c>
      <c r="P6" s="259" t="s">
        <v>751</v>
      </c>
      <c r="Q6" s="259" t="s">
        <v>752</v>
      </c>
      <c r="R6" s="259" t="s">
        <v>753</v>
      </c>
      <c r="S6" s="258"/>
      <c r="T6" s="258"/>
    </row>
    <row r="7" spans="1:20" ht="15" customHeight="1" thickBot="1">
      <c r="A7" s="169"/>
      <c r="B7" s="557" t="str">
        <f>+[1]Master!G249</f>
        <v>Ostvarenje budžeta</v>
      </c>
      <c r="C7" s="457"/>
      <c r="D7" s="457"/>
      <c r="E7" s="457"/>
      <c r="F7" s="457"/>
      <c r="G7" s="465">
        <v>2017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+[1]Master!G246</f>
        <v>BDP</v>
      </c>
      <c r="T7" s="261">
        <v>4299000000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5" t="str">
        <f>+[1]Master!G243</f>
        <v>Jan - Dec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+[1]Master!G247</f>
        <v>% BDP</v>
      </c>
    </row>
    <row r="10" spans="1:20" ht="13.5" thickBot="1">
      <c r="A10" s="175">
        <v>7</v>
      </c>
      <c r="B10" s="498" t="str">
        <f>+VLOOKUP($A10,[1]Master!$D$25:$G$223,4,FALSE)</f>
        <v>Prihodi budžeta</v>
      </c>
      <c r="C10" s="499"/>
      <c r="D10" s="499"/>
      <c r="E10" s="499"/>
      <c r="F10" s="499"/>
      <c r="G10" s="422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500" t="str">
        <f>+VLOOKUP($A11,[1]Master!$D$25:$G$223,4,FALSE)</f>
        <v>Porezi</v>
      </c>
      <c r="C11" s="501"/>
      <c r="D11" s="501"/>
      <c r="E11" s="501"/>
      <c r="F11" s="501"/>
      <c r="G11" s="424">
        <f t="shared" ref="G11:R11" si="2">+SUM(G12:G18)</f>
        <v>53512170.450000003</v>
      </c>
      <c r="H11" s="423">
        <f t="shared" si="2"/>
        <v>50615120.200000003</v>
      </c>
      <c r="I11" s="423">
        <f t="shared" si="2"/>
        <v>90524246.909999996</v>
      </c>
      <c r="J11" s="423">
        <f t="shared" si="2"/>
        <v>81677988.170000002</v>
      </c>
      <c r="K11" s="423">
        <f t="shared" si="2"/>
        <v>77800336.479999989</v>
      </c>
      <c r="L11" s="423">
        <f t="shared" si="2"/>
        <v>85282444.409999996</v>
      </c>
      <c r="M11" s="423">
        <f t="shared" si="2"/>
        <v>89248400.649999991</v>
      </c>
      <c r="N11" s="423">
        <f t="shared" si="2"/>
        <v>99153787.180000007</v>
      </c>
      <c r="O11" s="423">
        <f t="shared" si="2"/>
        <v>92913520.620000005</v>
      </c>
      <c r="P11" s="423">
        <f t="shared" si="2"/>
        <v>86378572.320000008</v>
      </c>
      <c r="Q11" s="423">
        <f t="shared" si="2"/>
        <v>74654697.830000013</v>
      </c>
      <c r="R11" s="423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6" t="str">
        <f>+VLOOKUP($A12,[1]Master!$D$25:$G$223,4,FALSE)</f>
        <v>Porez na dohodak fizičkih lica</v>
      </c>
      <c r="C12" s="487"/>
      <c r="D12" s="487"/>
      <c r="E12" s="487"/>
      <c r="F12" s="487"/>
      <c r="G12" s="425">
        <v>3855468.97</v>
      </c>
      <c r="H12" s="425">
        <v>7751521.5300000003</v>
      </c>
      <c r="I12" s="425">
        <v>9093379.6300000008</v>
      </c>
      <c r="J12" s="425">
        <v>8729072.4399999995</v>
      </c>
      <c r="K12" s="425">
        <v>9825835.5299999993</v>
      </c>
      <c r="L12" s="425">
        <v>9719543.6799999997</v>
      </c>
      <c r="M12" s="425">
        <v>10577855.74</v>
      </c>
      <c r="N12" s="425">
        <v>10476522.35</v>
      </c>
      <c r="O12" s="425">
        <v>9609655.3800000008</v>
      </c>
      <c r="P12" s="425">
        <v>10226839.18</v>
      </c>
      <c r="Q12" s="425">
        <v>7670634.21</v>
      </c>
      <c r="R12" s="425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6" t="str">
        <f>+VLOOKUP($A13,[1]Master!$D$25:$G$223,4,FALSE)</f>
        <v>Porez na dobit pravnih lica</v>
      </c>
      <c r="C13" s="487"/>
      <c r="D13" s="487"/>
      <c r="E13" s="487"/>
      <c r="F13" s="487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6" t="str">
        <f>+VLOOKUP($A14,[1]Master!$D$25:$G$223,4,FALSE)</f>
        <v>Porez na promet nepokretnosti</v>
      </c>
      <c r="C14" s="487"/>
      <c r="D14" s="487"/>
      <c r="E14" s="487"/>
      <c r="F14" s="487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6" t="str">
        <f>+VLOOKUP($A15,[1]Master!$D$25:$G$223,4,FALSE)</f>
        <v>Porez na dodatu vrijednost</v>
      </c>
      <c r="C15" s="487"/>
      <c r="D15" s="487"/>
      <c r="E15" s="487"/>
      <c r="F15" s="487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6" t="str">
        <f>+VLOOKUP($A16,[1]Master!$D$25:$G$223,4,FALSE)</f>
        <v>Akcize</v>
      </c>
      <c r="C16" s="487"/>
      <c r="D16" s="487"/>
      <c r="E16" s="487"/>
      <c r="F16" s="487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6" t="str">
        <f>+VLOOKUP($A17,[1]Master!$D$25:$G$223,4,FALSE)</f>
        <v>Porez na međunarodnu trgovinu i transakcije</v>
      </c>
      <c r="C17" s="487"/>
      <c r="D17" s="487"/>
      <c r="E17" s="487"/>
      <c r="F17" s="487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6" t="str">
        <f>+VLOOKUP($A18,[1]Master!$D$25:$G$223,4,FALSE)</f>
        <v>Ostali državni porezi</v>
      </c>
      <c r="C18" s="487"/>
      <c r="D18" s="487"/>
      <c r="E18" s="487"/>
      <c r="F18" s="487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6" t="str">
        <f>+VLOOKUP($A19,[1]Master!$D$25:$G$223,4,FALSE)</f>
        <v>Doprinosi</v>
      </c>
      <c r="C19" s="497"/>
      <c r="D19" s="497"/>
      <c r="E19" s="497"/>
      <c r="F19" s="497"/>
      <c r="G19" s="426">
        <f>+INDEX([1]DataEx!$1:$1048576,MATCH('2017'!$A19,[1]DataEx!$D:$D,0),MATCH('2017'!G$6,[1]DataEx!$7:$7,0))</f>
        <v>15942566.910000002</v>
      </c>
      <c r="H19" s="426">
        <f>+INDEX([1]DataEx!$1:$1048576,MATCH('2017'!$A19,[1]DataEx!$D:$D,0),MATCH('2017'!H$6,[1]DataEx!$7:$7,0))</f>
        <v>32105522.039999999</v>
      </c>
      <c r="I19" s="426">
        <f>+INDEX([1]DataEx!$1:$1048576,MATCH('2017'!$A19,[1]DataEx!$D:$D,0),MATCH('2017'!I$6,[1]DataEx!$7:$7,0))</f>
        <v>37652066.75</v>
      </c>
      <c r="J19" s="426">
        <f>+INDEX([1]DataEx!$1:$1048576,MATCH('2017'!$A19,[1]DataEx!$D:$D,0),MATCH('2017'!J$6,[1]DataEx!$7:$7,0))</f>
        <v>35977730.460000001</v>
      </c>
      <c r="K19" s="426">
        <f>+INDEX([1]DataEx!$1:$1048576,MATCH('2017'!$A19,[1]DataEx!$D:$D,0),MATCH('2017'!K$6,[1]DataEx!$7:$7,0))</f>
        <v>40567246.729999997</v>
      </c>
      <c r="L19" s="426">
        <f>+INDEX([1]DataEx!$1:$1048576,MATCH('2017'!$A19,[1]DataEx!$D:$D,0),MATCH('2017'!L$6,[1]DataEx!$7:$7,0))</f>
        <v>40389805.469999999</v>
      </c>
      <c r="M19" s="426">
        <f>+INDEX([1]DataEx!$1:$1048576,MATCH('2017'!$A19,[1]DataEx!$D:$D,0),MATCH('2017'!M$6,[1]DataEx!$7:$7,0))</f>
        <v>44393326.049999997</v>
      </c>
      <c r="N19" s="426">
        <f>+INDEX([1]DataEx!$1:$1048576,MATCH('2017'!$A19,[1]DataEx!$D:$D,0),MATCH('2017'!N$6,[1]DataEx!$7:$7,0))</f>
        <v>43764113.43</v>
      </c>
      <c r="O19" s="426">
        <f>+INDEX([1]DataEx!$1:$1048576,MATCH('2017'!$A19,[1]DataEx!$D:$D,0),MATCH('2017'!O$6,[1]DataEx!$7:$7,0))</f>
        <v>39922755.840000004</v>
      </c>
      <c r="P19" s="426">
        <f>+INDEX([1]DataEx!$1:$1048576,MATCH('2017'!$A19,[1]DataEx!$D:$D,0),MATCH('2017'!P$6,[1]DataEx!$7:$7,0))</f>
        <v>42882136.189999998</v>
      </c>
      <c r="Q19" s="426">
        <f>+INDEX([1]DataEx!$1:$1048576,MATCH('2017'!$A19,[1]DataEx!$D:$D,0),MATCH('2017'!Q$6,[1]DataEx!$7:$7,0))</f>
        <v>43774643.869999997</v>
      </c>
      <c r="R19" s="426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6" t="str">
        <f>+VLOOKUP($A20,[1]Master!$D$25:$G$223,4,FALSE)</f>
        <v>Doprinosi za penzijsko i invalidsko osiguranje</v>
      </c>
      <c r="C20" s="487"/>
      <c r="D20" s="487"/>
      <c r="E20" s="487"/>
      <c r="F20" s="487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6" t="str">
        <f>+VLOOKUP($A21,[1]Master!$D$25:$G$223,4,FALSE)</f>
        <v>Doprinosi za zdravstveno osiguranje</v>
      </c>
      <c r="C21" s="487"/>
      <c r="D21" s="487"/>
      <c r="E21" s="487"/>
      <c r="F21" s="487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6" t="str">
        <f>+VLOOKUP($A22,[1]Master!$D$25:$G$223,4,FALSE)</f>
        <v>Doprinosi za osiguranje od nezaposlenosti</v>
      </c>
      <c r="C22" s="487"/>
      <c r="D22" s="487"/>
      <c r="E22" s="487"/>
      <c r="F22" s="487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6" t="str">
        <f>+VLOOKUP($A23,[1]Master!$D$25:$G$223,4,FALSE)</f>
        <v>Ostali doprinosi</v>
      </c>
      <c r="C23" s="487"/>
      <c r="D23" s="487"/>
      <c r="E23" s="487"/>
      <c r="F23" s="487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88" t="str">
        <f>+VLOOKUP($A24,[1]Master!$D$25:$G$223,4,FALSE)</f>
        <v>Takse</v>
      </c>
      <c r="C24" s="489"/>
      <c r="D24" s="489"/>
      <c r="E24" s="489"/>
      <c r="F24" s="489"/>
      <c r="G24" s="426">
        <v>579949.69999999995</v>
      </c>
      <c r="H24" s="426">
        <v>799058.78</v>
      </c>
      <c r="I24" s="426">
        <v>1000001.89</v>
      </c>
      <c r="J24" s="426">
        <v>900446.92</v>
      </c>
      <c r="K24" s="426">
        <v>1044119.04</v>
      </c>
      <c r="L24" s="426">
        <v>1380660.13</v>
      </c>
      <c r="M24" s="426">
        <v>1483988.38</v>
      </c>
      <c r="N24" s="426">
        <v>1598254.37</v>
      </c>
      <c r="O24" s="426">
        <v>1300121.74</v>
      </c>
      <c r="P24" s="426">
        <v>1269238.77</v>
      </c>
      <c r="Q24" s="426">
        <v>1101076.77</v>
      </c>
      <c r="R24" s="426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88" t="str">
        <f>+VLOOKUP($A25,[1]Master!$D$25:$G$223,4,FALSE)</f>
        <v>Naknade</v>
      </c>
      <c r="C25" s="489"/>
      <c r="D25" s="489"/>
      <c r="E25" s="489"/>
      <c r="F25" s="489"/>
      <c r="G25" s="426">
        <v>1745843.13</v>
      </c>
      <c r="H25" s="426">
        <v>1266650.8400000001</v>
      </c>
      <c r="I25" s="426">
        <v>1508161.35</v>
      </c>
      <c r="J25" s="426">
        <v>1901163.79</v>
      </c>
      <c r="K25" s="426">
        <v>1513570.26</v>
      </c>
      <c r="L25" s="426">
        <v>830213.16</v>
      </c>
      <c r="M25" s="426">
        <v>1705945.14</v>
      </c>
      <c r="N25" s="426">
        <v>1608311.46</v>
      </c>
      <c r="O25" s="426">
        <v>1107710.8999999999</v>
      </c>
      <c r="P25" s="426">
        <v>1997706.83</v>
      </c>
      <c r="Q25" s="426">
        <v>793640.92</v>
      </c>
      <c r="R25" s="426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88" t="str">
        <f>+VLOOKUP($A26,[1]Master!$D$25:$G$223,4,FALSE)</f>
        <v>Ostali prihodi</v>
      </c>
      <c r="C26" s="489"/>
      <c r="D26" s="489"/>
      <c r="E26" s="489"/>
      <c r="F26" s="489"/>
      <c r="G26" s="426">
        <v>1549598.76</v>
      </c>
      <c r="H26" s="426">
        <v>2362534.5499999998</v>
      </c>
      <c r="I26" s="426">
        <v>2237749.3199999998</v>
      </c>
      <c r="J26" s="426">
        <v>3537625.59</v>
      </c>
      <c r="K26" s="426">
        <v>2195275.86</v>
      </c>
      <c r="L26" s="426">
        <v>3677729.73</v>
      </c>
      <c r="M26" s="426">
        <v>5924157.2800000003</v>
      </c>
      <c r="N26" s="426">
        <v>2465692.11</v>
      </c>
      <c r="O26" s="426">
        <v>1761653.61</v>
      </c>
      <c r="P26" s="426">
        <v>3080830.83</v>
      </c>
      <c r="Q26" s="426">
        <v>1891187.54</v>
      </c>
      <c r="R26" s="426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88" t="str">
        <f>+VLOOKUP($A27,[1]Master!$D$25:$G$223,4,FALSE)</f>
        <v>Primici od otplate kredita i sredstva prenesena iz prethodne godine</v>
      </c>
      <c r="C27" s="489"/>
      <c r="D27" s="489"/>
      <c r="E27" s="489"/>
      <c r="F27" s="489"/>
      <c r="G27" s="426">
        <v>150350.67000000001</v>
      </c>
      <c r="H27" s="426">
        <v>500193.46</v>
      </c>
      <c r="I27" s="426">
        <v>126045.79</v>
      </c>
      <c r="J27" s="426">
        <v>67133.97</v>
      </c>
      <c r="K27" s="426">
        <v>340170.16</v>
      </c>
      <c r="L27" s="426">
        <v>1431878.17</v>
      </c>
      <c r="M27" s="426">
        <v>588856.99</v>
      </c>
      <c r="N27" s="426">
        <v>142813.88</v>
      </c>
      <c r="O27" s="426">
        <v>182139.62</v>
      </c>
      <c r="P27" s="426">
        <v>603855.75</v>
      </c>
      <c r="Q27" s="426">
        <v>987894.53</v>
      </c>
      <c r="R27" s="426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90" t="str">
        <f>+VLOOKUP($A28,[1]Master!$D$25:$G$223,4,FALSE)</f>
        <v>Donacije i transferi</v>
      </c>
      <c r="C28" s="491"/>
      <c r="D28" s="491"/>
      <c r="E28" s="491"/>
      <c r="F28" s="491"/>
      <c r="G28" s="426">
        <v>198902.46</v>
      </c>
      <c r="H28" s="426">
        <v>1119540.18</v>
      </c>
      <c r="I28" s="426">
        <v>2133451.14</v>
      </c>
      <c r="J28" s="426">
        <v>849572.77</v>
      </c>
      <c r="K28" s="426">
        <v>1895943.06</v>
      </c>
      <c r="L28" s="426">
        <v>1063223.94</v>
      </c>
      <c r="M28" s="426">
        <v>2617220.7200000002</v>
      </c>
      <c r="N28" s="426">
        <v>693924.15</v>
      </c>
      <c r="O28" s="426">
        <v>1500964.26</v>
      </c>
      <c r="P28" s="426">
        <v>2652981.5699999998</v>
      </c>
      <c r="Q28" s="426">
        <v>2284497.5299999998</v>
      </c>
      <c r="R28" s="426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6" t="str">
        <f>+VLOOKUP($A29,[1]Master!$D$25:$G$223,4,FALSE)</f>
        <v>Budžetki izdaci</v>
      </c>
      <c r="C29" s="477"/>
      <c r="D29" s="477"/>
      <c r="E29" s="477"/>
      <c r="F29" s="477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92" t="str">
        <f>+VLOOKUP($A30,[1]Master!$D$25:$G$223,4,FALSE)</f>
        <v>Tekući izdaci</v>
      </c>
      <c r="C30" s="493"/>
      <c r="D30" s="493"/>
      <c r="E30" s="493"/>
      <c r="F30" s="493"/>
      <c r="G30" s="427">
        <f>+G29-G49</f>
        <v>95081211.609999985</v>
      </c>
      <c r="H30" s="427">
        <f t="shared" ref="H30:R30" si="6">+H29-H49</f>
        <v>105058194.66999999</v>
      </c>
      <c r="I30" s="427">
        <f t="shared" si="6"/>
        <v>159051074.73999998</v>
      </c>
      <c r="J30" s="427">
        <f t="shared" si="6"/>
        <v>134270687.53</v>
      </c>
      <c r="K30" s="427">
        <f t="shared" si="6"/>
        <v>127056839.55</v>
      </c>
      <c r="L30" s="427">
        <f t="shared" si="6"/>
        <v>125448006.67</v>
      </c>
      <c r="M30" s="427">
        <f t="shared" si="6"/>
        <v>135015939.43000001</v>
      </c>
      <c r="N30" s="427">
        <f t="shared" si="6"/>
        <v>119078138.24000001</v>
      </c>
      <c r="O30" s="427">
        <f t="shared" si="6"/>
        <v>117563216.00999998</v>
      </c>
      <c r="P30" s="427">
        <f t="shared" si="6"/>
        <v>126782294.63000003</v>
      </c>
      <c r="Q30" s="427">
        <f t="shared" si="6"/>
        <v>119362889.43000001</v>
      </c>
      <c r="R30" s="427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4" t="str">
        <f>+VLOOKUP($A31,[1]Master!$D$25:$G$223,4,FALSE)</f>
        <v>Tekući budžetski izdaci</v>
      </c>
      <c r="C31" s="495"/>
      <c r="D31" s="495"/>
      <c r="E31" s="495"/>
      <c r="F31" s="495"/>
      <c r="G31" s="423">
        <f>+SUM(G32:G41)</f>
        <v>43671166.869999997</v>
      </c>
      <c r="H31" s="423">
        <f t="shared" ref="H31:R31" si="7">+SUM(H32:H41)</f>
        <v>48408706.909999989</v>
      </c>
      <c r="I31" s="423">
        <f t="shared" si="7"/>
        <v>96989262.820000008</v>
      </c>
      <c r="J31" s="423">
        <f t="shared" si="7"/>
        <v>70965970.75</v>
      </c>
      <c r="K31" s="423">
        <f t="shared" si="7"/>
        <v>64485987.470000006</v>
      </c>
      <c r="L31" s="423">
        <f t="shared" si="7"/>
        <v>61416603.619999997</v>
      </c>
      <c r="M31" s="423">
        <f t="shared" si="7"/>
        <v>59163591.209999993</v>
      </c>
      <c r="N31" s="423">
        <f t="shared" si="7"/>
        <v>55546071.519999996</v>
      </c>
      <c r="O31" s="423">
        <f t="shared" si="7"/>
        <v>56191213.159999996</v>
      </c>
      <c r="P31" s="423">
        <f t="shared" si="7"/>
        <v>60486450.390000001</v>
      </c>
      <c r="Q31" s="423">
        <f t="shared" si="7"/>
        <v>60535623.090000004</v>
      </c>
      <c r="R31" s="423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6" t="str">
        <f>+VLOOKUP($A32,[1]Master!$D$25:$G$223,4,FALSE)</f>
        <v>Bruto zarade i doprinosi na teret poslodavca</v>
      </c>
      <c r="C32" s="487"/>
      <c r="D32" s="487"/>
      <c r="E32" s="487"/>
      <c r="F32" s="487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6" t="str">
        <f>+VLOOKUP($A33,[1]Master!$D$25:$G$223,4,FALSE)</f>
        <v>Ostala lična primanja</v>
      </c>
      <c r="C33" s="487"/>
      <c r="D33" s="487"/>
      <c r="E33" s="487"/>
      <c r="F33" s="487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6" t="str">
        <f>+VLOOKUP($A34,[1]Master!$D$25:$G$223,4,FALSE)</f>
        <v>Rashodi za materijal</v>
      </c>
      <c r="C34" s="487"/>
      <c r="D34" s="487"/>
      <c r="E34" s="487"/>
      <c r="F34" s="487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6" t="str">
        <f>+VLOOKUP($A35,[1]Master!$D$25:$G$223,4,FALSE)</f>
        <v>Rashodi za usluge</v>
      </c>
      <c r="C35" s="487"/>
      <c r="D35" s="487"/>
      <c r="E35" s="487"/>
      <c r="F35" s="487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6" t="str">
        <f>+VLOOKUP($A36,[1]Master!$D$25:$G$223,4,FALSE)</f>
        <v>Rashodi za tekuće održavanje</v>
      </c>
      <c r="C36" s="487"/>
      <c r="D36" s="487"/>
      <c r="E36" s="487"/>
      <c r="F36" s="487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6" t="str">
        <f>+VLOOKUP($A37,[1]Master!$D$25:$G$223,4,FALSE)</f>
        <v>Kamate</v>
      </c>
      <c r="C37" s="487"/>
      <c r="D37" s="487"/>
      <c r="E37" s="487"/>
      <c r="F37" s="487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6" t="str">
        <f>+VLOOKUP($A38,[1]Master!$D$25:$G$223,4,FALSE)</f>
        <v>Renta</v>
      </c>
      <c r="C38" s="487"/>
      <c r="D38" s="487"/>
      <c r="E38" s="487"/>
      <c r="F38" s="487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6" t="str">
        <f>+VLOOKUP($A39,[1]Master!$D$25:$G$223,4,FALSE)</f>
        <v>Subvencije</v>
      </c>
      <c r="C39" s="487"/>
      <c r="D39" s="487"/>
      <c r="E39" s="487"/>
      <c r="F39" s="487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6" t="str">
        <f>+VLOOKUP($A40,[1]Master!$D$25:$G$223,4,FALSE)</f>
        <v>Ostali izdaci</v>
      </c>
      <c r="C40" s="487"/>
      <c r="D40" s="487"/>
      <c r="E40" s="487"/>
      <c r="F40" s="487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6" t="str">
        <f>+VLOOKUP($A41,[1]Master!$D$25:$G$223,4,FALSE)</f>
        <v>Kapitalni izdaci u tekućem budžetu</v>
      </c>
      <c r="C41" s="487"/>
      <c r="D41" s="487"/>
      <c r="E41" s="487"/>
      <c r="F41" s="487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2" t="str">
        <f>+VLOOKUP($A42,[1]Master!$D$25:$G$223,4,FALSE)</f>
        <v>Transferi za socijalnu zaštitu</v>
      </c>
      <c r="C42" s="483"/>
      <c r="D42" s="483"/>
      <c r="E42" s="483"/>
      <c r="F42" s="483"/>
      <c r="G42" s="426">
        <f>+SUM(G43:G47)</f>
        <v>43853641.199999996</v>
      </c>
      <c r="H42" s="426">
        <f t="shared" ref="H42:R42" si="8">+SUM(H43:H47)</f>
        <v>46694958.479999997</v>
      </c>
      <c r="I42" s="426">
        <f t="shared" si="8"/>
        <v>46060225.379999995</v>
      </c>
      <c r="J42" s="426">
        <f t="shared" si="8"/>
        <v>45239884.829999998</v>
      </c>
      <c r="K42" s="426">
        <f t="shared" si="8"/>
        <v>45683297.689999998</v>
      </c>
      <c r="L42" s="426">
        <f t="shared" si="8"/>
        <v>45402922.969999999</v>
      </c>
      <c r="M42" s="426">
        <f t="shared" si="8"/>
        <v>45267241.289999999</v>
      </c>
      <c r="N42" s="426">
        <f t="shared" si="8"/>
        <v>42270056.32</v>
      </c>
      <c r="O42" s="426">
        <f t="shared" si="8"/>
        <v>44046758.639999993</v>
      </c>
      <c r="P42" s="426">
        <f t="shared" si="8"/>
        <v>44748876.500000007</v>
      </c>
      <c r="Q42" s="426">
        <f t="shared" si="8"/>
        <v>43633580.93999999</v>
      </c>
      <c r="R42" s="426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6" t="str">
        <f>+VLOOKUP($A43,[1]Master!$D$25:$G$223,4,FALSE)</f>
        <v>Prava iz oblasti socijalne zaštite</v>
      </c>
      <c r="C43" s="487"/>
      <c r="D43" s="487"/>
      <c r="E43" s="487"/>
      <c r="F43" s="487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6" t="str">
        <f>+VLOOKUP($A44,[1]Master!$D$25:$G$223,4,FALSE)</f>
        <v>Sredstva za tehnološke viškove</v>
      </c>
      <c r="C44" s="487"/>
      <c r="D44" s="487"/>
      <c r="E44" s="487"/>
      <c r="F44" s="487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6" t="str">
        <f>+VLOOKUP($A45,[1]Master!$D$25:$G$223,4,FALSE)</f>
        <v>Prava iz oblasti penzijskog i invalidskog osiguranja</v>
      </c>
      <c r="C45" s="487"/>
      <c r="D45" s="487"/>
      <c r="E45" s="487"/>
      <c r="F45" s="487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6" t="str">
        <f>+VLOOKUP($A46,[1]Master!$D$25:$G$223,4,FALSE)</f>
        <v>Ostala prava iz oblasti zdravstvene zaštite</v>
      </c>
      <c r="C46" s="487"/>
      <c r="D46" s="487"/>
      <c r="E46" s="487"/>
      <c r="F46" s="487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6" t="str">
        <f>+VLOOKUP($A47,[1]Master!$D$25:$G$223,4,FALSE)</f>
        <v>Ostala prava iz zdravstvenog osiguranja</v>
      </c>
      <c r="C47" s="487"/>
      <c r="D47" s="487"/>
      <c r="E47" s="487"/>
      <c r="F47" s="487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4" t="str">
        <f>+VLOOKUP($A48,[1]Master!$D$25:$G$223,4,FALSE)</f>
        <v xml:space="preserve">Transferi institucijama, pojedincima, nevladinom i javnom sektoru </v>
      </c>
      <c r="C48" s="485"/>
      <c r="D48" s="485"/>
      <c r="E48" s="485"/>
      <c r="F48" s="485"/>
      <c r="G48" s="426">
        <v>5367351.82</v>
      </c>
      <c r="H48" s="426">
        <v>7878426.2999999998</v>
      </c>
      <c r="I48" s="426">
        <v>12624632.02</v>
      </c>
      <c r="J48" s="426">
        <v>15717196.880000001</v>
      </c>
      <c r="K48" s="426">
        <v>10712461.529999999</v>
      </c>
      <c r="L48" s="426">
        <v>13588572.92</v>
      </c>
      <c r="M48" s="426">
        <v>17165199.760000002</v>
      </c>
      <c r="N48" s="426">
        <v>15793377.119999999</v>
      </c>
      <c r="O48" s="426">
        <v>13743974.02</v>
      </c>
      <c r="P48" s="426">
        <v>13251144.24</v>
      </c>
      <c r="Q48" s="426">
        <v>11142113.050000001</v>
      </c>
      <c r="R48" s="426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4" t="str">
        <f>+VLOOKUP($A49,[1]Master!$D$25:$G$223,4,FALSE)</f>
        <v>Kapitalni budžet</v>
      </c>
      <c r="C49" s="485"/>
      <c r="D49" s="485"/>
      <c r="E49" s="485"/>
      <c r="F49" s="485"/>
      <c r="G49" s="426">
        <v>109644.44</v>
      </c>
      <c r="H49" s="426">
        <v>1491590.34</v>
      </c>
      <c r="I49" s="426">
        <v>7362820.4900000002</v>
      </c>
      <c r="J49" s="426">
        <v>6918517.2599999998</v>
      </c>
      <c r="K49" s="426">
        <v>2511744.17</v>
      </c>
      <c r="L49" s="426">
        <v>22683622.390000001</v>
      </c>
      <c r="M49" s="426">
        <v>10754440.220000001</v>
      </c>
      <c r="N49" s="426">
        <v>29296079.120000001</v>
      </c>
      <c r="O49" s="426">
        <v>19940301.670000002</v>
      </c>
      <c r="P49" s="426">
        <v>29993285.289999999</v>
      </c>
      <c r="Q49" s="426">
        <v>37935759.630000003</v>
      </c>
      <c r="R49" s="426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4" t="str">
        <f>+VLOOKUP($A50,[1]Master!$D$25:$G$223,4,FALSE)</f>
        <v>Pozajmice i krediti</v>
      </c>
      <c r="C50" s="455"/>
      <c r="D50" s="455"/>
      <c r="E50" s="455"/>
      <c r="F50" s="455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4" t="str">
        <f>+VLOOKUP($A51,[1]Master!$D$25:$G$223,4,FALSE)</f>
        <v>Rezerve</v>
      </c>
      <c r="C51" s="455"/>
      <c r="D51" s="455"/>
      <c r="E51" s="455"/>
      <c r="F51" s="455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2" t="str">
        <f>+VLOOKUP($A52,[1]Master!$D$25:$G$223,4,FALSE)</f>
        <v>Otplata garancija</v>
      </c>
      <c r="C52" s="473"/>
      <c r="D52" s="473"/>
      <c r="E52" s="473"/>
      <c r="F52" s="473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2" t="str">
        <f>+VLOOKUP($A53,[1]Master!$D$25:$G$223,4,TRUE)</f>
        <v>Otplata obaveza iz prethodnih godina</v>
      </c>
      <c r="C53" s="473"/>
      <c r="D53" s="473"/>
      <c r="E53" s="473"/>
      <c r="F53" s="473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8" t="str">
        <f>+VLOOKUP($A54,[1]Master!$D$25:$G$225,4,FALSE)</f>
        <v>Neto povećanje obaveza</v>
      </c>
      <c r="C54" s="559"/>
      <c r="D54" s="559"/>
      <c r="E54" s="559"/>
      <c r="F54" s="559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8" t="str">
        <f>+VLOOKUP($A55,[1]Master!$D$25:$G$223,4,FALSE)</f>
        <v>Suficit / deficit</v>
      </c>
      <c r="C55" s="479"/>
      <c r="D55" s="479"/>
      <c r="E55" s="479"/>
      <c r="F55" s="479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41" t="s">
        <v>778</v>
      </c>
      <c r="C56" s="442"/>
      <c r="D56" s="442"/>
      <c r="E56" s="442"/>
      <c r="F56" s="442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80" t="str">
        <f>+VLOOKUP($A57,[1]Master!$D$25:$G$223,4,FALSE)</f>
        <v>Primarni bilans</v>
      </c>
      <c r="C57" s="481"/>
      <c r="D57" s="481"/>
      <c r="E57" s="481"/>
      <c r="F57" s="481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2" t="str">
        <f>+VLOOKUP($A58,[1]Master!$D$25:$G$223,4,FALSE)</f>
        <v>Otplata dugova</v>
      </c>
      <c r="C58" s="483"/>
      <c r="D58" s="483"/>
      <c r="E58" s="483"/>
      <c r="F58" s="483"/>
      <c r="G58" s="428">
        <f t="shared" ref="G58:R58" si="12">+SUM(G59:G60)</f>
        <v>18311638.189999998</v>
      </c>
      <c r="H58" s="428">
        <f t="shared" si="12"/>
        <v>42352594.400000006</v>
      </c>
      <c r="I58" s="428">
        <f t="shared" si="12"/>
        <v>36492059.539999999</v>
      </c>
      <c r="J58" s="428">
        <f t="shared" si="12"/>
        <v>65432249.010000005</v>
      </c>
      <c r="K58" s="428">
        <f t="shared" si="12"/>
        <v>6070178.8200000003</v>
      </c>
      <c r="L58" s="428">
        <f t="shared" si="12"/>
        <v>29898962.890000001</v>
      </c>
      <c r="M58" s="428">
        <f t="shared" si="12"/>
        <v>35563936.18</v>
      </c>
      <c r="N58" s="428">
        <f t="shared" si="12"/>
        <v>68410518.010000005</v>
      </c>
      <c r="O58" s="428">
        <f t="shared" si="12"/>
        <v>13074495.76</v>
      </c>
      <c r="P58" s="428">
        <f t="shared" si="12"/>
        <v>7199515.9700000007</v>
      </c>
      <c r="Q58" s="428">
        <f t="shared" si="12"/>
        <v>7022219.0999999996</v>
      </c>
      <c r="R58" s="428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70" t="str">
        <f>+VLOOKUP($A59,[1]Master!$D$25:$G$223,4,FALSE)</f>
        <v>Otplata hartija od vrijednosti i kredita rezidentima</v>
      </c>
      <c r="C59" s="471"/>
      <c r="D59" s="471"/>
      <c r="E59" s="471"/>
      <c r="F59" s="471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4" t="str">
        <f>+VLOOKUP($A60,[1]Master!$D$25:$G$223,4,FALSE)</f>
        <v>Otplata hartija od vrijednosti i kredita nerezidentima</v>
      </c>
      <c r="C60" s="455"/>
      <c r="D60" s="455"/>
      <c r="E60" s="455"/>
      <c r="F60" s="455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4" t="str">
        <f>+VLOOKUP($A61,[1]Master!$D$25:$G$223,4,FALSE)</f>
        <v>Nedostajuća sredstva</v>
      </c>
      <c r="C61" s="475"/>
      <c r="D61" s="475"/>
      <c r="E61" s="475"/>
      <c r="F61" s="475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6" t="str">
        <f>+VLOOKUP($A62,[1]Master!$D$25:$G$223,4,FALSE)</f>
        <v>Finansiranje</v>
      </c>
      <c r="C62" s="477"/>
      <c r="D62" s="477"/>
      <c r="E62" s="477"/>
      <c r="F62" s="477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70" t="str">
        <f>+VLOOKUP($A63,[1]Master!$D$25:$G$223,4,FALSE)</f>
        <v>Pozajmice i krediti od domaćih izvora</v>
      </c>
      <c r="C63" s="471"/>
      <c r="D63" s="471"/>
      <c r="E63" s="471"/>
      <c r="F63" s="471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4" t="str">
        <f>+VLOOKUP($A64,[1]Master!$D$25:$G$223,4,FALSE)</f>
        <v>Pozajmice i krediti od inostranih izvora</v>
      </c>
      <c r="C64" s="455"/>
      <c r="D64" s="455"/>
      <c r="E64" s="455"/>
      <c r="F64" s="455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4" t="str">
        <f>+VLOOKUP($A65,[1]Master!$D$25:$G$223,4,FALSE)</f>
        <v>Primici od prodaje imovine</v>
      </c>
      <c r="C65" s="455"/>
      <c r="D65" s="455"/>
      <c r="E65" s="455"/>
      <c r="F65" s="455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38" t="str">
        <f>+[1]Master!G250</f>
        <v>Plan ostvarenja budžeta</v>
      </c>
      <c r="C102" s="539"/>
      <c r="D102" s="539"/>
      <c r="E102" s="539"/>
      <c r="F102" s="539"/>
      <c r="G102" s="532">
        <v>2017</v>
      </c>
      <c r="H102" s="546"/>
      <c r="I102" s="546"/>
      <c r="J102" s="546"/>
      <c r="K102" s="546"/>
      <c r="L102" s="546"/>
      <c r="M102" s="546"/>
      <c r="N102" s="546"/>
      <c r="O102" s="546"/>
      <c r="P102" s="546"/>
      <c r="Q102" s="546"/>
      <c r="R102" s="533"/>
      <c r="S102" s="115" t="str">
        <f>+S7</f>
        <v>BDP</v>
      </c>
      <c r="T102" s="116">
        <f>+T7</f>
        <v>4299000000</v>
      </c>
    </row>
    <row r="103" spans="1:21" ht="15.75" customHeight="1">
      <c r="B103" s="540"/>
      <c r="C103" s="541"/>
      <c r="D103" s="541"/>
      <c r="E103" s="541"/>
      <c r="F103" s="542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2" t="str">
        <f>+[1]Master!G244</f>
        <v>Jan - Dec</v>
      </c>
      <c r="T103" s="533">
        <f>+T8</f>
        <v>0</v>
      </c>
    </row>
    <row r="104" spans="1:21" ht="13.5" thickBot="1">
      <c r="B104" s="543"/>
      <c r="C104" s="544"/>
      <c r="D104" s="544"/>
      <c r="E104" s="544"/>
      <c r="F104" s="545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4" t="str">
        <f>+VLOOKUP(LEFT($A105,LEN(A105)-1)*1,[1]Master!$D$25:$G$223,4,FALSE)</f>
        <v>Prihodi budžeta</v>
      </c>
      <c r="C105" s="535"/>
      <c r="D105" s="535"/>
      <c r="E105" s="535"/>
      <c r="F105" s="535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6" t="str">
        <f>+VLOOKUP(LEFT($A106,LEN(A106)-1)*1,[1]Master!$D$25:$G$223,4,FALSE)</f>
        <v>Porezi</v>
      </c>
      <c r="C106" s="537"/>
      <c r="D106" s="537"/>
      <c r="E106" s="537"/>
      <c r="F106" s="537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18" t="str">
        <f>+VLOOKUP(LEFT($A107,LEN(A107)-1)*1,[1]Master!$D$25:$G$223,4,FALSE)</f>
        <v>Porez na dohodak fizičkih lica</v>
      </c>
      <c r="C107" s="519"/>
      <c r="D107" s="519"/>
      <c r="E107" s="519"/>
      <c r="F107" s="519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18" t="str">
        <f>+VLOOKUP(LEFT($A108,LEN(A108)-1)*1,[1]Master!$D$25:$G$223,4,FALSE)</f>
        <v>Porez na dobit pravnih lica</v>
      </c>
      <c r="C108" s="519"/>
      <c r="D108" s="519"/>
      <c r="E108" s="519"/>
      <c r="F108" s="519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18" t="str">
        <f>+VLOOKUP(LEFT($A109,LEN(A109)-1)*1,[1]Master!$D$25:$G$223,4,FALSE)</f>
        <v>Porez na promet nepokretnosti</v>
      </c>
      <c r="C109" s="519"/>
      <c r="D109" s="519"/>
      <c r="E109" s="519"/>
      <c r="F109" s="519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18" t="str">
        <f>+VLOOKUP(LEFT($A110,LEN(A110)-1)*1,[1]Master!$D$25:$G$223,4,FALSE)</f>
        <v>Porez na dodatu vrijednost</v>
      </c>
      <c r="C110" s="519"/>
      <c r="D110" s="519"/>
      <c r="E110" s="519"/>
      <c r="F110" s="519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18" t="str">
        <f>+VLOOKUP(LEFT($A111,LEN(A111)-1)*1,[1]Master!$D$25:$G$223,4,FALSE)</f>
        <v>Akcize</v>
      </c>
      <c r="C111" s="519"/>
      <c r="D111" s="519"/>
      <c r="E111" s="519"/>
      <c r="F111" s="519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18" t="str">
        <f>+VLOOKUP(LEFT($A112,LEN(A112)-1)*1,[1]Master!$D$25:$G$223,4,FALSE)</f>
        <v>Porez na međunarodnu trgovinu i transakcije</v>
      </c>
      <c r="C112" s="519"/>
      <c r="D112" s="519"/>
      <c r="E112" s="519"/>
      <c r="F112" s="519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18" t="str">
        <f>+VLOOKUP(LEFT($A113,LEN(A113)-1)*1,[1]Master!$D$25:$G$223,4,FALSE)</f>
        <v>Ostali državni porezi</v>
      </c>
      <c r="C113" s="519"/>
      <c r="D113" s="519"/>
      <c r="E113" s="519"/>
      <c r="F113" s="519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30" t="str">
        <f>+VLOOKUP(LEFT($A114,LEN(A114)-1)*1,[1]Master!$D$25:$G$223,4,FALSE)</f>
        <v>Doprinosi</v>
      </c>
      <c r="C114" s="531"/>
      <c r="D114" s="531"/>
      <c r="E114" s="531"/>
      <c r="F114" s="531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18" t="str">
        <f>+VLOOKUP(LEFT($A115,LEN(A115)-1)*1,[1]Master!$D$25:$G$223,4,FALSE)</f>
        <v>Doprinosi za penzijsko i invalidsko osiguranje</v>
      </c>
      <c r="C115" s="519"/>
      <c r="D115" s="519"/>
      <c r="E115" s="519"/>
      <c r="F115" s="519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18" t="str">
        <f>+VLOOKUP(LEFT($A116,LEN(A116)-1)*1,[1]Master!$D$25:$G$223,4,FALSE)</f>
        <v>Doprinosi za zdravstveno osiguranje</v>
      </c>
      <c r="C116" s="519"/>
      <c r="D116" s="519"/>
      <c r="E116" s="519"/>
      <c r="F116" s="519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18" t="str">
        <f>+VLOOKUP(LEFT($A117,LEN(A117)-1)*1,[1]Master!$D$25:$G$223,4,FALSE)</f>
        <v>Doprinosi za osiguranje od nezaposlenosti</v>
      </c>
      <c r="C117" s="519"/>
      <c r="D117" s="519"/>
      <c r="E117" s="519"/>
      <c r="F117" s="519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18" t="str">
        <f>+VLOOKUP(LEFT($A118,LEN(A118)-1)*1,[1]Master!$D$25:$G$223,4,FALSE)</f>
        <v>Ostali doprinosi</v>
      </c>
      <c r="C118" s="519"/>
      <c r="D118" s="519"/>
      <c r="E118" s="519"/>
      <c r="F118" s="519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22" t="str">
        <f>+VLOOKUP(LEFT($A119,LEN(A119)-1)*1,[1]Master!$D$25:$G$223,4,FALSE)</f>
        <v>Takse</v>
      </c>
      <c r="C119" s="523"/>
      <c r="D119" s="523"/>
      <c r="E119" s="523"/>
      <c r="F119" s="523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22" t="str">
        <f>+VLOOKUP(LEFT($A120,LEN(A120)-1)*1,[1]Master!$D$25:$G$223,4,FALSE)</f>
        <v>Naknade</v>
      </c>
      <c r="C120" s="523"/>
      <c r="D120" s="523"/>
      <c r="E120" s="523"/>
      <c r="F120" s="523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22" t="str">
        <f>+VLOOKUP(LEFT($A121,LEN(A121)-1)*1,[1]Master!$D$25:$G$223,4,FALSE)</f>
        <v>Ostali prihodi</v>
      </c>
      <c r="C121" s="523"/>
      <c r="D121" s="523"/>
      <c r="E121" s="523"/>
      <c r="F121" s="523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22" t="str">
        <f>+VLOOKUP(LEFT($A122,LEN(A122)-1)*1,[1]Master!$D$25:$G$223,4,FALSE)</f>
        <v>Primici od otplate kredita i sredstva prenesena iz prethodne godine</v>
      </c>
      <c r="C122" s="523"/>
      <c r="D122" s="523"/>
      <c r="E122" s="523"/>
      <c r="F122" s="523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4" t="str">
        <f>+VLOOKUP(LEFT($A123,LEN(A123)-1)*1,[1]Master!$D$25:$G$223,4,FALSE)</f>
        <v>Donacije i transferi</v>
      </c>
      <c r="C123" s="525"/>
      <c r="D123" s="525"/>
      <c r="E123" s="525"/>
      <c r="F123" s="525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08" t="str">
        <f>+VLOOKUP(LEFT($A124,LEN(A124)-1)*1,[1]Master!$D$25:$G$223,4,FALSE)</f>
        <v>Budžetki izdaci</v>
      </c>
      <c r="C124" s="509"/>
      <c r="D124" s="509"/>
      <c r="E124" s="509"/>
      <c r="F124" s="509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6" t="str">
        <f>+VLOOKUP(LEFT($A125,LEN(A125)-1)*1,[1]Master!$D$25:$G$223,4,FALSE)</f>
        <v>Tekući izdaci</v>
      </c>
      <c r="C125" s="527"/>
      <c r="D125" s="527"/>
      <c r="E125" s="527"/>
      <c r="F125" s="527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28" t="str">
        <f>+VLOOKUP(LEFT($A126,LEN(A126)-1)*1,[1]Master!$D$25:$G$223,4,FALSE)</f>
        <v>Tekući budžetski izdaci</v>
      </c>
      <c r="C126" s="529"/>
      <c r="D126" s="529"/>
      <c r="E126" s="529"/>
      <c r="F126" s="529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18" t="str">
        <f>+VLOOKUP(LEFT($A127,LEN(A127)-1)*1,[1]Master!$D$25:$G$223,4,FALSE)</f>
        <v>Bruto zarade i doprinosi na teret poslodavca</v>
      </c>
      <c r="C127" s="519"/>
      <c r="D127" s="519"/>
      <c r="E127" s="519"/>
      <c r="F127" s="519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18" t="str">
        <f>+VLOOKUP(LEFT($A128,LEN(A128)-1)*1,[1]Master!$D$25:$G$223,4,FALSE)</f>
        <v>Ostala lična primanja</v>
      </c>
      <c r="C128" s="519"/>
      <c r="D128" s="519"/>
      <c r="E128" s="519"/>
      <c r="F128" s="519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18" t="str">
        <f>+VLOOKUP(LEFT($A129,LEN(A129)-1)*1,[1]Master!$D$25:$G$223,4,FALSE)</f>
        <v>Rashodi za materijal</v>
      </c>
      <c r="C129" s="519"/>
      <c r="D129" s="519"/>
      <c r="E129" s="519"/>
      <c r="F129" s="519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18" t="str">
        <f>+VLOOKUP(LEFT($A130,LEN(A130)-1)*1,[1]Master!$D$25:$G$223,4,FALSE)</f>
        <v>Rashodi za usluge</v>
      </c>
      <c r="C130" s="519"/>
      <c r="D130" s="519"/>
      <c r="E130" s="519"/>
      <c r="F130" s="519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18" t="str">
        <f>+VLOOKUP(LEFT($A131,LEN(A131)-1)*1,[1]Master!$D$25:$G$223,4,FALSE)</f>
        <v>Rashodi za tekuće održavanje</v>
      </c>
      <c r="C131" s="519"/>
      <c r="D131" s="519"/>
      <c r="E131" s="519"/>
      <c r="F131" s="519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18" t="str">
        <f>+VLOOKUP(LEFT($A132,LEN(A132)-1)*1,[1]Master!$D$25:$G$223,4,FALSE)</f>
        <v>Kamate</v>
      </c>
      <c r="C132" s="519"/>
      <c r="D132" s="519"/>
      <c r="E132" s="519"/>
      <c r="F132" s="519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18" t="str">
        <f>+VLOOKUP(LEFT($A133,LEN(A133)-1)*1,[1]Master!$D$25:$G$223,4,FALSE)</f>
        <v>Renta</v>
      </c>
      <c r="C133" s="519"/>
      <c r="D133" s="519"/>
      <c r="E133" s="519"/>
      <c r="F133" s="519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18" t="str">
        <f>+VLOOKUP(LEFT($A134,LEN(A134)-1)*1,[1]Master!$D$25:$G$223,4,FALSE)</f>
        <v>Subvencije</v>
      </c>
      <c r="C134" s="519"/>
      <c r="D134" s="519"/>
      <c r="E134" s="519"/>
      <c r="F134" s="519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18" t="str">
        <f>+VLOOKUP(LEFT($A135,LEN(A135)-1)*1,[1]Master!$D$25:$G$223,4,FALSE)</f>
        <v>Ostali izdaci</v>
      </c>
      <c r="C135" s="519"/>
      <c r="D135" s="519"/>
      <c r="E135" s="519"/>
      <c r="F135" s="519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18" t="str">
        <f>+VLOOKUP(LEFT($A136,LEN(A136)-1)*1,[1]Master!$D$25:$G$223,4,FALSE)</f>
        <v>Kapitalni izdaci u tekućem budžetu</v>
      </c>
      <c r="C136" s="519"/>
      <c r="D136" s="519"/>
      <c r="E136" s="519"/>
      <c r="F136" s="519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6" t="str">
        <f>+VLOOKUP(LEFT($A137,LEN(A137)-1)*1,[1]Master!$D$25:$G$223,4,FALSE)</f>
        <v>Transferi za socijalnu zaštitu</v>
      </c>
      <c r="C137" s="517"/>
      <c r="D137" s="517"/>
      <c r="E137" s="517"/>
      <c r="F137" s="517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18" t="str">
        <f>+VLOOKUP(LEFT($A138,LEN(A138)-1)*1,[1]Master!$D$25:$G$223,4,FALSE)</f>
        <v>Prava iz oblasti socijalne zaštite</v>
      </c>
      <c r="C138" s="519"/>
      <c r="D138" s="519"/>
      <c r="E138" s="519"/>
      <c r="F138" s="519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18" t="str">
        <f>+VLOOKUP(LEFT($A139,LEN(A139)-1)*1,[1]Master!$D$25:$G$223,4,FALSE)</f>
        <v>Sredstva za tehnološke viškove</v>
      </c>
      <c r="C139" s="519"/>
      <c r="D139" s="519"/>
      <c r="E139" s="519"/>
      <c r="F139" s="519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18" t="str">
        <f>+VLOOKUP(LEFT($A140,LEN(A140)-1)*1,[1]Master!$D$25:$G$223,4,FALSE)</f>
        <v>Prava iz oblasti penzijskog i invalidskog osiguranja</v>
      </c>
      <c r="C140" s="519"/>
      <c r="D140" s="519"/>
      <c r="E140" s="519"/>
      <c r="F140" s="519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18" t="str">
        <f>+VLOOKUP(LEFT($A141,LEN(A141)-1)*1,[1]Master!$D$25:$G$223,4,FALSE)</f>
        <v>Ostala prava iz oblasti zdravstvene zaštite</v>
      </c>
      <c r="C141" s="519"/>
      <c r="D141" s="519"/>
      <c r="E141" s="519"/>
      <c r="F141" s="519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18" t="str">
        <f>+VLOOKUP(LEFT($A142,LEN(A142)-1)*1,[1]Master!$D$25:$G$223,4,FALSE)</f>
        <v>Ostala prava iz zdravstvenog osiguranja</v>
      </c>
      <c r="C142" s="519"/>
      <c r="D142" s="519"/>
      <c r="E142" s="519"/>
      <c r="F142" s="519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20" t="str">
        <f>+VLOOKUP(LEFT($A143,LEN(A143)-1)*1,[1]Master!$D$25:$G$223,4,FALSE)</f>
        <v xml:space="preserve">Transferi institucijama, pojedincima, nevladinom i javnom sektoru </v>
      </c>
      <c r="C143" s="521"/>
      <c r="D143" s="521"/>
      <c r="E143" s="521"/>
      <c r="F143" s="521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20" t="str">
        <f>+VLOOKUP(LEFT($A144,LEN(A144)-1)*1,[1]Master!$D$25:$G$223,4,FALSE)</f>
        <v>Kapitalni budžet</v>
      </c>
      <c r="C144" s="521"/>
      <c r="D144" s="521"/>
      <c r="E144" s="521"/>
      <c r="F144" s="521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4" t="str">
        <f>+VLOOKUP(LEFT($A145,LEN(A145)-1)*1,[1]Master!$D$25:$G$223,4,FALSE)</f>
        <v>Pozajmice i krediti</v>
      </c>
      <c r="C145" s="505"/>
      <c r="D145" s="505"/>
      <c r="E145" s="505"/>
      <c r="F145" s="505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4" t="str">
        <f>+VLOOKUP(LEFT($A146,LEN(A146)-1)*1,[1]Master!$D$25:$G$223,4,FALSE)</f>
        <v>Rezerve</v>
      </c>
      <c r="C146" s="505"/>
      <c r="D146" s="505"/>
      <c r="E146" s="505"/>
      <c r="F146" s="505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4" t="str">
        <f>+VLOOKUP(LEFT($A147,LEN(A147)-1)*1,[1]Master!$D$25:$G$223,4,FALSE)</f>
        <v>Otplata garancija</v>
      </c>
      <c r="C147" s="505"/>
      <c r="D147" s="505"/>
      <c r="E147" s="505"/>
      <c r="F147" s="505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20" t="s">
        <v>699</v>
      </c>
      <c r="C148" s="421"/>
      <c r="D148" s="421"/>
      <c r="E148" s="421"/>
      <c r="F148" s="421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2" t="str">
        <f>+VLOOKUP(LEFT($A149,LEN(A149)-1)*1,[1]Master!$D$25:$G$223,4,FALSE)</f>
        <v>Suficit / deficit</v>
      </c>
      <c r="C149" s="513"/>
      <c r="D149" s="513"/>
      <c r="E149" s="513"/>
      <c r="F149" s="513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4" t="str">
        <f>+VLOOKUP(LEFT($A150,LEN(A150)-1)*1,[1]Master!$D$25:$G$223,4,FALSE)</f>
        <v>Primarni bilans</v>
      </c>
      <c r="C150" s="515"/>
      <c r="D150" s="515"/>
      <c r="E150" s="515"/>
      <c r="F150" s="515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6" t="str">
        <f>+VLOOKUP(LEFT($A151,LEN(A151)-1)*1,[1]Master!$D$25:$G$223,4,FALSE)</f>
        <v>Otplata dugova</v>
      </c>
      <c r="C151" s="517"/>
      <c r="D151" s="517"/>
      <c r="E151" s="517"/>
      <c r="F151" s="517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10" t="str">
        <f>+VLOOKUP(LEFT($A152,LEN(A152)-1)*1,[1]Master!$D$25:$G$223,4,FALSE)</f>
        <v>Otplata hartija od vrijednosti i kredita rezidentima</v>
      </c>
      <c r="C152" s="511"/>
      <c r="D152" s="511"/>
      <c r="E152" s="511"/>
      <c r="F152" s="511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4" t="str">
        <f>+VLOOKUP(LEFT($A153,LEN(A153)-1)*1,[1]Master!$D$25:$G$223,4,FALSE)</f>
        <v>Otplata hartija od vrijednosti i kredita nerezidentima</v>
      </c>
      <c r="C153" s="505"/>
      <c r="D153" s="505"/>
      <c r="E153" s="505"/>
      <c r="F153" s="505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8" t="str">
        <f>+VLOOKUP(LEFT($A154,LEN(A154)-1)*1,[1]Master!$D$25:$G$223,4,FALSE)</f>
        <v>Otplata obaveza iz prethodnih godina</v>
      </c>
      <c r="C154" s="559"/>
      <c r="D154" s="559"/>
      <c r="E154" s="559"/>
      <c r="F154" s="559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6" t="str">
        <f>+VLOOKUP(LEFT($A155,LEN(A155)-1)*1,[1]Master!$D$25:$G$223,4,FALSE)</f>
        <v>Nedostajuća sredstva</v>
      </c>
      <c r="C155" s="507"/>
      <c r="D155" s="507"/>
      <c r="E155" s="507"/>
      <c r="F155" s="507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08" t="str">
        <f>+VLOOKUP(LEFT($A156,LEN(A156)-1)*1,[1]Master!$D$25:$G$223,4,FALSE)</f>
        <v>Finansiranje</v>
      </c>
      <c r="C156" s="509"/>
      <c r="D156" s="509"/>
      <c r="E156" s="509"/>
      <c r="F156" s="509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10" t="str">
        <f>+VLOOKUP(LEFT($A157,LEN(A157)-1)*1,[1]Master!$D$25:$G$223,4,FALSE)</f>
        <v>Pozajmice i krediti od domaćih izvora</v>
      </c>
      <c r="C157" s="511"/>
      <c r="D157" s="511"/>
      <c r="E157" s="511"/>
      <c r="F157" s="511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4" t="str">
        <f>+VLOOKUP(LEFT($A158,LEN(A158)-1)*1,[1]Master!$D$25:$G$223,4,FALSE)</f>
        <v>Pozajmice i krediti od inostranih izvora</v>
      </c>
      <c r="C158" s="505"/>
      <c r="D158" s="505"/>
      <c r="E158" s="505"/>
      <c r="F158" s="505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4" t="str">
        <f>+VLOOKUP(LEFT($A159,LEN(A159)-1)*1,[1]Master!$D$25:$G$223,4,FALSE)</f>
        <v>Primici od prodaje imovine</v>
      </c>
      <c r="C159" s="505"/>
      <c r="D159" s="505"/>
      <c r="E159" s="505"/>
      <c r="F159" s="505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V5" sqref="V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708</v>
      </c>
      <c r="H6" s="259" t="s">
        <v>709</v>
      </c>
      <c r="I6" s="259" t="s">
        <v>710</v>
      </c>
      <c r="J6" s="259" t="s">
        <v>711</v>
      </c>
      <c r="K6" s="259" t="s">
        <v>712</v>
      </c>
      <c r="L6" s="259" t="s">
        <v>713</v>
      </c>
      <c r="M6" s="259" t="s">
        <v>714</v>
      </c>
      <c r="N6" s="259" t="s">
        <v>715</v>
      </c>
      <c r="O6" s="259" t="s">
        <v>716</v>
      </c>
      <c r="P6" s="259" t="s">
        <v>717</v>
      </c>
      <c r="Q6" s="259" t="s">
        <v>718</v>
      </c>
      <c r="R6" s="259" t="s">
        <v>719</v>
      </c>
      <c r="S6" s="258"/>
      <c r="T6" s="258"/>
    </row>
    <row r="7" spans="1:20" ht="15" customHeight="1" thickBot="1">
      <c r="A7" s="169"/>
      <c r="B7" s="557" t="str">
        <f>+Master!G249</f>
        <v>Budget Execution</v>
      </c>
      <c r="C7" s="457"/>
      <c r="D7" s="457"/>
      <c r="E7" s="457"/>
      <c r="F7" s="457"/>
      <c r="G7" s="465">
        <v>2016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+Master!G246</f>
        <v>GDP</v>
      </c>
      <c r="T7" s="261">
        <v>3954200000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5" t="str">
        <f>+Master!G243</f>
        <v>Jan - Oct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8" t="str">
        <f>+VLOOKUP($A10,Master!$D$25:$G$223,4,FALSE)</f>
        <v>Total Revenues</v>
      </c>
      <c r="C10" s="499"/>
      <c r="D10" s="499"/>
      <c r="E10" s="499"/>
      <c r="F10" s="499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500" t="str">
        <f>+VLOOKUP($A11,Master!$D$25:$G$223,4,FALSE)</f>
        <v>Taxes</v>
      </c>
      <c r="C11" s="501"/>
      <c r="D11" s="501"/>
      <c r="E11" s="501"/>
      <c r="F11" s="501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6" t="str">
        <f>+VLOOKUP($A12,Master!$D$25:$G$223,4,FALSE)</f>
        <v>Personal Income Tax</v>
      </c>
      <c r="C12" s="487"/>
      <c r="D12" s="487"/>
      <c r="E12" s="487"/>
      <c r="F12" s="487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6" t="str">
        <f>+VLOOKUP($A13,Master!$D$25:$G$223,4,FALSE)</f>
        <v>Corporate Income Tax</v>
      </c>
      <c r="C13" s="487"/>
      <c r="D13" s="487"/>
      <c r="E13" s="487"/>
      <c r="F13" s="487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6" t="str">
        <f>+VLOOKUP($A14,Master!$D$25:$G$223,4,FALSE)</f>
        <v xml:space="preserve">Taxes on Sales of Property </v>
      </c>
      <c r="C14" s="487"/>
      <c r="D14" s="487"/>
      <c r="E14" s="487"/>
      <c r="F14" s="487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6" t="str">
        <f>+VLOOKUP($A15,Master!$D$25:$G$223,4,FALSE)</f>
        <v>Value Added Tax</v>
      </c>
      <c r="C15" s="487"/>
      <c r="D15" s="487"/>
      <c r="E15" s="487"/>
      <c r="F15" s="487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6" t="str">
        <f>+VLOOKUP($A16,Master!$D$25:$G$223,4,FALSE)</f>
        <v>Excises</v>
      </c>
      <c r="C16" s="487"/>
      <c r="D16" s="487"/>
      <c r="E16" s="487"/>
      <c r="F16" s="487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6" t="str">
        <f>+VLOOKUP($A17,Master!$D$25:$G$223,4,FALSE)</f>
        <v>Tax on International Trade and Transactions</v>
      </c>
      <c r="C17" s="487"/>
      <c r="D17" s="487"/>
      <c r="E17" s="487"/>
      <c r="F17" s="487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6" t="str">
        <f>+VLOOKUP($A18,Master!$D$25:$G$223,4,FALSE)</f>
        <v>Other Republic Taxes</v>
      </c>
      <c r="C18" s="487"/>
      <c r="D18" s="487"/>
      <c r="E18" s="487"/>
      <c r="F18" s="487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6" t="str">
        <f>+VLOOKUP($A19,Master!$D$25:$G$223,4,FALSE)</f>
        <v>Contributions</v>
      </c>
      <c r="C19" s="497"/>
      <c r="D19" s="497"/>
      <c r="E19" s="497"/>
      <c r="F19" s="497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6" t="str">
        <f>+VLOOKUP($A20,Master!$D$25:$G$223,4,FALSE)</f>
        <v>Contributions for Pension and Disability Insurance</v>
      </c>
      <c r="C20" s="487"/>
      <c r="D20" s="487"/>
      <c r="E20" s="487"/>
      <c r="F20" s="487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6" t="str">
        <f>+VLOOKUP($A21,Master!$D$25:$G$223,4,FALSE)</f>
        <v>Contributions for Health Insurance</v>
      </c>
      <c r="C21" s="487"/>
      <c r="D21" s="487"/>
      <c r="E21" s="487"/>
      <c r="F21" s="487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6" t="str">
        <f>+VLOOKUP($A22,Master!$D$25:$G$223,4,FALSE)</f>
        <v>Contributions for  Unemployment Insurance</v>
      </c>
      <c r="C22" s="487"/>
      <c r="D22" s="487"/>
      <c r="E22" s="487"/>
      <c r="F22" s="487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6" t="str">
        <f>+VLOOKUP($A23,Master!$D$25:$G$223,4,FALSE)</f>
        <v>Other contributions</v>
      </c>
      <c r="C23" s="487"/>
      <c r="D23" s="487"/>
      <c r="E23" s="487"/>
      <c r="F23" s="487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88" t="str">
        <f>+VLOOKUP($A24,Master!$D$25:$G$223,4,FALSE)</f>
        <v>Duties</v>
      </c>
      <c r="C24" s="489"/>
      <c r="D24" s="489"/>
      <c r="E24" s="489"/>
      <c r="F24" s="489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88" t="str">
        <f>+VLOOKUP($A25,Master!$D$25:$G$223,4,FALSE)</f>
        <v>Fees</v>
      </c>
      <c r="C25" s="489"/>
      <c r="D25" s="489"/>
      <c r="E25" s="489"/>
      <c r="F25" s="489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88" t="str">
        <f>+VLOOKUP($A26,Master!$D$25:$G$223,4,FALSE)</f>
        <v>Other revenues</v>
      </c>
      <c r="C26" s="489"/>
      <c r="D26" s="489"/>
      <c r="E26" s="489"/>
      <c r="F26" s="489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88" t="str">
        <f>+VLOOKUP($A27,Master!$D$25:$G$223,4,FALSE)</f>
        <v>Receipts from Repayment of Loans and Funds Carried over from Previous Year</v>
      </c>
      <c r="C27" s="489"/>
      <c r="D27" s="489"/>
      <c r="E27" s="489"/>
      <c r="F27" s="489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90" t="str">
        <f>+VLOOKUP($A28,Master!$D$25:$G$223,4,FALSE)</f>
        <v>Grants and Transfers</v>
      </c>
      <c r="C28" s="491"/>
      <c r="D28" s="491"/>
      <c r="E28" s="491"/>
      <c r="F28" s="491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6" t="str">
        <f>+VLOOKUP($A29,Master!$D$25:$G$223,4,FALSE)</f>
        <v>Total Expenditures</v>
      </c>
      <c r="C29" s="477"/>
      <c r="D29" s="477"/>
      <c r="E29" s="477"/>
      <c r="F29" s="477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92" t="str">
        <f>+VLOOKUP($A30,Master!$D$25:$G$223,4,FALSE)</f>
        <v>Current Expenditures</v>
      </c>
      <c r="C30" s="493"/>
      <c r="D30" s="493"/>
      <c r="E30" s="493"/>
      <c r="F30" s="493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4" t="str">
        <f>+VLOOKUP($A31,Master!$D$25:$G$223,4,FALSE)</f>
        <v>Current Budgetary Expenditures</v>
      </c>
      <c r="C31" s="495"/>
      <c r="D31" s="495"/>
      <c r="E31" s="495"/>
      <c r="F31" s="495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6" t="str">
        <f>+VLOOKUP($A32,Master!$D$25:$G$223,4,FALSE)</f>
        <v>Gross Salaries and Contributions</v>
      </c>
      <c r="C32" s="487"/>
      <c r="D32" s="487"/>
      <c r="E32" s="487"/>
      <c r="F32" s="487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6" t="str">
        <f>+VLOOKUP($A33,Master!$D$25:$G$223,4,FALSE)</f>
        <v>Other Personal Income</v>
      </c>
      <c r="C33" s="487"/>
      <c r="D33" s="487"/>
      <c r="E33" s="487"/>
      <c r="F33" s="487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6" t="str">
        <f>+VLOOKUP($A34,Master!$D$25:$G$223,4,FALSE)</f>
        <v>Expenditures for Supplies</v>
      </c>
      <c r="C34" s="487"/>
      <c r="D34" s="487"/>
      <c r="E34" s="487"/>
      <c r="F34" s="487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6" t="str">
        <f>+VLOOKUP($A35,Master!$D$25:$G$223,4,FALSE)</f>
        <v>Expenditures for Services</v>
      </c>
      <c r="C35" s="487"/>
      <c r="D35" s="487"/>
      <c r="E35" s="487"/>
      <c r="F35" s="487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6" t="str">
        <f>+VLOOKUP($A36,Master!$D$25:$G$223,4,FALSE)</f>
        <v>Current Maintenance</v>
      </c>
      <c r="C36" s="487"/>
      <c r="D36" s="487"/>
      <c r="E36" s="487"/>
      <c r="F36" s="487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6" t="str">
        <f>+VLOOKUP($A37,Master!$D$25:$G$223,4,FALSE)</f>
        <v>Interests</v>
      </c>
      <c r="C37" s="487"/>
      <c r="D37" s="487"/>
      <c r="E37" s="487"/>
      <c r="F37" s="487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6" t="str">
        <f>+VLOOKUP($A38,Master!$D$25:$G$223,4,FALSE)</f>
        <v>Rent</v>
      </c>
      <c r="C38" s="487"/>
      <c r="D38" s="487"/>
      <c r="E38" s="487"/>
      <c r="F38" s="487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6" t="str">
        <f>+VLOOKUP($A39,Master!$D$25:$G$223,4,FALSE)</f>
        <v>Subsidies</v>
      </c>
      <c r="C39" s="487"/>
      <c r="D39" s="487"/>
      <c r="E39" s="487"/>
      <c r="F39" s="487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6" t="str">
        <f>+VLOOKUP($A40,Master!$D$25:$G$223,4,FALSE)</f>
        <v>Other expenditures</v>
      </c>
      <c r="C40" s="487"/>
      <c r="D40" s="487"/>
      <c r="E40" s="487"/>
      <c r="F40" s="487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6" t="str">
        <f>+VLOOKUP($A41,Master!$D$25:$G$223,4,FALSE)</f>
        <v>Current Capital Expenditure</v>
      </c>
      <c r="C41" s="487"/>
      <c r="D41" s="487"/>
      <c r="E41" s="487"/>
      <c r="F41" s="487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2" t="str">
        <f>+VLOOKUP($A42,Master!$D$25:$G$223,4,FALSE)</f>
        <v>Social Security Transfers</v>
      </c>
      <c r="C42" s="483"/>
      <c r="D42" s="483"/>
      <c r="E42" s="483"/>
      <c r="F42" s="483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6" t="str">
        <f>+VLOOKUP($A43,Master!$D$25:$G$223,4,FALSE)</f>
        <v>Social Security</v>
      </c>
      <c r="C43" s="487"/>
      <c r="D43" s="487"/>
      <c r="E43" s="487"/>
      <c r="F43" s="487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6" t="str">
        <f>+VLOOKUP($A44,Master!$D$25:$G$223,4,FALSE)</f>
        <v>Funds for redundant labor</v>
      </c>
      <c r="C44" s="487"/>
      <c r="D44" s="487"/>
      <c r="E44" s="487"/>
      <c r="F44" s="487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6" t="str">
        <f>+VLOOKUP($A45,Master!$D$25:$G$223,4,FALSE)</f>
        <v>Pension and Disability Insurance</v>
      </c>
      <c r="C45" s="487"/>
      <c r="D45" s="487"/>
      <c r="E45" s="487"/>
      <c r="F45" s="487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6" t="str">
        <f>+VLOOKUP($A46,Master!$D$25:$G$223,4,FALSE)</f>
        <v>Other Health Care Transfers</v>
      </c>
      <c r="C46" s="487"/>
      <c r="D46" s="487"/>
      <c r="E46" s="487"/>
      <c r="F46" s="487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6" t="str">
        <f>+VLOOKUP($A47,Master!$D$25:$G$223,4,FALSE)</f>
        <v>Other Health Care Insurance</v>
      </c>
      <c r="C47" s="487"/>
      <c r="D47" s="487"/>
      <c r="E47" s="487"/>
      <c r="F47" s="487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4" t="str">
        <f>+VLOOKUP($A48,Master!$D$25:$G$223,4,FALSE)</f>
        <v xml:space="preserve">Transfers to Institutions, Individuals, NGO and Public Sector </v>
      </c>
      <c r="C48" s="485"/>
      <c r="D48" s="485"/>
      <c r="E48" s="485"/>
      <c r="F48" s="485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4" t="str">
        <f>+VLOOKUP($A49,Master!$D$25:$G$223,4,FALSE)</f>
        <v>Capital Expenditure</v>
      </c>
      <c r="C49" s="485"/>
      <c r="D49" s="485"/>
      <c r="E49" s="485"/>
      <c r="F49" s="485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4" t="str">
        <f>+VLOOKUP($A50,Master!$D$25:$G$223,4,FALSE)</f>
        <v>Credits and Borrowings</v>
      </c>
      <c r="C50" s="455"/>
      <c r="D50" s="455"/>
      <c r="E50" s="455"/>
      <c r="F50" s="455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4" t="str">
        <f>+VLOOKUP($A51,Master!$D$25:$G$223,4,FALSE)</f>
        <v>Reserves</v>
      </c>
      <c r="C51" s="455"/>
      <c r="D51" s="455"/>
      <c r="E51" s="455"/>
      <c r="F51" s="455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2" t="str">
        <f>+VLOOKUP($A52,Master!$D$25:$G$223,4,FALSE)</f>
        <v>Repayment of Guarantees</v>
      </c>
      <c r="C52" s="473"/>
      <c r="D52" s="473"/>
      <c r="E52" s="473"/>
      <c r="F52" s="473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2" t="str">
        <f>+VLOOKUP($A53,Master!$D$25:$G$223,4,TRUE)</f>
        <v>Repayments of Arrears</v>
      </c>
      <c r="C53" s="473"/>
      <c r="D53" s="473"/>
      <c r="E53" s="473"/>
      <c r="F53" s="473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8" t="str">
        <f>+VLOOKUP($A54,Master!$D$25:$G$225,4,FALSE)</f>
        <v>Net increase of liabilities</v>
      </c>
      <c r="C54" s="559"/>
      <c r="D54" s="559"/>
      <c r="E54" s="559"/>
      <c r="F54" s="559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8" t="str">
        <f>+VLOOKUP($A55,Master!$D$25:$G$223,4,FALSE)</f>
        <v>Surplus / deficit</v>
      </c>
      <c r="C55" s="479"/>
      <c r="D55" s="479"/>
      <c r="E55" s="479"/>
      <c r="F55" s="479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1" t="s">
        <v>778</v>
      </c>
      <c r="C56" s="442"/>
      <c r="D56" s="442"/>
      <c r="E56" s="442"/>
      <c r="F56" s="442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80" t="str">
        <f>+VLOOKUP($A57,Master!$D$25:$G$223,4,FALSE)</f>
        <v>Primary balance</v>
      </c>
      <c r="C57" s="481"/>
      <c r="D57" s="481"/>
      <c r="E57" s="481"/>
      <c r="F57" s="481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2" t="str">
        <f>+VLOOKUP($A58,Master!$D$25:$G$223,4,FALSE)</f>
        <v>Repayment of Debt</v>
      </c>
      <c r="C58" s="483"/>
      <c r="D58" s="483"/>
      <c r="E58" s="483"/>
      <c r="F58" s="483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70" t="str">
        <f>+VLOOKUP($A59,Master!$D$25:$G$223,4,FALSE)</f>
        <v>Repayment of Domestic Debt</v>
      </c>
      <c r="C59" s="471"/>
      <c r="D59" s="471"/>
      <c r="E59" s="471"/>
      <c r="F59" s="471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4" t="str">
        <f>+VLOOKUP($A60,Master!$D$25:$G$223,4,FALSE)</f>
        <v>Repayment of Foreign Debt</v>
      </c>
      <c r="C60" s="455"/>
      <c r="D60" s="455"/>
      <c r="E60" s="455"/>
      <c r="F60" s="455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4" t="str">
        <f>+VLOOKUP($A61,Master!$D$25:$G$223,4,FALSE)</f>
        <v>Financing needs</v>
      </c>
      <c r="C61" s="475"/>
      <c r="D61" s="475"/>
      <c r="E61" s="475"/>
      <c r="F61" s="475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6" t="str">
        <f>+VLOOKUP($A62,Master!$D$25:$G$223,4,FALSE)</f>
        <v>Financing</v>
      </c>
      <c r="C62" s="477"/>
      <c r="D62" s="477"/>
      <c r="E62" s="477"/>
      <c r="F62" s="477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70" t="str">
        <f>+VLOOKUP($A63,Master!$D$25:$G$223,4,FALSE)</f>
        <v>Domestic Loans and Borrowings</v>
      </c>
      <c r="C63" s="471"/>
      <c r="D63" s="471"/>
      <c r="E63" s="471"/>
      <c r="F63" s="471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4" t="str">
        <f>+VLOOKUP($A64,Master!$D$25:$G$223,4,FALSE)</f>
        <v>Foreign Loans and Borrowings</v>
      </c>
      <c r="C64" s="455"/>
      <c r="D64" s="455"/>
      <c r="E64" s="455"/>
      <c r="F64" s="455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4" t="str">
        <f>+VLOOKUP($A65,Master!$D$25:$G$223,4,FALSE)</f>
        <v>Revenues from Selling Assets</v>
      </c>
      <c r="C65" s="455"/>
      <c r="D65" s="455"/>
      <c r="E65" s="455"/>
      <c r="F65" s="455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38" t="str">
        <f>+Master!G250</f>
        <v>Planned Budget Execution</v>
      </c>
      <c r="C102" s="539"/>
      <c r="D102" s="539"/>
      <c r="E102" s="539"/>
      <c r="F102" s="539"/>
      <c r="G102" s="532">
        <v>2016</v>
      </c>
      <c r="H102" s="546"/>
      <c r="I102" s="546"/>
      <c r="J102" s="546"/>
      <c r="K102" s="546"/>
      <c r="L102" s="546"/>
      <c r="M102" s="546"/>
      <c r="N102" s="546"/>
      <c r="O102" s="546"/>
      <c r="P102" s="546"/>
      <c r="Q102" s="546"/>
      <c r="R102" s="533"/>
      <c r="S102" s="115" t="str">
        <f>+S7</f>
        <v>GDP</v>
      </c>
      <c r="T102" s="116">
        <f>+T7</f>
        <v>3954200000</v>
      </c>
    </row>
    <row r="103" spans="1:21" ht="15.75" customHeight="1">
      <c r="B103" s="540"/>
      <c r="C103" s="541"/>
      <c r="D103" s="541"/>
      <c r="E103" s="541"/>
      <c r="F103" s="542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32" t="str">
        <f>+Master!G244</f>
        <v>Jan - Dec</v>
      </c>
      <c r="T103" s="533">
        <f>+T8</f>
        <v>0</v>
      </c>
    </row>
    <row r="104" spans="1:21" ht="13.5" thickBot="1">
      <c r="B104" s="543"/>
      <c r="C104" s="544"/>
      <c r="D104" s="544"/>
      <c r="E104" s="544"/>
      <c r="F104" s="545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34" t="str">
        <f>+VLOOKUP(LEFT($A105,LEN(A105)-1)*1,Master!$D$25:$G$223,4,FALSE)</f>
        <v>Total Revenues</v>
      </c>
      <c r="C105" s="535"/>
      <c r="D105" s="535"/>
      <c r="E105" s="535"/>
      <c r="F105" s="535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6" t="str">
        <f>+VLOOKUP(LEFT($A106,LEN(A106)-1)*1,Master!$D$25:$G$223,4,FALSE)</f>
        <v>Taxes</v>
      </c>
      <c r="C106" s="537"/>
      <c r="D106" s="537"/>
      <c r="E106" s="537"/>
      <c r="F106" s="537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18" t="str">
        <f>+VLOOKUP(LEFT($A107,LEN(A107)-1)*1,Master!$D$25:$G$223,4,FALSE)</f>
        <v>Personal Income Tax</v>
      </c>
      <c r="C107" s="519"/>
      <c r="D107" s="519"/>
      <c r="E107" s="519"/>
      <c r="F107" s="519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18" t="str">
        <f>+VLOOKUP(LEFT($A108,LEN(A108)-1)*1,Master!$D$25:$G$223,4,FALSE)</f>
        <v>Corporate Income Tax</v>
      </c>
      <c r="C108" s="519"/>
      <c r="D108" s="519"/>
      <c r="E108" s="519"/>
      <c r="F108" s="519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18" t="str">
        <f>+VLOOKUP(LEFT($A109,LEN(A109)-1)*1,Master!$D$25:$G$223,4,FALSE)</f>
        <v xml:space="preserve">Taxes on Sales of Property </v>
      </c>
      <c r="C109" s="519"/>
      <c r="D109" s="519"/>
      <c r="E109" s="519"/>
      <c r="F109" s="519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18" t="str">
        <f>+VLOOKUP(LEFT($A110,LEN(A110)-1)*1,Master!$D$25:$G$223,4,FALSE)</f>
        <v>Value Added Tax</v>
      </c>
      <c r="C110" s="519"/>
      <c r="D110" s="519"/>
      <c r="E110" s="519"/>
      <c r="F110" s="519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18" t="str">
        <f>+VLOOKUP(LEFT($A111,LEN(A111)-1)*1,Master!$D$25:$G$223,4,FALSE)</f>
        <v>Excises</v>
      </c>
      <c r="C111" s="519"/>
      <c r="D111" s="519"/>
      <c r="E111" s="519"/>
      <c r="F111" s="519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18" t="str">
        <f>+VLOOKUP(LEFT($A112,LEN(A112)-1)*1,Master!$D$25:$G$223,4,FALSE)</f>
        <v>Tax on International Trade and Transactions</v>
      </c>
      <c r="C112" s="519"/>
      <c r="D112" s="519"/>
      <c r="E112" s="519"/>
      <c r="F112" s="519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18" t="str">
        <f>+VLOOKUP(LEFT($A113,LEN(A113)-1)*1,Master!$D$25:$G$223,4,FALSE)</f>
        <v>Other Republic Taxes</v>
      </c>
      <c r="C113" s="519"/>
      <c r="D113" s="519"/>
      <c r="E113" s="519"/>
      <c r="F113" s="519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30" t="str">
        <f>+VLOOKUP(LEFT($A114,LEN(A114)-1)*1,Master!$D$25:$G$223,4,FALSE)</f>
        <v>Contributions</v>
      </c>
      <c r="C114" s="531"/>
      <c r="D114" s="531"/>
      <c r="E114" s="531"/>
      <c r="F114" s="531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18" t="str">
        <f>+VLOOKUP(LEFT($A115,LEN(A115)-1)*1,Master!$D$25:$G$223,4,FALSE)</f>
        <v>Contributions for Pension and Disability Insurance</v>
      </c>
      <c r="C115" s="519"/>
      <c r="D115" s="519"/>
      <c r="E115" s="519"/>
      <c r="F115" s="519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18" t="str">
        <f>+VLOOKUP(LEFT($A116,LEN(A116)-1)*1,Master!$D$25:$G$223,4,FALSE)</f>
        <v>Contributions for Health Insurance</v>
      </c>
      <c r="C116" s="519"/>
      <c r="D116" s="519"/>
      <c r="E116" s="519"/>
      <c r="F116" s="519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18" t="str">
        <f>+VLOOKUP(LEFT($A117,LEN(A117)-1)*1,Master!$D$25:$G$223,4,FALSE)</f>
        <v>Contributions for  Unemployment Insurance</v>
      </c>
      <c r="C117" s="519"/>
      <c r="D117" s="519"/>
      <c r="E117" s="519"/>
      <c r="F117" s="519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18" t="str">
        <f>+VLOOKUP(LEFT($A118,LEN(A118)-1)*1,Master!$D$25:$G$223,4,FALSE)</f>
        <v>Other contributions</v>
      </c>
      <c r="C118" s="519"/>
      <c r="D118" s="519"/>
      <c r="E118" s="519"/>
      <c r="F118" s="519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22" t="str">
        <f>+VLOOKUP(LEFT($A119,LEN(A119)-1)*1,Master!$D$25:$G$223,4,FALSE)</f>
        <v>Duties</v>
      </c>
      <c r="C119" s="523"/>
      <c r="D119" s="523"/>
      <c r="E119" s="523"/>
      <c r="F119" s="523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22" t="str">
        <f>+VLOOKUP(LEFT($A120,LEN(A120)-1)*1,Master!$D$25:$G$223,4,FALSE)</f>
        <v>Fees</v>
      </c>
      <c r="C120" s="523"/>
      <c r="D120" s="523"/>
      <c r="E120" s="523"/>
      <c r="F120" s="523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22" t="str">
        <f>+VLOOKUP(LEFT($A121,LEN(A121)-1)*1,Master!$D$25:$G$223,4,FALSE)</f>
        <v>Other revenues</v>
      </c>
      <c r="C121" s="523"/>
      <c r="D121" s="523"/>
      <c r="E121" s="523"/>
      <c r="F121" s="523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22" t="str">
        <f>+VLOOKUP(LEFT($A122,LEN(A122)-1)*1,Master!$D$25:$G$223,4,FALSE)</f>
        <v>Receipts from Repayment of Loans and Funds Carried over from Previous Year</v>
      </c>
      <c r="C122" s="523"/>
      <c r="D122" s="523"/>
      <c r="E122" s="523"/>
      <c r="F122" s="523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4" t="str">
        <f>+VLOOKUP(LEFT($A123,LEN(A123)-1)*1,Master!$D$25:$G$223,4,FALSE)</f>
        <v>Grants and Transfers</v>
      </c>
      <c r="C123" s="525"/>
      <c r="D123" s="525"/>
      <c r="E123" s="525"/>
      <c r="F123" s="525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08" t="str">
        <f>+VLOOKUP(LEFT($A124,LEN(A124)-1)*1,Master!$D$25:$G$223,4,FALSE)</f>
        <v>Total Expenditures</v>
      </c>
      <c r="C124" s="509"/>
      <c r="D124" s="509"/>
      <c r="E124" s="509"/>
      <c r="F124" s="509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6" t="str">
        <f>+VLOOKUP(LEFT($A125,LEN(A125)-1)*1,Master!$D$25:$G$223,4,FALSE)</f>
        <v>Current Expenditures</v>
      </c>
      <c r="C125" s="527"/>
      <c r="D125" s="527"/>
      <c r="E125" s="527"/>
      <c r="F125" s="527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28" t="str">
        <f>+VLOOKUP(LEFT($A126,LEN(A126)-1)*1,Master!$D$25:$G$223,4,FALSE)</f>
        <v>Current Budgetary Expenditures</v>
      </c>
      <c r="C126" s="529"/>
      <c r="D126" s="529"/>
      <c r="E126" s="529"/>
      <c r="F126" s="529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18" t="str">
        <f>+VLOOKUP(LEFT($A127,LEN(A127)-1)*1,Master!$D$25:$G$223,4,FALSE)</f>
        <v>Gross Salaries and Contributions</v>
      </c>
      <c r="C127" s="519"/>
      <c r="D127" s="519"/>
      <c r="E127" s="519"/>
      <c r="F127" s="519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18" t="str">
        <f>+VLOOKUP(LEFT($A128,LEN(A128)-1)*1,Master!$D$25:$G$223,4,FALSE)</f>
        <v>Other Personal Income</v>
      </c>
      <c r="C128" s="519"/>
      <c r="D128" s="519"/>
      <c r="E128" s="519"/>
      <c r="F128" s="519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18" t="str">
        <f>+VLOOKUP(LEFT($A129,LEN(A129)-1)*1,Master!$D$25:$G$223,4,FALSE)</f>
        <v>Expenditures for Supplies</v>
      </c>
      <c r="C129" s="519"/>
      <c r="D129" s="519"/>
      <c r="E129" s="519"/>
      <c r="F129" s="519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18" t="str">
        <f>+VLOOKUP(LEFT($A130,LEN(A130)-1)*1,Master!$D$25:$G$223,4,FALSE)</f>
        <v>Expenditures for Services</v>
      </c>
      <c r="C130" s="519"/>
      <c r="D130" s="519"/>
      <c r="E130" s="519"/>
      <c r="F130" s="519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18" t="str">
        <f>+VLOOKUP(LEFT($A131,LEN(A131)-1)*1,Master!$D$25:$G$223,4,FALSE)</f>
        <v>Current Maintenance</v>
      </c>
      <c r="C131" s="519"/>
      <c r="D131" s="519"/>
      <c r="E131" s="519"/>
      <c r="F131" s="519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18" t="str">
        <f>+VLOOKUP(LEFT($A132,LEN(A132)-1)*1,Master!$D$25:$G$223,4,FALSE)</f>
        <v>Interests</v>
      </c>
      <c r="C132" s="519"/>
      <c r="D132" s="519"/>
      <c r="E132" s="519"/>
      <c r="F132" s="519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18" t="str">
        <f>+VLOOKUP(LEFT($A133,LEN(A133)-1)*1,Master!$D$25:$G$223,4,FALSE)</f>
        <v>Rent</v>
      </c>
      <c r="C133" s="519"/>
      <c r="D133" s="519"/>
      <c r="E133" s="519"/>
      <c r="F133" s="519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18" t="str">
        <f>+VLOOKUP(LEFT($A134,LEN(A134)-1)*1,Master!$D$25:$G$223,4,FALSE)</f>
        <v>Subsidies</v>
      </c>
      <c r="C134" s="519"/>
      <c r="D134" s="519"/>
      <c r="E134" s="519"/>
      <c r="F134" s="519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18" t="str">
        <f>+VLOOKUP(LEFT($A135,LEN(A135)-1)*1,Master!$D$25:$G$223,4,FALSE)</f>
        <v>Other expenditures</v>
      </c>
      <c r="C135" s="519"/>
      <c r="D135" s="519"/>
      <c r="E135" s="519"/>
      <c r="F135" s="519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18" t="str">
        <f>+VLOOKUP(LEFT($A136,LEN(A136)-1)*1,Master!$D$25:$G$223,4,FALSE)</f>
        <v>Current Capital Expenditure</v>
      </c>
      <c r="C136" s="519"/>
      <c r="D136" s="519"/>
      <c r="E136" s="519"/>
      <c r="F136" s="519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6" t="str">
        <f>+VLOOKUP(LEFT($A137,LEN(A137)-1)*1,Master!$D$25:$G$223,4,FALSE)</f>
        <v>Social Security Transfers</v>
      </c>
      <c r="C137" s="517"/>
      <c r="D137" s="517"/>
      <c r="E137" s="517"/>
      <c r="F137" s="517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18" t="str">
        <f>+VLOOKUP(LEFT($A138,LEN(A138)-1)*1,Master!$D$25:$G$223,4,FALSE)</f>
        <v>Social Security</v>
      </c>
      <c r="C138" s="519"/>
      <c r="D138" s="519"/>
      <c r="E138" s="519"/>
      <c r="F138" s="519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18" t="str">
        <f>+VLOOKUP(LEFT($A139,LEN(A139)-1)*1,Master!$D$25:$G$223,4,FALSE)</f>
        <v>Funds for redundant labor</v>
      </c>
      <c r="C139" s="519"/>
      <c r="D139" s="519"/>
      <c r="E139" s="519"/>
      <c r="F139" s="519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18" t="str">
        <f>+VLOOKUP(LEFT($A140,LEN(A140)-1)*1,Master!$D$25:$G$223,4,FALSE)</f>
        <v>Pension and Disability Insurance</v>
      </c>
      <c r="C140" s="519"/>
      <c r="D140" s="519"/>
      <c r="E140" s="519"/>
      <c r="F140" s="519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18" t="str">
        <f>+VLOOKUP(LEFT($A141,LEN(A141)-1)*1,Master!$D$25:$G$223,4,FALSE)</f>
        <v>Other Health Care Transfers</v>
      </c>
      <c r="C141" s="519"/>
      <c r="D141" s="519"/>
      <c r="E141" s="519"/>
      <c r="F141" s="519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18" t="str">
        <f>+VLOOKUP(LEFT($A142,LEN(A142)-1)*1,Master!$D$25:$G$223,4,FALSE)</f>
        <v>Other Health Care Insurance</v>
      </c>
      <c r="C142" s="519"/>
      <c r="D142" s="519"/>
      <c r="E142" s="519"/>
      <c r="F142" s="519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20" t="str">
        <f>+VLOOKUP(LEFT($A143,LEN(A143)-1)*1,Master!$D$25:$G$223,4,FALSE)</f>
        <v xml:space="preserve">Transfers to Institutions, Individuals, NGO and Public Sector </v>
      </c>
      <c r="C143" s="521"/>
      <c r="D143" s="521"/>
      <c r="E143" s="521"/>
      <c r="F143" s="521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20" t="str">
        <f>+VLOOKUP(LEFT($A144,LEN(A144)-1)*1,Master!$D$25:$G$223,4,FALSE)</f>
        <v>Capital Expenditure</v>
      </c>
      <c r="C144" s="521"/>
      <c r="D144" s="521"/>
      <c r="E144" s="521"/>
      <c r="F144" s="521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4" t="str">
        <f>+VLOOKUP(LEFT($A145,LEN(A145)-1)*1,Master!$D$25:$G$223,4,FALSE)</f>
        <v>Credits and Borrowings</v>
      </c>
      <c r="C145" s="505"/>
      <c r="D145" s="505"/>
      <c r="E145" s="505"/>
      <c r="F145" s="505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4" t="str">
        <f>+VLOOKUP(LEFT($A146,LEN(A146)-1)*1,Master!$D$25:$G$223,4,FALSE)</f>
        <v>Reserves</v>
      </c>
      <c r="C146" s="505"/>
      <c r="D146" s="505"/>
      <c r="E146" s="505"/>
      <c r="F146" s="505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4" t="str">
        <f>+VLOOKUP(LEFT($A147,LEN(A147)-1)*1,Master!$D$25:$G$223,4,FALSE)</f>
        <v>Repayment of Guarantees</v>
      </c>
      <c r="C147" s="505"/>
      <c r="D147" s="505"/>
      <c r="E147" s="505"/>
      <c r="F147" s="505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699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2" t="str">
        <f>+VLOOKUP(LEFT($A149,LEN(A149)-1)*1,Master!$D$25:$G$223,4,FALSE)</f>
        <v>Surplus / deficit</v>
      </c>
      <c r="C149" s="513"/>
      <c r="D149" s="513"/>
      <c r="E149" s="513"/>
      <c r="F149" s="513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4" t="str">
        <f>+VLOOKUP(LEFT($A150,LEN(A150)-1)*1,Master!$D$25:$G$223,4,FALSE)</f>
        <v>Primary balance</v>
      </c>
      <c r="C150" s="515"/>
      <c r="D150" s="515"/>
      <c r="E150" s="515"/>
      <c r="F150" s="515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6" t="str">
        <f>+VLOOKUP(LEFT($A151,LEN(A151)-1)*1,Master!$D$25:$G$223,4,FALSE)</f>
        <v>Repayment of Debt</v>
      </c>
      <c r="C151" s="517"/>
      <c r="D151" s="517"/>
      <c r="E151" s="517"/>
      <c r="F151" s="517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10" t="str">
        <f>+VLOOKUP(LEFT($A152,LEN(A152)-1)*1,Master!$D$25:$G$223,4,FALSE)</f>
        <v>Repayment of Domestic Debt</v>
      </c>
      <c r="C152" s="511"/>
      <c r="D152" s="511"/>
      <c r="E152" s="511"/>
      <c r="F152" s="511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4" t="str">
        <f>+VLOOKUP(LEFT($A153,LEN(A153)-1)*1,Master!$D$25:$G$223,4,FALSE)</f>
        <v>Repayment of Foreign Debt</v>
      </c>
      <c r="C153" s="505"/>
      <c r="D153" s="505"/>
      <c r="E153" s="505"/>
      <c r="F153" s="505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8" t="str">
        <f>+VLOOKUP(LEFT($A154,LEN(A154)-1)*1,Master!$D$25:$G$223,4,FALSE)</f>
        <v>Repayments of Arrears</v>
      </c>
      <c r="C154" s="559"/>
      <c r="D154" s="559"/>
      <c r="E154" s="559"/>
      <c r="F154" s="559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6" t="str">
        <f>+VLOOKUP(LEFT($A155,LEN(A155)-1)*1,Master!$D$25:$G$223,4,FALSE)</f>
        <v>Financing needs</v>
      </c>
      <c r="C155" s="507"/>
      <c r="D155" s="507"/>
      <c r="E155" s="507"/>
      <c r="F155" s="507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08" t="str">
        <f>+VLOOKUP(LEFT($A156,LEN(A156)-1)*1,Master!$D$25:$G$223,4,FALSE)</f>
        <v>Financing</v>
      </c>
      <c r="C156" s="509"/>
      <c r="D156" s="509"/>
      <c r="E156" s="509"/>
      <c r="F156" s="509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10" t="str">
        <f>+VLOOKUP(LEFT($A157,LEN(A157)-1)*1,Master!$D$25:$G$223,4,FALSE)</f>
        <v>Domestic Loans and Borrowings</v>
      </c>
      <c r="C157" s="511"/>
      <c r="D157" s="511"/>
      <c r="E157" s="511"/>
      <c r="F157" s="511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4" t="str">
        <f>+VLOOKUP(LEFT($A158,LEN(A158)-1)*1,Master!$D$25:$G$223,4,FALSE)</f>
        <v>Foreign Loans and Borrowings</v>
      </c>
      <c r="C158" s="505"/>
      <c r="D158" s="505"/>
      <c r="E158" s="505"/>
      <c r="F158" s="505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4" t="str">
        <f>+VLOOKUP(LEFT($A159,LEN(A159)-1)*1,Master!$D$25:$G$223,4,FALSE)</f>
        <v>Revenues from Selling Assets</v>
      </c>
      <c r="C159" s="505"/>
      <c r="D159" s="505"/>
      <c r="E159" s="505"/>
      <c r="F159" s="505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+VLOOKUP(LEFT($A160,LEN(A160)-1)*1,Master!$D$25:$G$223,4,FALSE)</f>
        <v>Increase / decrease of deposits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W29" sqref="W29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542</v>
      </c>
      <c r="H6" s="259" t="s">
        <v>543</v>
      </c>
      <c r="I6" s="259" t="s">
        <v>544</v>
      </c>
      <c r="J6" s="259" t="s">
        <v>545</v>
      </c>
      <c r="K6" s="259" t="s">
        <v>546</v>
      </c>
      <c r="L6" s="259" t="s">
        <v>547</v>
      </c>
      <c r="M6" s="259" t="s">
        <v>548</v>
      </c>
      <c r="N6" s="259" t="s">
        <v>549</v>
      </c>
      <c r="O6" s="259" t="s">
        <v>550</v>
      </c>
      <c r="P6" s="259" t="s">
        <v>551</v>
      </c>
      <c r="Q6" s="259" t="s">
        <v>552</v>
      </c>
      <c r="R6" s="259" t="s">
        <v>553</v>
      </c>
      <c r="S6" s="258"/>
      <c r="T6" s="258"/>
    </row>
    <row r="7" spans="1:20" ht="15" customHeight="1" thickBot="1">
      <c r="A7" s="169"/>
      <c r="B7" s="557" t="str">
        <f>+Master!G249</f>
        <v>Budget Execution</v>
      </c>
      <c r="C7" s="457"/>
      <c r="D7" s="457"/>
      <c r="E7" s="457"/>
      <c r="F7" s="457"/>
      <c r="G7" s="465">
        <v>2015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+Master!G246</f>
        <v>GDP</v>
      </c>
      <c r="T7" s="261">
        <v>3655000000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5" t="s">
        <v>740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8" t="str">
        <f>+VLOOKUP($A10,Master!$D$25:$G$223,4,FALSE)</f>
        <v>Total Revenues</v>
      </c>
      <c r="C10" s="499"/>
      <c r="D10" s="499"/>
      <c r="E10" s="499"/>
      <c r="F10" s="499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500" t="str">
        <f>+VLOOKUP($A11,Master!$D$25:$G$223,4,FALSE)</f>
        <v>Taxes</v>
      </c>
      <c r="C11" s="501"/>
      <c r="D11" s="501"/>
      <c r="E11" s="501"/>
      <c r="F11" s="501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6" t="str">
        <f>+VLOOKUP($A12,Master!$D$25:$G$223,4,FALSE)</f>
        <v>Personal Income Tax</v>
      </c>
      <c r="C12" s="487"/>
      <c r="D12" s="487"/>
      <c r="E12" s="487"/>
      <c r="F12" s="487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6" t="str">
        <f>+VLOOKUP($A13,Master!$D$25:$G$223,4,FALSE)</f>
        <v>Corporate Income Tax</v>
      </c>
      <c r="C13" s="487"/>
      <c r="D13" s="487"/>
      <c r="E13" s="487"/>
      <c r="F13" s="487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6" t="str">
        <f>+VLOOKUP($A14,Master!$D$25:$G$223,4,FALSE)</f>
        <v xml:space="preserve">Taxes on Sales of Property </v>
      </c>
      <c r="C14" s="487"/>
      <c r="D14" s="487"/>
      <c r="E14" s="487"/>
      <c r="F14" s="487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6" t="str">
        <f>+VLOOKUP($A15,Master!$D$25:$G$223,4,FALSE)</f>
        <v>Value Added Tax</v>
      </c>
      <c r="C15" s="487"/>
      <c r="D15" s="487"/>
      <c r="E15" s="487"/>
      <c r="F15" s="487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6" t="str">
        <f>+VLOOKUP($A16,Master!$D$25:$G$223,4,FALSE)</f>
        <v>Excises</v>
      </c>
      <c r="C16" s="487"/>
      <c r="D16" s="487"/>
      <c r="E16" s="487"/>
      <c r="F16" s="487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6" t="str">
        <f>+VLOOKUP($A17,Master!$D$25:$G$223,4,FALSE)</f>
        <v>Tax on International Trade and Transactions</v>
      </c>
      <c r="C17" s="487"/>
      <c r="D17" s="487"/>
      <c r="E17" s="487"/>
      <c r="F17" s="487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6" t="str">
        <f>+VLOOKUP($A18,Master!$D$25:$G$223,4,FALSE)</f>
        <v>Other Republic Taxes</v>
      </c>
      <c r="C18" s="487"/>
      <c r="D18" s="487"/>
      <c r="E18" s="487"/>
      <c r="F18" s="487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6" t="str">
        <f>+VLOOKUP($A19,Master!$D$25:$G$223,4,FALSE)</f>
        <v>Contributions</v>
      </c>
      <c r="C19" s="497"/>
      <c r="D19" s="497"/>
      <c r="E19" s="497"/>
      <c r="F19" s="497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6" t="str">
        <f>+VLOOKUP($A20,Master!$D$25:$G$223,4,FALSE)</f>
        <v>Contributions for Pension and Disability Insurance</v>
      </c>
      <c r="C20" s="487"/>
      <c r="D20" s="487"/>
      <c r="E20" s="487"/>
      <c r="F20" s="487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6" t="str">
        <f>+VLOOKUP($A21,Master!$D$25:$G$223,4,FALSE)</f>
        <v>Contributions for Health Insurance</v>
      </c>
      <c r="C21" s="487"/>
      <c r="D21" s="487"/>
      <c r="E21" s="487"/>
      <c r="F21" s="487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6" t="str">
        <f>+VLOOKUP($A22,Master!$D$25:$G$223,4,FALSE)</f>
        <v>Contributions for  Unemployment Insurance</v>
      </c>
      <c r="C22" s="487"/>
      <c r="D22" s="487"/>
      <c r="E22" s="487"/>
      <c r="F22" s="487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6" t="str">
        <f>+VLOOKUP($A23,Master!$D$25:$G$223,4,FALSE)</f>
        <v>Other contributions</v>
      </c>
      <c r="C23" s="487"/>
      <c r="D23" s="487"/>
      <c r="E23" s="487"/>
      <c r="F23" s="487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88" t="str">
        <f>+VLOOKUP($A24,Master!$D$25:$G$223,4,FALSE)</f>
        <v>Duties</v>
      </c>
      <c r="C24" s="489"/>
      <c r="D24" s="489"/>
      <c r="E24" s="489"/>
      <c r="F24" s="489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88" t="str">
        <f>+VLOOKUP($A25,Master!$D$25:$G$223,4,FALSE)</f>
        <v>Fees</v>
      </c>
      <c r="C25" s="489"/>
      <c r="D25" s="489"/>
      <c r="E25" s="489"/>
      <c r="F25" s="489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88" t="str">
        <f>+VLOOKUP($A26,Master!$D$25:$G$223,4,FALSE)</f>
        <v>Other revenues</v>
      </c>
      <c r="C26" s="489"/>
      <c r="D26" s="489"/>
      <c r="E26" s="489"/>
      <c r="F26" s="489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88" t="str">
        <f>+VLOOKUP($A27,Master!$D$25:$G$223,4,FALSE)</f>
        <v>Receipts from Repayment of Loans and Funds Carried over from Previous Year</v>
      </c>
      <c r="C27" s="489"/>
      <c r="D27" s="489"/>
      <c r="E27" s="489"/>
      <c r="F27" s="489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90" t="str">
        <f>+VLOOKUP($A28,Master!$D$25:$G$223,4,FALSE)</f>
        <v>Grants and Transfers</v>
      </c>
      <c r="C28" s="491"/>
      <c r="D28" s="491"/>
      <c r="E28" s="491"/>
      <c r="F28" s="491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6" t="str">
        <f>+VLOOKUP($A29,Master!$D$25:$G$223,4,FALSE)</f>
        <v>Total Expenditures</v>
      </c>
      <c r="C29" s="477"/>
      <c r="D29" s="477"/>
      <c r="E29" s="477"/>
      <c r="F29" s="477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2" t="str">
        <f>+VLOOKUP($A30,Master!$D$25:$G$223,4,FALSE)</f>
        <v>Current Expenditures</v>
      </c>
      <c r="C30" s="493"/>
      <c r="D30" s="493"/>
      <c r="E30" s="493"/>
      <c r="F30" s="493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4" t="str">
        <f>+VLOOKUP($A31,Master!$D$25:$G$223,4,FALSE)</f>
        <v>Current Budgetary Expenditures</v>
      </c>
      <c r="C31" s="495"/>
      <c r="D31" s="495"/>
      <c r="E31" s="495"/>
      <c r="F31" s="495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6" t="str">
        <f>+VLOOKUP($A32,Master!$D$25:$G$223,4,FALSE)</f>
        <v>Gross Salaries and Contributions</v>
      </c>
      <c r="C32" s="487"/>
      <c r="D32" s="487"/>
      <c r="E32" s="487"/>
      <c r="F32" s="487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6" t="str">
        <f>+VLOOKUP($A33,Master!$D$25:$G$223,4,FALSE)</f>
        <v>Other Personal Income</v>
      </c>
      <c r="C33" s="487"/>
      <c r="D33" s="487"/>
      <c r="E33" s="487"/>
      <c r="F33" s="487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6" t="str">
        <f>+VLOOKUP($A34,Master!$D$25:$G$223,4,FALSE)</f>
        <v>Expenditures for Supplies</v>
      </c>
      <c r="C34" s="487"/>
      <c r="D34" s="487"/>
      <c r="E34" s="487"/>
      <c r="F34" s="487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6" t="str">
        <f>+VLOOKUP($A35,Master!$D$25:$G$223,4,FALSE)</f>
        <v>Expenditures for Services</v>
      </c>
      <c r="C35" s="487"/>
      <c r="D35" s="487"/>
      <c r="E35" s="487"/>
      <c r="F35" s="487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6" t="str">
        <f>+VLOOKUP($A36,Master!$D$25:$G$223,4,FALSE)</f>
        <v>Current Maintenance</v>
      </c>
      <c r="C36" s="487"/>
      <c r="D36" s="487"/>
      <c r="E36" s="487"/>
      <c r="F36" s="487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6" t="str">
        <f>+VLOOKUP($A37,Master!$D$25:$G$223,4,FALSE)</f>
        <v>Interests</v>
      </c>
      <c r="C37" s="487"/>
      <c r="D37" s="487"/>
      <c r="E37" s="487"/>
      <c r="F37" s="487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6" t="str">
        <f>+VLOOKUP($A38,Master!$D$25:$G$223,4,FALSE)</f>
        <v>Rent</v>
      </c>
      <c r="C38" s="487"/>
      <c r="D38" s="487"/>
      <c r="E38" s="487"/>
      <c r="F38" s="487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6" t="str">
        <f>+VLOOKUP($A39,Master!$D$25:$G$223,4,FALSE)</f>
        <v>Subsidies</v>
      </c>
      <c r="C39" s="487"/>
      <c r="D39" s="487"/>
      <c r="E39" s="487"/>
      <c r="F39" s="487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6" t="str">
        <f>+VLOOKUP($A40,Master!$D$25:$G$223,4,FALSE)</f>
        <v>Other expenditures</v>
      </c>
      <c r="C40" s="487"/>
      <c r="D40" s="487"/>
      <c r="E40" s="487"/>
      <c r="F40" s="487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6" t="str">
        <f>+VLOOKUP($A41,Master!$D$25:$G$223,4,FALSE)</f>
        <v>Current Capital Expenditure</v>
      </c>
      <c r="C41" s="487"/>
      <c r="D41" s="487"/>
      <c r="E41" s="487"/>
      <c r="F41" s="487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2" t="str">
        <f>+VLOOKUP($A42,Master!$D$25:$G$223,4,FALSE)</f>
        <v>Social Security Transfers</v>
      </c>
      <c r="C42" s="483"/>
      <c r="D42" s="483"/>
      <c r="E42" s="483"/>
      <c r="F42" s="483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6" t="str">
        <f>+VLOOKUP($A43,Master!$D$25:$G$223,4,FALSE)</f>
        <v>Social Security</v>
      </c>
      <c r="C43" s="487"/>
      <c r="D43" s="487"/>
      <c r="E43" s="487"/>
      <c r="F43" s="487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6" t="str">
        <f>+VLOOKUP($A44,Master!$D$25:$G$223,4,FALSE)</f>
        <v>Funds for redundant labor</v>
      </c>
      <c r="C44" s="487"/>
      <c r="D44" s="487"/>
      <c r="E44" s="487"/>
      <c r="F44" s="487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6" t="str">
        <f>+VLOOKUP($A45,Master!$D$25:$G$223,4,FALSE)</f>
        <v>Pension and Disability Insurance</v>
      </c>
      <c r="C45" s="487"/>
      <c r="D45" s="487"/>
      <c r="E45" s="487"/>
      <c r="F45" s="487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6" t="str">
        <f>+VLOOKUP($A46,Master!$D$25:$G$223,4,FALSE)</f>
        <v>Other Health Care Transfers</v>
      </c>
      <c r="C46" s="487"/>
      <c r="D46" s="487"/>
      <c r="E46" s="487"/>
      <c r="F46" s="487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6" t="str">
        <f>+VLOOKUP($A47,Master!$D$25:$G$223,4,FALSE)</f>
        <v>Other Health Care Insurance</v>
      </c>
      <c r="C47" s="487"/>
      <c r="D47" s="487"/>
      <c r="E47" s="487"/>
      <c r="F47" s="487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4" t="str">
        <f>+VLOOKUP($A48,Master!$D$25:$G$223,4,FALSE)</f>
        <v xml:space="preserve">Transfers to Institutions, Individuals, NGO and Public Sector </v>
      </c>
      <c r="C48" s="485"/>
      <c r="D48" s="485"/>
      <c r="E48" s="485"/>
      <c r="F48" s="485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4" t="str">
        <f>+VLOOKUP($A49,Master!$D$25:$G$223,4,FALSE)</f>
        <v>Capital Expenditure</v>
      </c>
      <c r="C49" s="485"/>
      <c r="D49" s="485"/>
      <c r="E49" s="485"/>
      <c r="F49" s="485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4" t="str">
        <f>+VLOOKUP($A50,Master!$D$25:$G$223,4,FALSE)</f>
        <v>Credits and Borrowings</v>
      </c>
      <c r="C50" s="455"/>
      <c r="D50" s="455"/>
      <c r="E50" s="455"/>
      <c r="F50" s="455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4" t="str">
        <f>+VLOOKUP($A51,Master!$D$25:$G$223,4,FALSE)</f>
        <v>Reserves</v>
      </c>
      <c r="C51" s="455"/>
      <c r="D51" s="455"/>
      <c r="E51" s="455"/>
      <c r="F51" s="455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2" t="str">
        <f>+VLOOKUP($A52,Master!$D$25:$G$223,4,FALSE)</f>
        <v>Repayment of Guarantees</v>
      </c>
      <c r="C52" s="473"/>
      <c r="D52" s="473"/>
      <c r="E52" s="473"/>
      <c r="F52" s="473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2" t="str">
        <f>+VLOOKUP($A53,Master!$D$25:$G$223,4,TRUE)</f>
        <v>Repayments of Arrears</v>
      </c>
      <c r="C53" s="473"/>
      <c r="D53" s="473"/>
      <c r="E53" s="473"/>
      <c r="F53" s="473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8" t="str">
        <f>+VLOOKUP($A54,Master!$D$25:$G$225,4,FALSE)</f>
        <v>Net increase of liabilities</v>
      </c>
      <c r="C54" s="559"/>
      <c r="D54" s="559"/>
      <c r="E54" s="559"/>
      <c r="F54" s="559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8" t="str">
        <f>+VLOOKUP($A55,Master!$D$25:$G$223,4,FALSE)</f>
        <v>Surplus / deficit</v>
      </c>
      <c r="C55" s="479"/>
      <c r="D55" s="479"/>
      <c r="E55" s="479"/>
      <c r="F55" s="479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41" t="s">
        <v>778</v>
      </c>
      <c r="C56" s="442"/>
      <c r="D56" s="442"/>
      <c r="E56" s="442"/>
      <c r="F56" s="442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80" t="str">
        <f>+VLOOKUP($A57,Master!$D$25:$G$223,4,FALSE)</f>
        <v>Primary balance</v>
      </c>
      <c r="C57" s="481"/>
      <c r="D57" s="481"/>
      <c r="E57" s="481"/>
      <c r="F57" s="481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2" t="str">
        <f>+VLOOKUP($A58,Master!$D$25:$G$223,4,FALSE)</f>
        <v>Repayment of Debt</v>
      </c>
      <c r="C58" s="483"/>
      <c r="D58" s="483"/>
      <c r="E58" s="483"/>
      <c r="F58" s="483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70" t="str">
        <f>+VLOOKUP($A59,Master!$D$25:$G$223,4,FALSE)</f>
        <v>Repayment of Domestic Debt</v>
      </c>
      <c r="C59" s="471"/>
      <c r="D59" s="471"/>
      <c r="E59" s="471"/>
      <c r="F59" s="471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4" t="str">
        <f>+VLOOKUP($A60,Master!$D$25:$G$223,4,FALSE)</f>
        <v>Repayment of Foreign Debt</v>
      </c>
      <c r="C60" s="455"/>
      <c r="D60" s="455"/>
      <c r="E60" s="455"/>
      <c r="F60" s="455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4" t="str">
        <f>+VLOOKUP($A61,Master!$D$25:$G$223,4,FALSE)</f>
        <v>Financing needs</v>
      </c>
      <c r="C61" s="475"/>
      <c r="D61" s="475"/>
      <c r="E61" s="475"/>
      <c r="F61" s="475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6" t="str">
        <f>+VLOOKUP($A62,Master!$D$25:$G$223,4,FALSE)</f>
        <v>Financing</v>
      </c>
      <c r="C62" s="477"/>
      <c r="D62" s="477"/>
      <c r="E62" s="477"/>
      <c r="F62" s="477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70" t="str">
        <f>+VLOOKUP($A63,Master!$D$25:$G$223,4,FALSE)</f>
        <v>Domestic Loans and Borrowings</v>
      </c>
      <c r="C63" s="471"/>
      <c r="D63" s="471"/>
      <c r="E63" s="471"/>
      <c r="F63" s="471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4" t="str">
        <f>+VLOOKUP($A64,Master!$D$25:$G$223,4,FALSE)</f>
        <v>Foreign Loans and Borrowings</v>
      </c>
      <c r="C64" s="455"/>
      <c r="D64" s="455"/>
      <c r="E64" s="455"/>
      <c r="F64" s="455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4" t="str">
        <f>+VLOOKUP($A65,Master!$D$25:$G$223,4,FALSE)</f>
        <v>Revenues from Selling Assets</v>
      </c>
      <c r="C65" s="455"/>
      <c r="D65" s="455"/>
      <c r="E65" s="455"/>
      <c r="F65" s="455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45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38" t="str">
        <f>+Master!G250</f>
        <v>Planned Budget Execution</v>
      </c>
      <c r="C102" s="539"/>
      <c r="D102" s="539"/>
      <c r="E102" s="539"/>
      <c r="F102" s="539"/>
      <c r="G102" s="532">
        <v>2015</v>
      </c>
      <c r="H102" s="546"/>
      <c r="I102" s="546"/>
      <c r="J102" s="546"/>
      <c r="K102" s="546"/>
      <c r="L102" s="546"/>
      <c r="M102" s="546"/>
      <c r="N102" s="546"/>
      <c r="O102" s="546"/>
      <c r="P102" s="546"/>
      <c r="Q102" s="546"/>
      <c r="R102" s="533"/>
      <c r="S102" s="115" t="str">
        <f>+S7</f>
        <v>GDP</v>
      </c>
      <c r="T102" s="116">
        <f>+T7</f>
        <v>3655000000</v>
      </c>
    </row>
    <row r="103" spans="1:21" ht="15.75" customHeight="1">
      <c r="B103" s="540"/>
      <c r="C103" s="541"/>
      <c r="D103" s="541"/>
      <c r="E103" s="541"/>
      <c r="F103" s="542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32" t="str">
        <f>+Master!G244</f>
        <v>Jan - Dec</v>
      </c>
      <c r="T103" s="533">
        <f>+T8</f>
        <v>0</v>
      </c>
    </row>
    <row r="104" spans="1:21" ht="13.5" thickBot="1">
      <c r="B104" s="543"/>
      <c r="C104" s="544"/>
      <c r="D104" s="544"/>
      <c r="E104" s="544"/>
      <c r="F104" s="545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34" t="str">
        <f>+VLOOKUP(LEFT($A105,LEN(A105)-1)*1,Master!$D$25:$G$223,4,FALSE)</f>
        <v>Total Revenues</v>
      </c>
      <c r="C105" s="535"/>
      <c r="D105" s="535"/>
      <c r="E105" s="535"/>
      <c r="F105" s="535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6" t="str">
        <f>+VLOOKUP(LEFT($A106,LEN(A106)-1)*1,Master!$D$25:$G$223,4,FALSE)</f>
        <v>Taxes</v>
      </c>
      <c r="C106" s="537"/>
      <c r="D106" s="537"/>
      <c r="E106" s="537"/>
      <c r="F106" s="537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18" t="str">
        <f>+VLOOKUP(LEFT($A107,LEN(A107)-1)*1,Master!$D$25:$G$223,4,FALSE)</f>
        <v>Personal Income Tax</v>
      </c>
      <c r="C107" s="519"/>
      <c r="D107" s="519"/>
      <c r="E107" s="519"/>
      <c r="F107" s="519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18" t="str">
        <f>+VLOOKUP(LEFT($A108,LEN(A108)-1)*1,Master!$D$25:$G$223,4,FALSE)</f>
        <v>Corporate Income Tax</v>
      </c>
      <c r="C108" s="519"/>
      <c r="D108" s="519"/>
      <c r="E108" s="519"/>
      <c r="F108" s="519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18" t="str">
        <f>+VLOOKUP(LEFT($A109,LEN(A109)-1)*1,Master!$D$25:$G$223,4,FALSE)</f>
        <v xml:space="preserve">Taxes on Sales of Property </v>
      </c>
      <c r="C109" s="519"/>
      <c r="D109" s="519"/>
      <c r="E109" s="519"/>
      <c r="F109" s="519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18" t="str">
        <f>+VLOOKUP(LEFT($A110,LEN(A110)-1)*1,Master!$D$25:$G$223,4,FALSE)</f>
        <v>Value Added Tax</v>
      </c>
      <c r="C110" s="519"/>
      <c r="D110" s="519"/>
      <c r="E110" s="519"/>
      <c r="F110" s="519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18" t="str">
        <f>+VLOOKUP(LEFT($A111,LEN(A111)-1)*1,Master!$D$25:$G$223,4,FALSE)</f>
        <v>Excises</v>
      </c>
      <c r="C111" s="519"/>
      <c r="D111" s="519"/>
      <c r="E111" s="519"/>
      <c r="F111" s="519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18" t="str">
        <f>+VLOOKUP(LEFT($A112,LEN(A112)-1)*1,Master!$D$25:$G$223,4,FALSE)</f>
        <v>Tax on International Trade and Transactions</v>
      </c>
      <c r="C112" s="519"/>
      <c r="D112" s="519"/>
      <c r="E112" s="519"/>
      <c r="F112" s="519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18" t="str">
        <f>+VLOOKUP(LEFT($A113,LEN(A113)-1)*1,Master!$D$25:$G$223,4,FALSE)</f>
        <v>Other Republic Taxes</v>
      </c>
      <c r="C113" s="519"/>
      <c r="D113" s="519"/>
      <c r="E113" s="519"/>
      <c r="F113" s="519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30" t="str">
        <f>+VLOOKUP(LEFT($A114,LEN(A114)-1)*1,Master!$D$25:$G$223,4,FALSE)</f>
        <v>Contributions</v>
      </c>
      <c r="C114" s="531"/>
      <c r="D114" s="531"/>
      <c r="E114" s="531"/>
      <c r="F114" s="531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18" t="str">
        <f>+VLOOKUP(LEFT($A115,LEN(A115)-1)*1,Master!$D$25:$G$223,4,FALSE)</f>
        <v>Contributions for Pension and Disability Insurance</v>
      </c>
      <c r="C115" s="519"/>
      <c r="D115" s="519"/>
      <c r="E115" s="519"/>
      <c r="F115" s="519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18" t="str">
        <f>+VLOOKUP(LEFT($A116,LEN(A116)-1)*1,Master!$D$25:$G$223,4,FALSE)</f>
        <v>Contributions for Health Insurance</v>
      </c>
      <c r="C116" s="519"/>
      <c r="D116" s="519"/>
      <c r="E116" s="519"/>
      <c r="F116" s="519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18" t="str">
        <f>+VLOOKUP(LEFT($A117,LEN(A117)-1)*1,Master!$D$25:$G$223,4,FALSE)</f>
        <v>Contributions for  Unemployment Insurance</v>
      </c>
      <c r="C117" s="519"/>
      <c r="D117" s="519"/>
      <c r="E117" s="519"/>
      <c r="F117" s="519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18" t="str">
        <f>+VLOOKUP(LEFT($A118,LEN(A118)-1)*1,Master!$D$25:$G$223,4,FALSE)</f>
        <v>Other contributions</v>
      </c>
      <c r="C118" s="519"/>
      <c r="D118" s="519"/>
      <c r="E118" s="519"/>
      <c r="F118" s="519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22" t="str">
        <f>+VLOOKUP(LEFT($A119,LEN(A119)-1)*1,Master!$D$25:$G$223,4,FALSE)</f>
        <v>Duties</v>
      </c>
      <c r="C119" s="523"/>
      <c r="D119" s="523"/>
      <c r="E119" s="523"/>
      <c r="F119" s="523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22" t="str">
        <f>+VLOOKUP(LEFT($A120,LEN(A120)-1)*1,Master!$D$25:$G$223,4,FALSE)</f>
        <v>Fees</v>
      </c>
      <c r="C120" s="523"/>
      <c r="D120" s="523"/>
      <c r="E120" s="523"/>
      <c r="F120" s="523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22" t="str">
        <f>+VLOOKUP(LEFT($A121,LEN(A121)-1)*1,Master!$D$25:$G$223,4,FALSE)</f>
        <v>Other revenues</v>
      </c>
      <c r="C121" s="523"/>
      <c r="D121" s="523"/>
      <c r="E121" s="523"/>
      <c r="F121" s="523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22" t="str">
        <f>+VLOOKUP(LEFT($A122,LEN(A122)-1)*1,Master!$D$25:$G$223,4,FALSE)</f>
        <v>Receipts from Repayment of Loans and Funds Carried over from Previous Year</v>
      </c>
      <c r="C122" s="523"/>
      <c r="D122" s="523"/>
      <c r="E122" s="523"/>
      <c r="F122" s="523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4" t="str">
        <f>+VLOOKUP(LEFT($A123,LEN(A123)-1)*1,Master!$D$25:$G$223,4,FALSE)</f>
        <v>Grants and Transfers</v>
      </c>
      <c r="C123" s="525"/>
      <c r="D123" s="525"/>
      <c r="E123" s="525"/>
      <c r="F123" s="525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08" t="str">
        <f>+VLOOKUP(LEFT($A124,LEN(A124)-1)*1,Master!$D$25:$G$223,4,FALSE)</f>
        <v>Total Expenditures</v>
      </c>
      <c r="C124" s="509"/>
      <c r="D124" s="509"/>
      <c r="E124" s="509"/>
      <c r="F124" s="509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6" t="str">
        <f>+VLOOKUP(LEFT($A125,LEN(A125)-1)*1,Master!$D$25:$G$223,4,FALSE)</f>
        <v>Current Expenditures</v>
      </c>
      <c r="C125" s="527"/>
      <c r="D125" s="527"/>
      <c r="E125" s="527"/>
      <c r="F125" s="527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28" t="str">
        <f>+VLOOKUP(LEFT($A126,LEN(A126)-1)*1,Master!$D$25:$G$223,4,FALSE)</f>
        <v>Current Budgetary Expenditures</v>
      </c>
      <c r="C126" s="529"/>
      <c r="D126" s="529"/>
      <c r="E126" s="529"/>
      <c r="F126" s="529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18" t="str">
        <f>+VLOOKUP(LEFT($A127,LEN(A127)-1)*1,Master!$D$25:$G$223,4,FALSE)</f>
        <v>Gross Salaries and Contributions</v>
      </c>
      <c r="C127" s="519"/>
      <c r="D127" s="519"/>
      <c r="E127" s="519"/>
      <c r="F127" s="519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18" t="str">
        <f>+VLOOKUP(LEFT($A128,LEN(A128)-1)*1,Master!$D$25:$G$223,4,FALSE)</f>
        <v>Other Personal Income</v>
      </c>
      <c r="C128" s="519"/>
      <c r="D128" s="519"/>
      <c r="E128" s="519"/>
      <c r="F128" s="519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18" t="str">
        <f>+VLOOKUP(LEFT($A129,LEN(A129)-1)*1,Master!$D$25:$G$223,4,FALSE)</f>
        <v>Expenditures for Supplies</v>
      </c>
      <c r="C129" s="519"/>
      <c r="D129" s="519"/>
      <c r="E129" s="519"/>
      <c r="F129" s="519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18" t="str">
        <f>+VLOOKUP(LEFT($A130,LEN(A130)-1)*1,Master!$D$25:$G$223,4,FALSE)</f>
        <v>Expenditures for Services</v>
      </c>
      <c r="C130" s="519"/>
      <c r="D130" s="519"/>
      <c r="E130" s="519"/>
      <c r="F130" s="519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18" t="str">
        <f>+VLOOKUP(LEFT($A131,LEN(A131)-1)*1,Master!$D$25:$G$223,4,FALSE)</f>
        <v>Current Maintenance</v>
      </c>
      <c r="C131" s="519"/>
      <c r="D131" s="519"/>
      <c r="E131" s="519"/>
      <c r="F131" s="519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18" t="str">
        <f>+VLOOKUP(LEFT($A132,LEN(A132)-1)*1,Master!$D$25:$G$223,4,FALSE)</f>
        <v>Interests</v>
      </c>
      <c r="C132" s="519"/>
      <c r="D132" s="519"/>
      <c r="E132" s="519"/>
      <c r="F132" s="519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18" t="str">
        <f>+VLOOKUP(LEFT($A133,LEN(A133)-1)*1,Master!$D$25:$G$223,4,FALSE)</f>
        <v>Rent</v>
      </c>
      <c r="C133" s="519"/>
      <c r="D133" s="519"/>
      <c r="E133" s="519"/>
      <c r="F133" s="519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18" t="str">
        <f>+VLOOKUP(LEFT($A134,LEN(A134)-1)*1,Master!$D$25:$G$223,4,FALSE)</f>
        <v>Subsidies</v>
      </c>
      <c r="C134" s="519"/>
      <c r="D134" s="519"/>
      <c r="E134" s="519"/>
      <c r="F134" s="519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18" t="str">
        <f>+VLOOKUP(LEFT($A135,LEN(A135)-1)*1,Master!$D$25:$G$223,4,FALSE)</f>
        <v>Other expenditures</v>
      </c>
      <c r="C135" s="519"/>
      <c r="D135" s="519"/>
      <c r="E135" s="519"/>
      <c r="F135" s="519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18" t="str">
        <f>+VLOOKUP(LEFT($A136,LEN(A136)-1)*1,Master!$D$25:$G$223,4,FALSE)</f>
        <v>Current Capital Expenditure</v>
      </c>
      <c r="C136" s="519"/>
      <c r="D136" s="519"/>
      <c r="E136" s="519"/>
      <c r="F136" s="519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6" t="str">
        <f>+VLOOKUP(LEFT($A137,LEN(A137)-1)*1,Master!$D$25:$G$223,4,FALSE)</f>
        <v>Social Security Transfers</v>
      </c>
      <c r="C137" s="517"/>
      <c r="D137" s="517"/>
      <c r="E137" s="517"/>
      <c r="F137" s="517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18" t="str">
        <f>+VLOOKUP(LEFT($A138,LEN(A138)-1)*1,Master!$D$25:$G$223,4,FALSE)</f>
        <v>Social Security</v>
      </c>
      <c r="C138" s="519"/>
      <c r="D138" s="519"/>
      <c r="E138" s="519"/>
      <c r="F138" s="519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18" t="str">
        <f>+VLOOKUP(LEFT($A139,LEN(A139)-1)*1,Master!$D$25:$G$223,4,FALSE)</f>
        <v>Funds for redundant labor</v>
      </c>
      <c r="C139" s="519"/>
      <c r="D139" s="519"/>
      <c r="E139" s="519"/>
      <c r="F139" s="519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18" t="str">
        <f>+VLOOKUP(LEFT($A140,LEN(A140)-1)*1,Master!$D$25:$G$223,4,FALSE)</f>
        <v>Pension and Disability Insurance</v>
      </c>
      <c r="C140" s="519"/>
      <c r="D140" s="519"/>
      <c r="E140" s="519"/>
      <c r="F140" s="519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18" t="str">
        <f>+VLOOKUP(LEFT($A141,LEN(A141)-1)*1,Master!$D$25:$G$223,4,FALSE)</f>
        <v>Other Health Care Transfers</v>
      </c>
      <c r="C141" s="519"/>
      <c r="D141" s="519"/>
      <c r="E141" s="519"/>
      <c r="F141" s="519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18" t="str">
        <f>+VLOOKUP(LEFT($A142,LEN(A142)-1)*1,Master!$D$25:$G$223,4,FALSE)</f>
        <v>Other Health Care Insurance</v>
      </c>
      <c r="C142" s="519"/>
      <c r="D142" s="519"/>
      <c r="E142" s="519"/>
      <c r="F142" s="519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20" t="str">
        <f>+VLOOKUP(LEFT($A143,LEN(A143)-1)*1,Master!$D$25:$G$223,4,FALSE)</f>
        <v xml:space="preserve">Transfers to Institutions, Individuals, NGO and Public Sector </v>
      </c>
      <c r="C143" s="521"/>
      <c r="D143" s="521"/>
      <c r="E143" s="521"/>
      <c r="F143" s="521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20" t="str">
        <f>+VLOOKUP(LEFT($A144,LEN(A144)-1)*1,Master!$D$25:$G$223,4,FALSE)</f>
        <v>Capital Expenditure</v>
      </c>
      <c r="C144" s="521"/>
      <c r="D144" s="521"/>
      <c r="E144" s="521"/>
      <c r="F144" s="521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4" t="str">
        <f>+VLOOKUP(LEFT($A145,LEN(A145)-1)*1,Master!$D$25:$G$223,4,FALSE)</f>
        <v>Credits and Borrowings</v>
      </c>
      <c r="C145" s="505"/>
      <c r="D145" s="505"/>
      <c r="E145" s="505"/>
      <c r="F145" s="505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4" t="str">
        <f>+VLOOKUP(LEFT($A146,LEN(A146)-1)*1,Master!$D$25:$G$223,4,FALSE)</f>
        <v>Reserves</v>
      </c>
      <c r="C146" s="505"/>
      <c r="D146" s="505"/>
      <c r="E146" s="505"/>
      <c r="F146" s="505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8" t="str">
        <f>+VLOOKUP(LEFT($A147,LEN(A147)-1)*1,Master!$D$25:$G$223,4,FALSE)</f>
        <v>Repayment of Guarantees</v>
      </c>
      <c r="C147" s="559"/>
      <c r="D147" s="559"/>
      <c r="E147" s="559"/>
      <c r="F147" s="559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2" t="str">
        <f>+VLOOKUP(LEFT($A148,LEN(A148)-1)*1,Master!$D$25:$G$223,4,FALSE)</f>
        <v>Surplus / deficit</v>
      </c>
      <c r="C148" s="513"/>
      <c r="D148" s="513"/>
      <c r="E148" s="513"/>
      <c r="F148" s="513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4" t="str">
        <f>+VLOOKUP(LEFT($A149,LEN(A149)-1)*1,Master!$D$25:$G$223,4,FALSE)</f>
        <v>Primary balance</v>
      </c>
      <c r="C149" s="515"/>
      <c r="D149" s="515"/>
      <c r="E149" s="515"/>
      <c r="F149" s="515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6" t="str">
        <f>+VLOOKUP(LEFT($A150,LEN(A150)-1)*1,Master!$D$25:$G$223,4,FALSE)</f>
        <v>Repayment of Debt</v>
      </c>
      <c r="C150" s="517"/>
      <c r="D150" s="517"/>
      <c r="E150" s="517"/>
      <c r="F150" s="517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10" t="str">
        <f>+VLOOKUP(LEFT($A151,LEN(A151)-1)*1,Master!$D$25:$G$223,4,FALSE)</f>
        <v>Repayment of Domestic Debt</v>
      </c>
      <c r="C151" s="511"/>
      <c r="D151" s="511"/>
      <c r="E151" s="511"/>
      <c r="F151" s="511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4" t="str">
        <f>+VLOOKUP(LEFT($A152,LEN(A152)-1)*1,Master!$D$25:$G$223,4,FALSE)</f>
        <v>Repayment of Foreign Debt</v>
      </c>
      <c r="C152" s="505"/>
      <c r="D152" s="505"/>
      <c r="E152" s="505"/>
      <c r="F152" s="505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8" t="str">
        <f>+VLOOKUP(LEFT($A153,LEN(A153)-1)*1,Master!$D$25:$G$223,4,FALSE)</f>
        <v>Repayments of Arrears</v>
      </c>
      <c r="C153" s="559"/>
      <c r="D153" s="559"/>
      <c r="E153" s="559"/>
      <c r="F153" s="559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6" t="str">
        <f>+VLOOKUP(LEFT($A154,LEN(A154)-1)*1,Master!$D$25:$G$223,4,FALSE)</f>
        <v>Financing needs</v>
      </c>
      <c r="C154" s="507"/>
      <c r="D154" s="507"/>
      <c r="E154" s="507"/>
      <c r="F154" s="507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08" t="str">
        <f>+VLOOKUP(LEFT($A155,LEN(A155)-1)*1,Master!$D$25:$G$223,4,FALSE)</f>
        <v>Financing</v>
      </c>
      <c r="C155" s="509"/>
      <c r="D155" s="509"/>
      <c r="E155" s="509"/>
      <c r="F155" s="509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10" t="str">
        <f>+VLOOKUP(LEFT($A156,LEN(A156)-1)*1,Master!$D$25:$G$223,4,FALSE)</f>
        <v>Domestic Loans and Borrowings</v>
      </c>
      <c r="C156" s="511"/>
      <c r="D156" s="511"/>
      <c r="E156" s="511"/>
      <c r="F156" s="511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4" t="str">
        <f>+VLOOKUP(LEFT($A157,LEN(A157)-1)*1,Master!$D$25:$G$223,4,FALSE)</f>
        <v>Foreign Loans and Borrowings</v>
      </c>
      <c r="C157" s="505"/>
      <c r="D157" s="505"/>
      <c r="E157" s="505"/>
      <c r="F157" s="505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4" t="str">
        <f>+VLOOKUP(LEFT($A158,LEN(A158)-1)*1,Master!$D$25:$G$223,4,FALSE)</f>
        <v>Revenues from Selling Assets</v>
      </c>
      <c r="C158" s="505"/>
      <c r="D158" s="505"/>
      <c r="E158" s="505"/>
      <c r="F158" s="505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530</v>
      </c>
      <c r="H6" s="259" t="s">
        <v>531</v>
      </c>
      <c r="I6" s="259" t="s">
        <v>532</v>
      </c>
      <c r="J6" s="259" t="s">
        <v>533</v>
      </c>
      <c r="K6" s="259" t="s">
        <v>534</v>
      </c>
      <c r="L6" s="259" t="s">
        <v>535</v>
      </c>
      <c r="M6" s="259" t="s">
        <v>536</v>
      </c>
      <c r="N6" s="259" t="s">
        <v>537</v>
      </c>
      <c r="O6" s="259" t="s">
        <v>538</v>
      </c>
      <c r="P6" s="259" t="s">
        <v>539</v>
      </c>
      <c r="Q6" s="259" t="s">
        <v>540</v>
      </c>
      <c r="R6" s="259" t="s">
        <v>541</v>
      </c>
      <c r="S6" s="258"/>
      <c r="T6" s="258"/>
    </row>
    <row r="7" spans="1:20" ht="15" customHeight="1" thickBot="1">
      <c r="A7" s="169"/>
      <c r="B7" s="557" t="str">
        <f>+Master!G249</f>
        <v>Budget Execution</v>
      </c>
      <c r="C7" s="457"/>
      <c r="D7" s="457"/>
      <c r="E7" s="457"/>
      <c r="F7" s="457"/>
      <c r="G7" s="465">
        <v>2014</v>
      </c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9"/>
      <c r="S7" s="260" t="str">
        <f>+Master!G246</f>
        <v>GDP</v>
      </c>
      <c r="T7" s="261">
        <v>3457880000</v>
      </c>
    </row>
    <row r="8" spans="1:20" ht="16.5" customHeight="1">
      <c r="A8" s="169"/>
      <c r="B8" s="458"/>
      <c r="C8" s="459"/>
      <c r="D8" s="459"/>
      <c r="E8" s="459"/>
      <c r="F8" s="460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65" t="s">
        <v>705</v>
      </c>
      <c r="T8" s="469"/>
    </row>
    <row r="9" spans="1:20" ht="13.5" thickBot="1">
      <c r="A9" s="169"/>
      <c r="B9" s="461"/>
      <c r="C9" s="462"/>
      <c r="D9" s="462"/>
      <c r="E9" s="462"/>
      <c r="F9" s="463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8" t="str">
        <f>+VLOOKUP($A10,Master!$D$25:$G$223,4,FALSE)</f>
        <v>Total Revenues</v>
      </c>
      <c r="C10" s="499"/>
      <c r="D10" s="499"/>
      <c r="E10" s="499"/>
      <c r="F10" s="499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500" t="str">
        <f>+VLOOKUP($A11,Master!$D$25:$G$223,4,FALSE)</f>
        <v>Taxes</v>
      </c>
      <c r="C11" s="501"/>
      <c r="D11" s="501"/>
      <c r="E11" s="501"/>
      <c r="F11" s="501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6" t="str">
        <f>+VLOOKUP($A12,Master!$D$25:$G$223,4,FALSE)</f>
        <v>Personal Income Tax</v>
      </c>
      <c r="C12" s="487"/>
      <c r="D12" s="487"/>
      <c r="E12" s="487"/>
      <c r="F12" s="487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6" t="str">
        <f>+VLOOKUP($A13,Master!$D$25:$G$223,4,FALSE)</f>
        <v>Corporate Income Tax</v>
      </c>
      <c r="C13" s="487"/>
      <c r="D13" s="487"/>
      <c r="E13" s="487"/>
      <c r="F13" s="487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6" t="str">
        <f>+VLOOKUP($A14,Master!$D$25:$G$223,4,FALSE)</f>
        <v xml:space="preserve">Taxes on Sales of Property </v>
      </c>
      <c r="C14" s="487"/>
      <c r="D14" s="487"/>
      <c r="E14" s="487"/>
      <c r="F14" s="487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6" t="str">
        <f>+VLOOKUP($A15,Master!$D$25:$G$223,4,FALSE)</f>
        <v>Value Added Tax</v>
      </c>
      <c r="C15" s="487"/>
      <c r="D15" s="487"/>
      <c r="E15" s="487"/>
      <c r="F15" s="487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6" t="str">
        <f>+VLOOKUP($A16,Master!$D$25:$G$223,4,FALSE)</f>
        <v>Excises</v>
      </c>
      <c r="C16" s="487"/>
      <c r="D16" s="487"/>
      <c r="E16" s="487"/>
      <c r="F16" s="487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6" t="str">
        <f>+VLOOKUP($A17,Master!$D$25:$G$223,4,FALSE)</f>
        <v>Tax on International Trade and Transactions</v>
      </c>
      <c r="C17" s="487"/>
      <c r="D17" s="487"/>
      <c r="E17" s="487"/>
      <c r="F17" s="487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6" t="str">
        <f>+VLOOKUP($A18,Master!$D$25:$G$223,4,FALSE)</f>
        <v>Other Republic Taxes</v>
      </c>
      <c r="C18" s="487"/>
      <c r="D18" s="487"/>
      <c r="E18" s="487"/>
      <c r="F18" s="487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6" t="str">
        <f>+VLOOKUP($A19,Master!$D$25:$G$223,4,FALSE)</f>
        <v>Contributions</v>
      </c>
      <c r="C19" s="497"/>
      <c r="D19" s="497"/>
      <c r="E19" s="497"/>
      <c r="F19" s="497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6" t="str">
        <f>+VLOOKUP($A20,Master!$D$25:$G$223,4,FALSE)</f>
        <v>Contributions for Pension and Disability Insurance</v>
      </c>
      <c r="C20" s="487"/>
      <c r="D20" s="487"/>
      <c r="E20" s="487"/>
      <c r="F20" s="487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6" t="str">
        <f>+VLOOKUP($A21,Master!$D$25:$G$223,4,FALSE)</f>
        <v>Contributions for Health Insurance</v>
      </c>
      <c r="C21" s="487"/>
      <c r="D21" s="487"/>
      <c r="E21" s="487"/>
      <c r="F21" s="487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6" t="str">
        <f>+VLOOKUP($A22,Master!$D$25:$G$223,4,FALSE)</f>
        <v>Contributions for  Unemployment Insurance</v>
      </c>
      <c r="C22" s="487"/>
      <c r="D22" s="487"/>
      <c r="E22" s="487"/>
      <c r="F22" s="487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6" t="str">
        <f>+VLOOKUP($A23,Master!$D$25:$G$223,4,FALSE)</f>
        <v>Other contributions</v>
      </c>
      <c r="C23" s="487"/>
      <c r="D23" s="487"/>
      <c r="E23" s="487"/>
      <c r="F23" s="487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8" t="str">
        <f>+VLOOKUP($A24,Master!$D$25:$G$223,4,FALSE)</f>
        <v>Duties</v>
      </c>
      <c r="C24" s="489"/>
      <c r="D24" s="489"/>
      <c r="E24" s="489"/>
      <c r="F24" s="489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8" t="str">
        <f>+VLOOKUP($A25,Master!$D$25:$G$223,4,FALSE)</f>
        <v>Fees</v>
      </c>
      <c r="C25" s="489"/>
      <c r="D25" s="489"/>
      <c r="E25" s="489"/>
      <c r="F25" s="489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8" t="str">
        <f>+VLOOKUP($A26,Master!$D$25:$G$223,4,FALSE)</f>
        <v>Other revenues</v>
      </c>
      <c r="C26" s="489"/>
      <c r="D26" s="489"/>
      <c r="E26" s="489"/>
      <c r="F26" s="489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8" t="str">
        <f>+VLOOKUP($A27,Master!$D$25:$G$223,4,FALSE)</f>
        <v>Receipts from Repayment of Loans and Funds Carried over from Previous Year</v>
      </c>
      <c r="C27" s="489"/>
      <c r="D27" s="489"/>
      <c r="E27" s="489"/>
      <c r="F27" s="489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90" t="str">
        <f>+VLOOKUP($A28,Master!$D$25:$G$223,4,FALSE)</f>
        <v>Grants and Transfers</v>
      </c>
      <c r="C28" s="491"/>
      <c r="D28" s="491"/>
      <c r="E28" s="491"/>
      <c r="F28" s="491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6" t="str">
        <f>+VLOOKUP($A29,Master!$D$25:$G$223,4,FALSE)</f>
        <v>Total Expenditures</v>
      </c>
      <c r="C29" s="477"/>
      <c r="D29" s="477"/>
      <c r="E29" s="477"/>
      <c r="F29" s="477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2" t="str">
        <f>+VLOOKUP($A30,Master!$D$25:$G$223,4,FALSE)</f>
        <v>Current Expenditures</v>
      </c>
      <c r="C30" s="493"/>
      <c r="D30" s="493"/>
      <c r="E30" s="493"/>
      <c r="F30" s="493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4" t="str">
        <f>+VLOOKUP($A31,Master!$D$25:$G$223,4,FALSE)</f>
        <v>Current Budgetary Expenditures</v>
      </c>
      <c r="C31" s="495"/>
      <c r="D31" s="495"/>
      <c r="E31" s="495"/>
      <c r="F31" s="495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6" t="str">
        <f>+VLOOKUP($A32,Master!$D$25:$G$223,4,FALSE)</f>
        <v>Gross Salaries and Contributions</v>
      </c>
      <c r="C32" s="487"/>
      <c r="D32" s="487"/>
      <c r="E32" s="487"/>
      <c r="F32" s="487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6" t="str">
        <f>+VLOOKUP($A33,Master!$D$25:$G$223,4,FALSE)</f>
        <v>Other Personal Income</v>
      </c>
      <c r="C33" s="487"/>
      <c r="D33" s="487"/>
      <c r="E33" s="487"/>
      <c r="F33" s="487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6" t="str">
        <f>+VLOOKUP($A34,Master!$D$25:$G$223,4,FALSE)</f>
        <v>Expenditures for Supplies</v>
      </c>
      <c r="C34" s="487"/>
      <c r="D34" s="487"/>
      <c r="E34" s="487"/>
      <c r="F34" s="487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6" t="str">
        <f>+VLOOKUP($A35,Master!$D$25:$G$223,4,FALSE)</f>
        <v>Expenditures for Services</v>
      </c>
      <c r="C35" s="487"/>
      <c r="D35" s="487"/>
      <c r="E35" s="487"/>
      <c r="F35" s="487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6" t="str">
        <f>+VLOOKUP($A36,Master!$D$25:$G$223,4,FALSE)</f>
        <v>Current Maintenance</v>
      </c>
      <c r="C36" s="487"/>
      <c r="D36" s="487"/>
      <c r="E36" s="487"/>
      <c r="F36" s="487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6" t="str">
        <f>+VLOOKUP($A37,Master!$D$25:$G$223,4,FALSE)</f>
        <v>Interests</v>
      </c>
      <c r="C37" s="487"/>
      <c r="D37" s="487"/>
      <c r="E37" s="487"/>
      <c r="F37" s="487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6" t="str">
        <f>+VLOOKUP($A38,Master!$D$25:$G$223,4,FALSE)</f>
        <v>Rent</v>
      </c>
      <c r="C38" s="487"/>
      <c r="D38" s="487"/>
      <c r="E38" s="487"/>
      <c r="F38" s="487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6" t="str">
        <f>+VLOOKUP($A39,Master!$D$25:$G$223,4,FALSE)</f>
        <v>Subsidies</v>
      </c>
      <c r="C39" s="487"/>
      <c r="D39" s="487"/>
      <c r="E39" s="487"/>
      <c r="F39" s="487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6" t="str">
        <f>+VLOOKUP($A40,Master!$D$25:$G$223,4,FALSE)</f>
        <v>Other expenditures</v>
      </c>
      <c r="C40" s="487"/>
      <c r="D40" s="487"/>
      <c r="E40" s="487"/>
      <c r="F40" s="487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6" t="str">
        <f>+VLOOKUP($A41,Master!$D$25:$G$223,4,FALSE)</f>
        <v>Current Capital Expenditure</v>
      </c>
      <c r="C41" s="487"/>
      <c r="D41" s="487"/>
      <c r="E41" s="487"/>
      <c r="F41" s="487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2" t="str">
        <f>+VLOOKUP($A42,Master!$D$25:$G$223,4,FALSE)</f>
        <v>Social Security Transfers</v>
      </c>
      <c r="C42" s="483"/>
      <c r="D42" s="483"/>
      <c r="E42" s="483"/>
      <c r="F42" s="483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6" t="str">
        <f>+VLOOKUP($A43,Master!$D$25:$G$223,4,FALSE)</f>
        <v>Social Security</v>
      </c>
      <c r="C43" s="487"/>
      <c r="D43" s="487"/>
      <c r="E43" s="487"/>
      <c r="F43" s="487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6" t="str">
        <f>+VLOOKUP($A44,Master!$D$25:$G$223,4,FALSE)</f>
        <v>Funds for redundant labor</v>
      </c>
      <c r="C44" s="487"/>
      <c r="D44" s="487"/>
      <c r="E44" s="487"/>
      <c r="F44" s="487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6" t="str">
        <f>+VLOOKUP($A45,Master!$D$25:$G$223,4,FALSE)</f>
        <v>Pension and Disability Insurance</v>
      </c>
      <c r="C45" s="487"/>
      <c r="D45" s="487"/>
      <c r="E45" s="487"/>
      <c r="F45" s="487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6" t="str">
        <f>+VLOOKUP($A46,Master!$D$25:$G$223,4,FALSE)</f>
        <v>Other Health Care Transfers</v>
      </c>
      <c r="C46" s="487"/>
      <c r="D46" s="487"/>
      <c r="E46" s="487"/>
      <c r="F46" s="487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6" t="str">
        <f>+VLOOKUP($A47,Master!$D$25:$G$223,4,FALSE)</f>
        <v>Other Health Care Insurance</v>
      </c>
      <c r="C47" s="487"/>
      <c r="D47" s="487"/>
      <c r="E47" s="487"/>
      <c r="F47" s="487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4" t="str">
        <f>+VLOOKUP($A48,Master!$D$25:$G$223,4,FALSE)</f>
        <v xml:space="preserve">Transfers to Institutions, Individuals, NGO and Public Sector </v>
      </c>
      <c r="C48" s="485"/>
      <c r="D48" s="485"/>
      <c r="E48" s="485"/>
      <c r="F48" s="485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4" t="str">
        <f>+VLOOKUP($A49,Master!$D$25:$G$223,4,FALSE)</f>
        <v>Capital Expenditure</v>
      </c>
      <c r="C49" s="485"/>
      <c r="D49" s="485"/>
      <c r="E49" s="485"/>
      <c r="F49" s="485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4" t="str">
        <f>+VLOOKUP($A50,Master!$D$25:$G$223,4,FALSE)</f>
        <v>Credits and Borrowings</v>
      </c>
      <c r="C50" s="455"/>
      <c r="D50" s="455"/>
      <c r="E50" s="455"/>
      <c r="F50" s="455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4" t="str">
        <f>+VLOOKUP($A51,Master!$D$25:$G$223,4,FALSE)</f>
        <v>Reserves</v>
      </c>
      <c r="C51" s="455"/>
      <c r="D51" s="455"/>
      <c r="E51" s="455"/>
      <c r="F51" s="455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2" t="str">
        <f>+VLOOKUP($A52,Master!$D$25:$G$223,4,FALSE)</f>
        <v>Repayment of Guarantees</v>
      </c>
      <c r="C52" s="473"/>
      <c r="D52" s="473"/>
      <c r="E52" s="473"/>
      <c r="F52" s="473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2" t="str">
        <f>+VLOOKUP($A53,Master!$D$25:$G$223,4,TRUE)</f>
        <v>Repayments of Arrears</v>
      </c>
      <c r="C53" s="473"/>
      <c r="D53" s="473"/>
      <c r="E53" s="473"/>
      <c r="F53" s="473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8" t="str">
        <f>+VLOOKUP($A54,Master!$D$25:$G$225,4,FALSE)</f>
        <v>Net increase of liabilities</v>
      </c>
      <c r="C54" s="559"/>
      <c r="D54" s="559"/>
      <c r="E54" s="559"/>
      <c r="F54" s="559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60" t="str">
        <f>+VLOOKUP($A55,Master!$D$25:$G$223,4,FALSE)</f>
        <v>Surplus / deficit</v>
      </c>
      <c r="C55" s="561"/>
      <c r="D55" s="561"/>
      <c r="E55" s="561"/>
      <c r="F55" s="561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80" t="str">
        <f>+VLOOKUP($A56,Master!$D$25:$G$223,4,FALSE)</f>
        <v>Primary balance</v>
      </c>
      <c r="C56" s="481"/>
      <c r="D56" s="481"/>
      <c r="E56" s="481"/>
      <c r="F56" s="481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2" t="str">
        <f>+VLOOKUP($A57,Master!$D$25:$G$223,4,FALSE)</f>
        <v>Repayment of Debt</v>
      </c>
      <c r="C57" s="483"/>
      <c r="D57" s="483"/>
      <c r="E57" s="483"/>
      <c r="F57" s="483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70" t="str">
        <f>+VLOOKUP($A58,Master!$D$25:$G$223,4,FALSE)</f>
        <v>Repayment of Domestic Debt</v>
      </c>
      <c r="C58" s="471"/>
      <c r="D58" s="471"/>
      <c r="E58" s="471"/>
      <c r="F58" s="471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4" t="str">
        <f>+VLOOKUP($A59,Master!$D$25:$G$223,4,FALSE)</f>
        <v>Repayment of Foreign Debt</v>
      </c>
      <c r="C59" s="455"/>
      <c r="D59" s="455"/>
      <c r="E59" s="455"/>
      <c r="F59" s="455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4" t="str">
        <f>+VLOOKUP($A60,Master!$D$25:$G$223,4,FALSE)</f>
        <v>Financing needs</v>
      </c>
      <c r="C60" s="475"/>
      <c r="D60" s="475"/>
      <c r="E60" s="475"/>
      <c r="F60" s="475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6" t="str">
        <f>+VLOOKUP($A61,Master!$D$25:$G$223,4,FALSE)</f>
        <v>Financing</v>
      </c>
      <c r="C61" s="477"/>
      <c r="D61" s="477"/>
      <c r="E61" s="477"/>
      <c r="F61" s="477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70" t="str">
        <f>+VLOOKUP($A62,Master!$D$25:$G$223,4,FALSE)</f>
        <v>Domestic Loans and Borrowings</v>
      </c>
      <c r="C62" s="471"/>
      <c r="D62" s="471"/>
      <c r="E62" s="471"/>
      <c r="F62" s="471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4" t="str">
        <f>+VLOOKUP($A63,Master!$D$25:$G$223,4,FALSE)</f>
        <v>Foreign Loans and Borrowings</v>
      </c>
      <c r="C63" s="455"/>
      <c r="D63" s="455"/>
      <c r="E63" s="455"/>
      <c r="F63" s="455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4" t="str">
        <f>+VLOOKUP($A64,Master!$D$25:$G$223,4,FALSE)</f>
        <v>Revenues from Selling Assets</v>
      </c>
      <c r="C64" s="455"/>
      <c r="D64" s="455"/>
      <c r="E64" s="455"/>
      <c r="F64" s="455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+VLOOKUP($A65,Master!$D$25:$G$223,4,FALSE)</f>
        <v>Increase / decrease of deposits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8" t="str">
        <f>+Master!G250</f>
        <v>Planned Budget Execution</v>
      </c>
      <c r="C101" s="539"/>
      <c r="D101" s="539"/>
      <c r="E101" s="539"/>
      <c r="F101" s="539"/>
      <c r="G101" s="532">
        <v>2014</v>
      </c>
      <c r="H101" s="546"/>
      <c r="I101" s="546"/>
      <c r="J101" s="546"/>
      <c r="K101" s="546"/>
      <c r="L101" s="546"/>
      <c r="M101" s="546"/>
      <c r="N101" s="546"/>
      <c r="O101" s="546"/>
      <c r="P101" s="546"/>
      <c r="Q101" s="546"/>
      <c r="R101" s="533"/>
      <c r="S101" s="115" t="str">
        <f>+S7</f>
        <v>GDP</v>
      </c>
      <c r="T101" s="116">
        <v>3393200615</v>
      </c>
    </row>
    <row r="102" spans="1:21" ht="15.75" customHeight="1">
      <c r="B102" s="540"/>
      <c r="C102" s="541"/>
      <c r="D102" s="541"/>
      <c r="E102" s="541"/>
      <c r="F102" s="542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532" t="str">
        <f>+Master!G244</f>
        <v>Jan - Dec</v>
      </c>
      <c r="T102" s="533">
        <f>+T8</f>
        <v>0</v>
      </c>
    </row>
    <row r="103" spans="1:21" ht="13.5" thickBot="1">
      <c r="B103" s="543"/>
      <c r="C103" s="544"/>
      <c r="D103" s="544"/>
      <c r="E103" s="544"/>
      <c r="F103" s="545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7" t="str">
        <f t="shared" ref="A104:A111" si="16">+CONCATENATE(A10,"p")</f>
        <v>7p</v>
      </c>
      <c r="B104" s="534" t="str">
        <f>+VLOOKUP(LEFT($A104,LEN(A104)-1)*1,Master!$D$25:$G$223,4,FALSE)</f>
        <v>Total Revenues</v>
      </c>
      <c r="C104" s="535"/>
      <c r="D104" s="535"/>
      <c r="E104" s="535"/>
      <c r="F104" s="535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6" t="str">
        <f>+VLOOKUP(LEFT($A105,LEN(A105)-1)*1,Master!$D$25:$G$223,4,FALSE)</f>
        <v>Taxes</v>
      </c>
      <c r="C105" s="537"/>
      <c r="D105" s="537"/>
      <c r="E105" s="537"/>
      <c r="F105" s="537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8" t="str">
        <f>+VLOOKUP(LEFT($A106,LEN(A106)-1)*1,Master!$D$25:$G$223,4,FALSE)</f>
        <v>Personal Income Tax</v>
      </c>
      <c r="C106" s="519"/>
      <c r="D106" s="519"/>
      <c r="E106" s="519"/>
      <c r="F106" s="519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8" t="str">
        <f>+VLOOKUP(LEFT($A107,LEN(A107)-1)*1,Master!$D$25:$G$223,4,FALSE)</f>
        <v>Corporate Income Tax</v>
      </c>
      <c r="C107" s="519"/>
      <c r="D107" s="519"/>
      <c r="E107" s="519"/>
      <c r="F107" s="519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8" t="str">
        <f>+VLOOKUP(LEFT($A108,LEN(A108)-1)*1,Master!$D$25:$G$223,4,FALSE)</f>
        <v xml:space="preserve">Taxes on Sales of Property </v>
      </c>
      <c r="C108" s="519"/>
      <c r="D108" s="519"/>
      <c r="E108" s="519"/>
      <c r="F108" s="519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8" t="str">
        <f>+VLOOKUP(LEFT($A109,LEN(A109)-1)*1,Master!$D$25:$G$223,4,FALSE)</f>
        <v>Value Added Tax</v>
      </c>
      <c r="C109" s="519"/>
      <c r="D109" s="519"/>
      <c r="E109" s="519"/>
      <c r="F109" s="519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8" t="str">
        <f>+VLOOKUP(LEFT($A110,LEN(A110)-1)*1,Master!$D$25:$G$223,4,FALSE)</f>
        <v>Excises</v>
      </c>
      <c r="C110" s="519"/>
      <c r="D110" s="519"/>
      <c r="E110" s="519"/>
      <c r="F110" s="519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8" t="str">
        <f>+VLOOKUP(LEFT($A111,LEN(A111)-1)*1,Master!$D$25:$G$223,4,FALSE)</f>
        <v>Tax on International Trade and Transactions</v>
      </c>
      <c r="C111" s="519"/>
      <c r="D111" s="519"/>
      <c r="E111" s="519"/>
      <c r="F111" s="519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8" t="e">
        <f>+VLOOKUP(LEFT($A112,LEN(A112)-1)*1,Master!$D$25:$G$223,4,FALSE)</f>
        <v>#REF!</v>
      </c>
      <c r="C112" s="519"/>
      <c r="D112" s="519"/>
      <c r="E112" s="519"/>
      <c r="F112" s="519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8" t="str">
        <f>+VLOOKUP(LEFT($A113,LEN(A113)-1)*1,Master!$D$25:$G$223,4,FALSE)</f>
        <v>Other Republic Taxes</v>
      </c>
      <c r="C113" s="519"/>
      <c r="D113" s="519"/>
      <c r="E113" s="519"/>
      <c r="F113" s="519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30" t="str">
        <f>+VLOOKUP(LEFT($A114,LEN(A114)-1)*1,Master!$D$25:$G$223,4,FALSE)</f>
        <v>Contributions</v>
      </c>
      <c r="C114" s="531"/>
      <c r="D114" s="531"/>
      <c r="E114" s="531"/>
      <c r="F114" s="531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8" t="str">
        <f>+VLOOKUP(LEFT($A115,LEN(A115)-1)*1,Master!$D$25:$G$223,4,FALSE)</f>
        <v>Contributions for Pension and Disability Insurance</v>
      </c>
      <c r="C115" s="519"/>
      <c r="D115" s="519"/>
      <c r="E115" s="519"/>
      <c r="F115" s="519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8" t="str">
        <f>+VLOOKUP(LEFT($A116,LEN(A116)-1)*1,Master!$D$25:$G$223,4,FALSE)</f>
        <v>Contributions for Health Insurance</v>
      </c>
      <c r="C116" s="519"/>
      <c r="D116" s="519"/>
      <c r="E116" s="519"/>
      <c r="F116" s="519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8" t="str">
        <f>+VLOOKUP(LEFT($A117,LEN(A117)-1)*1,Master!$D$25:$G$223,4,FALSE)</f>
        <v>Contributions for  Unemployment Insurance</v>
      </c>
      <c r="C117" s="519"/>
      <c r="D117" s="519"/>
      <c r="E117" s="519"/>
      <c r="F117" s="519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8" t="str">
        <f>+VLOOKUP(LEFT($A118,LEN(A118)-1)*1,Master!$D$25:$G$223,4,FALSE)</f>
        <v>Other contributions</v>
      </c>
      <c r="C118" s="519"/>
      <c r="D118" s="519"/>
      <c r="E118" s="519"/>
      <c r="F118" s="519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2" t="str">
        <f>+VLOOKUP(LEFT($A119,LEN(A119)-1)*1,Master!$D$25:$G$223,4,FALSE)</f>
        <v>Duties</v>
      </c>
      <c r="C119" s="523"/>
      <c r="D119" s="523"/>
      <c r="E119" s="523"/>
      <c r="F119" s="523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2" t="str">
        <f>+VLOOKUP(LEFT($A120,LEN(A120)-1)*1,Master!$D$25:$G$223,4,FALSE)</f>
        <v>Fees</v>
      </c>
      <c r="C120" s="523"/>
      <c r="D120" s="523"/>
      <c r="E120" s="523"/>
      <c r="F120" s="523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2" t="str">
        <f>+VLOOKUP(LEFT($A121,LEN(A121)-1)*1,Master!$D$25:$G$223,4,FALSE)</f>
        <v>Other revenues</v>
      </c>
      <c r="C121" s="523"/>
      <c r="D121" s="523"/>
      <c r="E121" s="523"/>
      <c r="F121" s="523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2" t="str">
        <f>+VLOOKUP(LEFT($A122,LEN(A122)-1)*1,Master!$D$25:$G$223,4,FALSE)</f>
        <v>Receipts from Repayment of Loans and Funds Carried over from Previous Year</v>
      </c>
      <c r="C122" s="523"/>
      <c r="D122" s="523"/>
      <c r="E122" s="523"/>
      <c r="F122" s="523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4" t="str">
        <f>+VLOOKUP(LEFT($A123,LEN(A123)-1)*1,Master!$D$25:$G$223,4,FALSE)</f>
        <v>Grants and Transfers</v>
      </c>
      <c r="C123" s="525"/>
      <c r="D123" s="525"/>
      <c r="E123" s="525"/>
      <c r="F123" s="525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08" t="str">
        <f>+VLOOKUP(LEFT($A124,LEN(A124)-1)*1,Master!$D$25:$G$223,4,FALSE)</f>
        <v>Total Expenditures</v>
      </c>
      <c r="C124" s="509"/>
      <c r="D124" s="509"/>
      <c r="E124" s="509"/>
      <c r="F124" s="509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6" t="str">
        <f>+VLOOKUP(LEFT($A125,LEN(A125)-1)*1,Master!$D$25:$G$223,4,FALSE)</f>
        <v>Current Expenditures</v>
      </c>
      <c r="C125" s="527"/>
      <c r="D125" s="527"/>
      <c r="E125" s="527"/>
      <c r="F125" s="527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8" t="str">
        <f>+VLOOKUP(LEFT($A126,LEN(A126)-1)*1,Master!$D$25:$G$223,4,FALSE)</f>
        <v>Current Budgetary Expenditures</v>
      </c>
      <c r="C126" s="529"/>
      <c r="D126" s="529"/>
      <c r="E126" s="529"/>
      <c r="F126" s="529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8" t="str">
        <f>+VLOOKUP(LEFT($A127,LEN(A127)-1)*1,Master!$D$25:$G$223,4,FALSE)</f>
        <v>Gross Salaries and Contributions</v>
      </c>
      <c r="C127" s="519"/>
      <c r="D127" s="519"/>
      <c r="E127" s="519"/>
      <c r="F127" s="519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8" t="str">
        <f>+VLOOKUP(LEFT($A128,LEN(A128)-1)*1,Master!$D$25:$G$223,4,FALSE)</f>
        <v>Other Personal Income</v>
      </c>
      <c r="C128" s="519"/>
      <c r="D128" s="519"/>
      <c r="E128" s="519"/>
      <c r="F128" s="519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8" t="str">
        <f>+VLOOKUP(LEFT($A129,LEN(A129)-1)*1,Master!$D$25:$G$223,4,FALSE)</f>
        <v>Expenditures for Supplies</v>
      </c>
      <c r="C129" s="519"/>
      <c r="D129" s="519"/>
      <c r="E129" s="519"/>
      <c r="F129" s="519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8" t="str">
        <f>+VLOOKUP(LEFT($A130,LEN(A130)-1)*1,Master!$D$25:$G$223,4,FALSE)</f>
        <v>Expenditures for Services</v>
      </c>
      <c r="C130" s="519"/>
      <c r="D130" s="519"/>
      <c r="E130" s="519"/>
      <c r="F130" s="519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8" t="str">
        <f>+VLOOKUP(LEFT($A131,LEN(A131)-1)*1,Master!$D$25:$G$223,4,FALSE)</f>
        <v>Current Maintenance</v>
      </c>
      <c r="C131" s="519"/>
      <c r="D131" s="519"/>
      <c r="E131" s="519"/>
      <c r="F131" s="519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8" t="str">
        <f>+VLOOKUP(LEFT($A132,LEN(A132)-1)*1,Master!$D$25:$G$223,4,FALSE)</f>
        <v>Interests</v>
      </c>
      <c r="C132" s="519"/>
      <c r="D132" s="519"/>
      <c r="E132" s="519"/>
      <c r="F132" s="519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8" t="str">
        <f>+VLOOKUP(LEFT($A133,LEN(A133)-1)*1,Master!$D$25:$G$223,4,FALSE)</f>
        <v>Rent</v>
      </c>
      <c r="C133" s="519"/>
      <c r="D133" s="519"/>
      <c r="E133" s="519"/>
      <c r="F133" s="519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8" t="str">
        <f>+VLOOKUP(LEFT($A134,LEN(A134)-1)*1,Master!$D$25:$G$223,4,FALSE)</f>
        <v>Subsidies</v>
      </c>
      <c r="C134" s="519"/>
      <c r="D134" s="519"/>
      <c r="E134" s="519"/>
      <c r="F134" s="519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8" t="str">
        <f>+VLOOKUP(LEFT($A135,LEN(A135)-1)*1,Master!$D$25:$G$223,4,FALSE)</f>
        <v>Other expenditures</v>
      </c>
      <c r="C135" s="519"/>
      <c r="D135" s="519"/>
      <c r="E135" s="519"/>
      <c r="F135" s="519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8" t="str">
        <f>+VLOOKUP(LEFT($A136,LEN(A136)-1)*1,Master!$D$25:$G$223,4,FALSE)</f>
        <v>Current Capital Expenditure</v>
      </c>
      <c r="C136" s="519"/>
      <c r="D136" s="519"/>
      <c r="E136" s="519"/>
      <c r="F136" s="519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6" t="str">
        <f>+VLOOKUP(LEFT($A137,LEN(A137)-1)*1,Master!$D$25:$G$223,4,FALSE)</f>
        <v>Social Security Transfers</v>
      </c>
      <c r="C137" s="517"/>
      <c r="D137" s="517"/>
      <c r="E137" s="517"/>
      <c r="F137" s="517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8" t="str">
        <f>+VLOOKUP(LEFT($A138,LEN(A138)-1)*1,Master!$D$25:$G$223,4,FALSE)</f>
        <v>Social Security</v>
      </c>
      <c r="C138" s="519"/>
      <c r="D138" s="519"/>
      <c r="E138" s="519"/>
      <c r="F138" s="519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8" t="str">
        <f>+VLOOKUP(LEFT($A139,LEN(A139)-1)*1,Master!$D$25:$G$223,4,FALSE)</f>
        <v>Funds for redundant labor</v>
      </c>
      <c r="C139" s="519"/>
      <c r="D139" s="519"/>
      <c r="E139" s="519"/>
      <c r="F139" s="519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8" t="str">
        <f>+VLOOKUP(LEFT($A140,LEN(A140)-1)*1,Master!$D$25:$G$223,4,FALSE)</f>
        <v>Pension and Disability Insurance</v>
      </c>
      <c r="C140" s="519"/>
      <c r="D140" s="519"/>
      <c r="E140" s="519"/>
      <c r="F140" s="519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8" t="str">
        <f>+VLOOKUP(LEFT($A141,LEN(A141)-1)*1,Master!$D$25:$G$223,4,FALSE)</f>
        <v>Other Health Care Transfers</v>
      </c>
      <c r="C141" s="519"/>
      <c r="D141" s="519"/>
      <c r="E141" s="519"/>
      <c r="F141" s="519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8" t="str">
        <f>+VLOOKUP(LEFT($A142,LEN(A142)-1)*1,Master!$D$25:$G$223,4,FALSE)</f>
        <v>Other Health Care Insurance</v>
      </c>
      <c r="C142" s="519"/>
      <c r="D142" s="519"/>
      <c r="E142" s="519"/>
      <c r="F142" s="519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20" t="str">
        <f>+VLOOKUP(LEFT($A143,LEN(A143)-1)*1,Master!$D$25:$G$223,4,FALSE)</f>
        <v xml:space="preserve">Transfers to Institutions, Individuals, NGO and Public Sector </v>
      </c>
      <c r="C143" s="521"/>
      <c r="D143" s="521"/>
      <c r="E143" s="521"/>
      <c r="F143" s="521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20" t="str">
        <f>+VLOOKUP(LEFT($A144,LEN(A144)-1)*1,Master!$D$25:$G$223,4,FALSE)</f>
        <v>Capital Expenditure</v>
      </c>
      <c r="C144" s="521"/>
      <c r="D144" s="521"/>
      <c r="E144" s="521"/>
      <c r="F144" s="521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4" t="str">
        <f>+VLOOKUP(LEFT($A145,LEN(A145)-1)*1,Master!$D$25:$G$223,4,FALSE)</f>
        <v>Credits and Borrowings</v>
      </c>
      <c r="C145" s="505"/>
      <c r="D145" s="505"/>
      <c r="E145" s="505"/>
      <c r="F145" s="505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4" t="str">
        <f>+VLOOKUP(LEFT($A146,LEN(A146)-1)*1,Master!$D$25:$G$223,4,FALSE)</f>
        <v>Reserves</v>
      </c>
      <c r="C146" s="505"/>
      <c r="D146" s="505"/>
      <c r="E146" s="505"/>
      <c r="F146" s="505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8" t="str">
        <f>+VLOOKUP(LEFT($A147,LEN(A147)-1)*1,Master!$D$25:$G$223,4,FALSE)</f>
        <v>Repayment of Guarantees</v>
      </c>
      <c r="C147" s="559"/>
      <c r="D147" s="559"/>
      <c r="E147" s="559"/>
      <c r="F147" s="559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2" t="str">
        <f>+VLOOKUP(LEFT($A148,LEN(A148)-1)*1,Master!$D$25:$G$223,4,FALSE)</f>
        <v>Surplus / deficit</v>
      </c>
      <c r="C148" s="513"/>
      <c r="D148" s="513"/>
      <c r="E148" s="513"/>
      <c r="F148" s="513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4" t="str">
        <f>+VLOOKUP(LEFT($A149,LEN(A149)-1)*1,Master!$D$25:$G$223,4,FALSE)</f>
        <v>Primary balance</v>
      </c>
      <c r="C149" s="515"/>
      <c r="D149" s="515"/>
      <c r="E149" s="515"/>
      <c r="F149" s="515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6" t="str">
        <f>+VLOOKUP(LEFT($A150,LEN(A150)-1)*1,Master!$D$25:$G$223,4,FALSE)</f>
        <v>Repayment of Debt</v>
      </c>
      <c r="C150" s="517"/>
      <c r="D150" s="517"/>
      <c r="E150" s="517"/>
      <c r="F150" s="517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10" t="str">
        <f>+VLOOKUP(LEFT($A151,LEN(A151)-1)*1,Master!$D$25:$G$223,4,FALSE)</f>
        <v>Repayment of Domestic Debt</v>
      </c>
      <c r="C151" s="511"/>
      <c r="D151" s="511"/>
      <c r="E151" s="511"/>
      <c r="F151" s="511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4" t="str">
        <f>+VLOOKUP(LEFT($A152,LEN(A152)-1)*1,Master!$D$25:$G$223,4,FALSE)</f>
        <v>Repayment of Foreign Debt</v>
      </c>
      <c r="C152" s="505"/>
      <c r="D152" s="505"/>
      <c r="E152" s="505"/>
      <c r="F152" s="505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8" t="str">
        <f>+VLOOKUP(LEFT($A153,LEN(A153)-1)*1,Master!$D$25:$G$223,4,FALSE)</f>
        <v>Repayments of Arrears</v>
      </c>
      <c r="C153" s="559"/>
      <c r="D153" s="559"/>
      <c r="E153" s="559"/>
      <c r="F153" s="559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6" t="str">
        <f>+VLOOKUP(LEFT($A154,LEN(A154)-1)*1,Master!$D$25:$G$223,4,FALSE)</f>
        <v>Financing needs</v>
      </c>
      <c r="C154" s="507"/>
      <c r="D154" s="507"/>
      <c r="E154" s="507"/>
      <c r="F154" s="507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08" t="str">
        <f>+VLOOKUP(LEFT($A155,LEN(A155)-1)*1,Master!$D$25:$G$223,4,FALSE)</f>
        <v>Financing</v>
      </c>
      <c r="C155" s="509"/>
      <c r="D155" s="509"/>
      <c r="E155" s="509"/>
      <c r="F155" s="509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10" t="str">
        <f>+VLOOKUP(LEFT($A156,LEN(A156)-1)*1,Master!$D$25:$G$223,4,FALSE)</f>
        <v>Domestic Loans and Borrowings</v>
      </c>
      <c r="C156" s="511"/>
      <c r="D156" s="511"/>
      <c r="E156" s="511"/>
      <c r="F156" s="511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4" t="str">
        <f>+VLOOKUP(LEFT($A157,LEN(A157)-1)*1,Master!$D$25:$G$223,4,FALSE)</f>
        <v>Foreign Loans and Borrowings</v>
      </c>
      <c r="C157" s="505"/>
      <c r="D157" s="505"/>
      <c r="E157" s="505"/>
      <c r="F157" s="505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4" t="str">
        <f>+VLOOKUP(LEFT($A158,LEN(A158)-1)*1,Master!$D$25:$G$223,4,FALSE)</f>
        <v>Revenues from Selling Assets</v>
      </c>
      <c r="C158" s="505"/>
      <c r="D158" s="505"/>
      <c r="E158" s="505"/>
      <c r="F158" s="505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38" t="str">
        <f>+Master!G249</f>
        <v>Budget Execution</v>
      </c>
      <c r="C7" s="539"/>
      <c r="D7" s="539"/>
      <c r="E7" s="539"/>
      <c r="F7" s="539"/>
      <c r="G7" s="532">
        <v>2013</v>
      </c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33"/>
      <c r="V7" s="360"/>
      <c r="W7" s="115" t="str">
        <f>+Master!G246</f>
        <v>GDP</v>
      </c>
      <c r="X7" s="116">
        <v>3327000000</v>
      </c>
    </row>
    <row r="8" spans="1:24" ht="16.5" customHeight="1">
      <c r="B8" s="540"/>
      <c r="C8" s="541"/>
      <c r="D8" s="541"/>
      <c r="E8" s="541"/>
      <c r="F8" s="542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532" t="s">
        <v>706</v>
      </c>
      <c r="X8" s="533"/>
    </row>
    <row r="9" spans="1:24" ht="13.5" thickBot="1">
      <c r="B9" s="543"/>
      <c r="C9" s="544"/>
      <c r="D9" s="544"/>
      <c r="E9" s="544"/>
      <c r="F9" s="545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534" t="str">
        <f>+VLOOKUP($A10,Master!$D$25:$G$223,4,FALSE)</f>
        <v>Total Revenues</v>
      </c>
      <c r="C10" s="535"/>
      <c r="D10" s="535"/>
      <c r="E10" s="535"/>
      <c r="F10" s="535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6" t="str">
        <f>+VLOOKUP($A11,Master!$D$25:$G$223,4,FALSE)</f>
        <v>Taxes</v>
      </c>
      <c r="C11" s="537"/>
      <c r="D11" s="537"/>
      <c r="E11" s="537"/>
      <c r="F11" s="537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8" t="str">
        <f>+VLOOKUP($A12,Master!$D$25:$G$223,4,FALSE)</f>
        <v>Personal Income Tax</v>
      </c>
      <c r="C12" s="519"/>
      <c r="D12" s="519"/>
      <c r="E12" s="519"/>
      <c r="F12" s="519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8" t="str">
        <f>+VLOOKUP($A13,Master!$D$25:$G$223,4,FALSE)</f>
        <v>Corporate Income Tax</v>
      </c>
      <c r="C13" s="519"/>
      <c r="D13" s="519"/>
      <c r="E13" s="519"/>
      <c r="F13" s="519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8" t="str">
        <f>+VLOOKUP($A14,Master!$D$25:$G$223,4,FALSE)</f>
        <v xml:space="preserve">Taxes on Sales of Property </v>
      </c>
      <c r="C14" s="519"/>
      <c r="D14" s="519"/>
      <c r="E14" s="519"/>
      <c r="F14" s="519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8" t="str">
        <f>+VLOOKUP($A15,Master!$D$25:$G$223,4,FALSE)</f>
        <v>Value Added Tax</v>
      </c>
      <c r="C15" s="519"/>
      <c r="D15" s="519"/>
      <c r="E15" s="519"/>
      <c r="F15" s="519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8" t="str">
        <f>+VLOOKUP($A16,Master!$D$25:$G$223,4,FALSE)</f>
        <v>Excises</v>
      </c>
      <c r="C16" s="519"/>
      <c r="D16" s="519"/>
      <c r="E16" s="519"/>
      <c r="F16" s="519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8" t="str">
        <f>+VLOOKUP($A17,Master!$D$25:$G$223,4,FALSE)</f>
        <v>Tax on International Trade and Transactions</v>
      </c>
      <c r="C17" s="519"/>
      <c r="D17" s="519"/>
      <c r="E17" s="519"/>
      <c r="F17" s="519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8" t="e">
        <f>+VLOOKUP($A18,Master!$D$25:$G$223,4,FALSE)</f>
        <v>#N/A</v>
      </c>
      <c r="C18" s="519"/>
      <c r="D18" s="519"/>
      <c r="E18" s="519"/>
      <c r="F18" s="519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8" t="str">
        <f>+VLOOKUP($A19,Master!$D$25:$G$223,4,FALSE)</f>
        <v>Other Republic Taxes</v>
      </c>
      <c r="C19" s="519"/>
      <c r="D19" s="519"/>
      <c r="E19" s="519"/>
      <c r="F19" s="519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30" t="str">
        <f>+VLOOKUP($A20,Master!$D$25:$G$223,4,FALSE)</f>
        <v>Contributions</v>
      </c>
      <c r="C20" s="531"/>
      <c r="D20" s="531"/>
      <c r="E20" s="531"/>
      <c r="F20" s="531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8" t="str">
        <f>+VLOOKUP($A21,Master!$D$25:$G$223,4,FALSE)</f>
        <v>Contributions for Pension and Disability Insurance</v>
      </c>
      <c r="C21" s="519"/>
      <c r="D21" s="519"/>
      <c r="E21" s="519"/>
      <c r="F21" s="519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8" t="str">
        <f>+VLOOKUP($A22,Master!$D$25:$G$223,4,FALSE)</f>
        <v>Contributions for Health Insurance</v>
      </c>
      <c r="C22" s="519"/>
      <c r="D22" s="519"/>
      <c r="E22" s="519"/>
      <c r="F22" s="519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8" t="str">
        <f>+VLOOKUP($A23,Master!$D$25:$G$223,4,FALSE)</f>
        <v>Contributions for  Unemployment Insurance</v>
      </c>
      <c r="C23" s="519"/>
      <c r="D23" s="519"/>
      <c r="E23" s="519"/>
      <c r="F23" s="519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8" t="str">
        <f>+VLOOKUP($A24,Master!$D$25:$G$223,4,FALSE)</f>
        <v>Other contributions</v>
      </c>
      <c r="C24" s="519"/>
      <c r="D24" s="519"/>
      <c r="E24" s="519"/>
      <c r="F24" s="519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2" t="str">
        <f>+VLOOKUP($A25,Master!$D$25:$G$223,4,FALSE)</f>
        <v>Duties</v>
      </c>
      <c r="C25" s="523"/>
      <c r="D25" s="523"/>
      <c r="E25" s="523"/>
      <c r="F25" s="523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2" t="str">
        <f>+VLOOKUP($A26,Master!$D$25:$G$223,4,FALSE)</f>
        <v>Fees</v>
      </c>
      <c r="C26" s="523"/>
      <c r="D26" s="523"/>
      <c r="E26" s="523"/>
      <c r="F26" s="523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2" t="str">
        <f>+VLOOKUP($A27,Master!$D$25:$G$223,4,FALSE)</f>
        <v>Other revenues</v>
      </c>
      <c r="C27" s="523"/>
      <c r="D27" s="523"/>
      <c r="E27" s="523"/>
      <c r="F27" s="523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2" t="str">
        <f>+VLOOKUP($A28,Master!$D$25:$G$223,4,FALSE)</f>
        <v>Receipts from Repayment of Loans and Funds Carried over from Previous Year</v>
      </c>
      <c r="C28" s="523"/>
      <c r="D28" s="523"/>
      <c r="E28" s="523"/>
      <c r="F28" s="523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4" t="str">
        <f>+VLOOKUP($A29,Master!$D$25:$G$223,4,FALSE)</f>
        <v>Grants and Transfers</v>
      </c>
      <c r="C29" s="525"/>
      <c r="D29" s="525"/>
      <c r="E29" s="525"/>
      <c r="F29" s="52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08" t="str">
        <f>+VLOOKUP($A30,Master!$D$25:$G$223,4,FALSE)</f>
        <v>Total Expenditures</v>
      </c>
      <c r="C30" s="509"/>
      <c r="D30" s="509"/>
      <c r="E30" s="509"/>
      <c r="F30" s="509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6" t="str">
        <f>+VLOOKUP($A31,Master!$D$25:$G$223,4,FALSE)</f>
        <v>Current Expenditures</v>
      </c>
      <c r="C31" s="527"/>
      <c r="D31" s="527"/>
      <c r="E31" s="527"/>
      <c r="F31" s="527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8" t="str">
        <f>+VLOOKUP($A32,Master!$D$25:$G$223,4,FALSE)</f>
        <v>Current Budgetary Expenditures</v>
      </c>
      <c r="C32" s="529"/>
      <c r="D32" s="529"/>
      <c r="E32" s="529"/>
      <c r="F32" s="529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8" t="str">
        <f>+VLOOKUP($A33,Master!$D$25:$G$223,4,FALSE)</f>
        <v>Gross Salaries and Contributions</v>
      </c>
      <c r="C33" s="519"/>
      <c r="D33" s="519"/>
      <c r="E33" s="519"/>
      <c r="F33" s="519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8" t="str">
        <f>+VLOOKUP($A34,Master!$D$25:$G$223,4,FALSE)</f>
        <v>Other Personal Income</v>
      </c>
      <c r="C34" s="519"/>
      <c r="D34" s="519"/>
      <c r="E34" s="519"/>
      <c r="F34" s="519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8" t="str">
        <f>+VLOOKUP($A35,Master!$D$25:$G$223,4,FALSE)</f>
        <v>Expenditures for Supplies</v>
      </c>
      <c r="C35" s="519"/>
      <c r="D35" s="519"/>
      <c r="E35" s="519"/>
      <c r="F35" s="519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8" t="str">
        <f>+VLOOKUP($A36,Master!$D$25:$G$223,4,FALSE)</f>
        <v>Expenditures for Services</v>
      </c>
      <c r="C36" s="519"/>
      <c r="D36" s="519"/>
      <c r="E36" s="519"/>
      <c r="F36" s="519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8" t="str">
        <f>+VLOOKUP($A37,Master!$D$25:$G$223,4,FALSE)</f>
        <v>Current Maintenance</v>
      </c>
      <c r="C37" s="519"/>
      <c r="D37" s="519"/>
      <c r="E37" s="519"/>
      <c r="F37" s="519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8" t="str">
        <f>+VLOOKUP($A38,Master!$D$25:$G$223,4,FALSE)</f>
        <v>Interests</v>
      </c>
      <c r="C38" s="519"/>
      <c r="D38" s="519"/>
      <c r="E38" s="519"/>
      <c r="F38" s="519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8" t="str">
        <f>+VLOOKUP($A39,Master!$D$25:$G$223,4,FALSE)</f>
        <v>Rent</v>
      </c>
      <c r="C39" s="519"/>
      <c r="D39" s="519"/>
      <c r="E39" s="519"/>
      <c r="F39" s="519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8" t="str">
        <f>+VLOOKUP($A40,Master!$D$25:$G$223,4,FALSE)</f>
        <v>Subsidies</v>
      </c>
      <c r="C40" s="519"/>
      <c r="D40" s="519"/>
      <c r="E40" s="519"/>
      <c r="F40" s="519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8" t="str">
        <f>+VLOOKUP($A41,Master!$D$25:$G$223,4,FALSE)</f>
        <v>Other expenditures</v>
      </c>
      <c r="C41" s="519"/>
      <c r="D41" s="519"/>
      <c r="E41" s="519"/>
      <c r="F41" s="519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8" t="str">
        <f>+VLOOKUP($A42,Master!$D$25:$G$223,4,FALSE)</f>
        <v>Current Capital Expenditure</v>
      </c>
      <c r="C42" s="519"/>
      <c r="D42" s="519"/>
      <c r="E42" s="519"/>
      <c r="F42" s="519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6" t="str">
        <f>+VLOOKUP($A43,Master!$D$25:$G$223,4,FALSE)</f>
        <v>Social Security Transfers</v>
      </c>
      <c r="C43" s="517"/>
      <c r="D43" s="517"/>
      <c r="E43" s="517"/>
      <c r="F43" s="517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8" t="str">
        <f>+VLOOKUP($A44,Master!$D$25:$G$223,4,FALSE)</f>
        <v>Social Security</v>
      </c>
      <c r="C44" s="519"/>
      <c r="D44" s="519"/>
      <c r="E44" s="519"/>
      <c r="F44" s="519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8" t="str">
        <f>+VLOOKUP($A45,Master!$D$25:$G$223,4,FALSE)</f>
        <v>Funds for redundant labor</v>
      </c>
      <c r="C45" s="519"/>
      <c r="D45" s="519"/>
      <c r="E45" s="519"/>
      <c r="F45" s="519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8" t="str">
        <f>+VLOOKUP($A46,Master!$D$25:$G$223,4,FALSE)</f>
        <v>Pension and Disability Insurance</v>
      </c>
      <c r="C46" s="519"/>
      <c r="D46" s="519"/>
      <c r="E46" s="519"/>
      <c r="F46" s="519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8" t="str">
        <f>+VLOOKUP($A47,Master!$D$25:$G$223,4,FALSE)</f>
        <v>Other Health Care Transfers</v>
      </c>
      <c r="C47" s="519"/>
      <c r="D47" s="519"/>
      <c r="E47" s="519"/>
      <c r="F47" s="519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8" t="str">
        <f>+VLOOKUP($A48,Master!$D$25:$G$223,4,FALSE)</f>
        <v>Other Health Care Insurance</v>
      </c>
      <c r="C48" s="519"/>
      <c r="D48" s="519"/>
      <c r="E48" s="519"/>
      <c r="F48" s="519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20" t="str">
        <f>+VLOOKUP($A49,Master!$D$25:$G$223,4,FALSE)</f>
        <v xml:space="preserve">Transfers to Institutions, Individuals, NGO and Public Sector </v>
      </c>
      <c r="C49" s="521"/>
      <c r="D49" s="521"/>
      <c r="E49" s="521"/>
      <c r="F49" s="521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20" t="str">
        <f>+VLOOKUP($A50,Master!$D$25:$G$223,4,FALSE)</f>
        <v>Capital Expenditure</v>
      </c>
      <c r="C50" s="521"/>
      <c r="D50" s="521"/>
      <c r="E50" s="521"/>
      <c r="F50" s="521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4" t="str">
        <f>+VLOOKUP($A51,Master!$D$25:$G$223,4,FALSE)</f>
        <v>Credits and Borrowings</v>
      </c>
      <c r="C51" s="505"/>
      <c r="D51" s="505"/>
      <c r="E51" s="505"/>
      <c r="F51" s="505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4" t="str">
        <f>+VLOOKUP($A52,Master!$D$25:$G$223,4,FALSE)</f>
        <v>Reserves</v>
      </c>
      <c r="C52" s="505"/>
      <c r="D52" s="505"/>
      <c r="E52" s="505"/>
      <c r="F52" s="505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8" t="str">
        <f>+VLOOKUP($A53,Master!$D$25:$G$223,4,FALSE)</f>
        <v>Repayment of Guarantees</v>
      </c>
      <c r="C53" s="559"/>
      <c r="D53" s="559"/>
      <c r="E53" s="559"/>
      <c r="F53" s="559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8" t="str">
        <f>+VLOOKUP($A54,Master!$D$25:$G$223,4,FALSE)</f>
        <v>Repayments of Arrears</v>
      </c>
      <c r="C54" s="559"/>
      <c r="D54" s="559"/>
      <c r="E54" s="559"/>
      <c r="F54" s="559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8" t="str">
        <f>+VLOOKUP($A55,Master!$D$25:$G$225,4,FALSE)</f>
        <v>Net increase of liabilities</v>
      </c>
      <c r="C55" s="559"/>
      <c r="D55" s="559"/>
      <c r="E55" s="559"/>
      <c r="F55" s="559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2" t="str">
        <f>+VLOOKUP($A56,Master!$D$25:$G$223,4,FALSE)</f>
        <v>Surplus / deficit</v>
      </c>
      <c r="C56" s="513"/>
      <c r="D56" s="513"/>
      <c r="E56" s="513"/>
      <c r="F56" s="513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4" t="str">
        <f>+VLOOKUP($A57,Master!$D$25:$G$223,4,FALSE)</f>
        <v>Primary balance</v>
      </c>
      <c r="C57" s="515"/>
      <c r="D57" s="515"/>
      <c r="E57" s="515"/>
      <c r="F57" s="515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6" t="str">
        <f>+VLOOKUP($A58,Master!$D$25:$G$223,4,FALSE)</f>
        <v>Repayment of Debt</v>
      </c>
      <c r="C58" s="517"/>
      <c r="D58" s="517"/>
      <c r="E58" s="517"/>
      <c r="F58" s="517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10" t="str">
        <f>+VLOOKUP($A59,Master!$D$25:$G$223,4,FALSE)</f>
        <v>Repayment of Domestic Debt</v>
      </c>
      <c r="C59" s="511"/>
      <c r="D59" s="511"/>
      <c r="E59" s="511"/>
      <c r="F59" s="51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4" t="str">
        <f>+VLOOKUP($A60,Master!$D$25:$G$223,4,FALSE)</f>
        <v>Repayment of Foreign Debt</v>
      </c>
      <c r="C60" s="505"/>
      <c r="D60" s="505"/>
      <c r="E60" s="505"/>
      <c r="F60" s="505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6" t="str">
        <f>+VLOOKUP($A61,Master!$D$25:$G$223,4,FALSE)</f>
        <v>Financing needs</v>
      </c>
      <c r="C61" s="507"/>
      <c r="D61" s="507"/>
      <c r="E61" s="507"/>
      <c r="F61" s="507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08" t="str">
        <f>+VLOOKUP($A62,Master!$D$25:$G$223,4,FALSE)</f>
        <v>Financing</v>
      </c>
      <c r="C62" s="509"/>
      <c r="D62" s="509"/>
      <c r="E62" s="509"/>
      <c r="F62" s="509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10" t="str">
        <f>+VLOOKUP($A63,Master!$D$25:$G$223,4,FALSE)</f>
        <v>Domestic Loans and Borrowings</v>
      </c>
      <c r="C63" s="511"/>
      <c r="D63" s="511"/>
      <c r="E63" s="511"/>
      <c r="F63" s="51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4" t="str">
        <f>+VLOOKUP($A64,Master!$D$25:$G$223,4,FALSE)</f>
        <v>Foreign Loans and Borrowings</v>
      </c>
      <c r="C64" s="505"/>
      <c r="D64" s="505"/>
      <c r="E64" s="505"/>
      <c r="F64" s="505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4" t="str">
        <f>+VLOOKUP($A65,Master!$D$25:$G$223,4,FALSE)</f>
        <v>Revenues from Selling Assets</v>
      </c>
      <c r="C65" s="505"/>
      <c r="D65" s="505"/>
      <c r="E65" s="505"/>
      <c r="F65" s="505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7" t="str">
        <f>+Master!G250</f>
        <v>Planned Budget Execution</v>
      </c>
      <c r="C102" s="457"/>
      <c r="D102" s="457"/>
      <c r="E102" s="457"/>
      <c r="F102" s="457"/>
      <c r="G102" s="465">
        <v>2013</v>
      </c>
      <c r="H102" s="466"/>
      <c r="I102" s="466"/>
      <c r="J102" s="466"/>
      <c r="K102" s="466"/>
      <c r="L102" s="466"/>
      <c r="M102" s="466"/>
      <c r="N102" s="466"/>
      <c r="O102" s="466"/>
      <c r="P102" s="466"/>
      <c r="Q102" s="466"/>
      <c r="R102" s="466"/>
      <c r="S102" s="466"/>
      <c r="T102" s="466"/>
      <c r="U102" s="469"/>
      <c r="V102" s="363"/>
      <c r="W102" s="260" t="str">
        <f>+W7</f>
        <v>GDP</v>
      </c>
      <c r="X102" s="261">
        <v>3393200615</v>
      </c>
    </row>
    <row r="103" spans="1:24" ht="15.75" customHeight="1">
      <c r="A103" s="169"/>
      <c r="B103" s="458"/>
      <c r="C103" s="459"/>
      <c r="D103" s="459"/>
      <c r="E103" s="459"/>
      <c r="F103" s="460"/>
      <c r="G103" s="170" t="str">
        <f t="shared" ref="G103:U103" si="20">+G8</f>
        <v>January</v>
      </c>
      <c r="H103" s="170" t="str">
        <f t="shared" si="20"/>
        <v>February</v>
      </c>
      <c r="I103" s="170" t="str">
        <f t="shared" si="20"/>
        <v>March</v>
      </c>
      <c r="J103" s="170"/>
      <c r="K103" s="170" t="str">
        <f t="shared" si="20"/>
        <v>April</v>
      </c>
      <c r="L103" s="170" t="str">
        <f t="shared" si="20"/>
        <v>May</v>
      </c>
      <c r="M103" s="170" t="str">
        <f t="shared" si="20"/>
        <v>June</v>
      </c>
      <c r="N103" s="170"/>
      <c r="O103" s="170" t="str">
        <f t="shared" si="20"/>
        <v>July</v>
      </c>
      <c r="P103" s="170" t="str">
        <f t="shared" si="20"/>
        <v>August</v>
      </c>
      <c r="Q103" s="170" t="str">
        <f t="shared" si="20"/>
        <v>September</v>
      </c>
      <c r="R103" s="170"/>
      <c r="S103" s="170" t="str">
        <f t="shared" si="20"/>
        <v>October</v>
      </c>
      <c r="T103" s="170" t="str">
        <f t="shared" si="20"/>
        <v>November</v>
      </c>
      <c r="U103" s="170" t="str">
        <f t="shared" si="20"/>
        <v>December</v>
      </c>
      <c r="V103" s="170"/>
      <c r="W103" s="465" t="str">
        <f>+Master!G244</f>
        <v>Jan - Dec</v>
      </c>
      <c r="X103" s="469">
        <f>+X8</f>
        <v>0</v>
      </c>
    </row>
    <row r="104" spans="1:24" ht="13.5" thickBot="1">
      <c r="A104" s="169"/>
      <c r="B104" s="461"/>
      <c r="C104" s="462"/>
      <c r="D104" s="462"/>
      <c r="E104" s="462"/>
      <c r="F104" s="463"/>
      <c r="G104" s="162" t="s">
        <v>428</v>
      </c>
      <c r="H104" s="162" t="s">
        <v>428</v>
      </c>
      <c r="I104" s="162" t="s">
        <v>428</v>
      </c>
      <c r="J104" s="162"/>
      <c r="K104" s="162" t="s">
        <v>428</v>
      </c>
      <c r="L104" s="162" t="s">
        <v>428</v>
      </c>
      <c r="M104" s="162" t="s">
        <v>428</v>
      </c>
      <c r="N104" s="162"/>
      <c r="O104" s="162" t="s">
        <v>428</v>
      </c>
      <c r="P104" s="162" t="s">
        <v>428</v>
      </c>
      <c r="Q104" s="162" t="s">
        <v>428</v>
      </c>
      <c r="R104" s="162"/>
      <c r="S104" s="162" t="s">
        <v>428</v>
      </c>
      <c r="T104" s="162" t="s">
        <v>428</v>
      </c>
      <c r="U104" s="162" t="s">
        <v>428</v>
      </c>
      <c r="V104" s="162"/>
      <c r="W104" s="262" t="s">
        <v>428</v>
      </c>
      <c r="X104" s="263" t="str">
        <f>+X9</f>
        <v>% GDP</v>
      </c>
    </row>
    <row r="105" spans="1:24" ht="13.5" thickBot="1">
      <c r="A105" s="297" t="str">
        <f t="shared" ref="A105:A148" si="21">+CONCATENATE(A10,"p")</f>
        <v>7p</v>
      </c>
      <c r="B105" s="498" t="str">
        <f>+VLOOKUP(LEFT($A105,LEN(A105)-1)*1,Master!$D$25:$G$223,4,FALSE)</f>
        <v>Total Revenues</v>
      </c>
      <c r="C105" s="499"/>
      <c r="D105" s="499"/>
      <c r="E105" s="499"/>
      <c r="F105" s="499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500" t="str">
        <f>+VLOOKUP(LEFT($A106,LEN(A106)-1)*1,Master!$D$25:$G$223,4,FALSE)</f>
        <v>Taxes</v>
      </c>
      <c r="C106" s="501"/>
      <c r="D106" s="501"/>
      <c r="E106" s="501"/>
      <c r="F106" s="501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6" t="str">
        <f>+VLOOKUP(LEFT($A107,LEN(A107)-1)*1,Master!$D$25:$G$223,4,FALSE)</f>
        <v>Personal Income Tax</v>
      </c>
      <c r="C107" s="487"/>
      <c r="D107" s="487"/>
      <c r="E107" s="487"/>
      <c r="F107" s="487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6" t="str">
        <f>+VLOOKUP(LEFT($A108,LEN(A108)-1)*1,Master!$D$25:$G$223,4,FALSE)</f>
        <v>Corporate Income Tax</v>
      </c>
      <c r="C108" s="487"/>
      <c r="D108" s="487"/>
      <c r="E108" s="487"/>
      <c r="F108" s="487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6" t="str">
        <f>+VLOOKUP(LEFT($A109,LEN(A109)-1)*1,Master!$D$25:$G$223,4,FALSE)</f>
        <v xml:space="preserve">Taxes on Sales of Property </v>
      </c>
      <c r="C109" s="487"/>
      <c r="D109" s="487"/>
      <c r="E109" s="487"/>
      <c r="F109" s="487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6" t="str">
        <f>+VLOOKUP(LEFT($A110,LEN(A110)-1)*1,Master!$D$25:$G$223,4,FALSE)</f>
        <v>Value Added Tax</v>
      </c>
      <c r="C110" s="487"/>
      <c r="D110" s="487"/>
      <c r="E110" s="487"/>
      <c r="F110" s="487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6" t="str">
        <f>+VLOOKUP(LEFT($A111,LEN(A111)-1)*1,Master!$D$25:$G$223,4,FALSE)</f>
        <v>Excises</v>
      </c>
      <c r="C111" s="487"/>
      <c r="D111" s="487"/>
      <c r="E111" s="487"/>
      <c r="F111" s="487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6" t="str">
        <f>+VLOOKUP(LEFT($A112,LEN(A112)-1)*1,Master!$D$25:$G$223,4,FALSE)</f>
        <v>Tax on International Trade and Transactions</v>
      </c>
      <c r="C112" s="487"/>
      <c r="D112" s="487"/>
      <c r="E112" s="487"/>
      <c r="F112" s="487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6" t="e">
        <f>+VLOOKUP(LEFT($A113,LEN(A113)-1)*1,Master!$D$25:$G$223,4,FALSE)</f>
        <v>#N/A</v>
      </c>
      <c r="C113" s="487"/>
      <c r="D113" s="487"/>
      <c r="E113" s="487"/>
      <c r="F113" s="487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6" t="str">
        <f>+VLOOKUP(LEFT($A114,LEN(A114)-1)*1,Master!$D$25:$G$223,4,FALSE)</f>
        <v>Other Republic Taxes</v>
      </c>
      <c r="C114" s="487"/>
      <c r="D114" s="487"/>
      <c r="E114" s="487"/>
      <c r="F114" s="487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6" t="str">
        <f>+VLOOKUP(LEFT($A115,LEN(A115)-1)*1,Master!$D$25:$G$223,4,FALSE)</f>
        <v>Contributions</v>
      </c>
      <c r="C115" s="497"/>
      <c r="D115" s="497"/>
      <c r="E115" s="497"/>
      <c r="F115" s="497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6" t="str">
        <f>+VLOOKUP(LEFT($A116,LEN(A116)-1)*1,Master!$D$25:$G$223,4,FALSE)</f>
        <v>Contributions for Pension and Disability Insurance</v>
      </c>
      <c r="C116" s="487"/>
      <c r="D116" s="487"/>
      <c r="E116" s="487"/>
      <c r="F116" s="487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6" t="str">
        <f>+VLOOKUP(LEFT($A117,LEN(A117)-1)*1,Master!$D$25:$G$223,4,FALSE)</f>
        <v>Contributions for Health Insurance</v>
      </c>
      <c r="C117" s="487"/>
      <c r="D117" s="487"/>
      <c r="E117" s="487"/>
      <c r="F117" s="487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6" t="str">
        <f>+VLOOKUP(LEFT($A118,LEN(A118)-1)*1,Master!$D$25:$G$223,4,FALSE)</f>
        <v>Contributions for  Unemployment Insurance</v>
      </c>
      <c r="C118" s="487"/>
      <c r="D118" s="487"/>
      <c r="E118" s="487"/>
      <c r="F118" s="487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6" t="str">
        <f>+VLOOKUP(LEFT($A119,LEN(A119)-1)*1,Master!$D$25:$G$223,4,FALSE)</f>
        <v>Other contributions</v>
      </c>
      <c r="C119" s="487"/>
      <c r="D119" s="487"/>
      <c r="E119" s="487"/>
      <c r="F119" s="487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8" t="str">
        <f>+VLOOKUP(LEFT($A120,LEN(A120)-1)*1,Master!$D$25:$G$223,4,FALSE)</f>
        <v>Duties</v>
      </c>
      <c r="C120" s="489"/>
      <c r="D120" s="489"/>
      <c r="E120" s="489"/>
      <c r="F120" s="489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8" t="str">
        <f>+VLOOKUP(LEFT($A121,LEN(A121)-1)*1,Master!$D$25:$G$223,4,FALSE)</f>
        <v>Fees</v>
      </c>
      <c r="C121" s="489"/>
      <c r="D121" s="489"/>
      <c r="E121" s="489"/>
      <c r="F121" s="489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8" t="str">
        <f>+VLOOKUP(LEFT($A122,LEN(A122)-1)*1,Master!$D$25:$G$223,4,FALSE)</f>
        <v>Other revenues</v>
      </c>
      <c r="C122" s="489"/>
      <c r="D122" s="489"/>
      <c r="E122" s="489"/>
      <c r="F122" s="489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8" t="str">
        <f>+VLOOKUP(LEFT($A123,LEN(A123)-1)*1,Master!$D$25:$G$223,4,FALSE)</f>
        <v>Receipts from Repayment of Loans and Funds Carried over from Previous Year</v>
      </c>
      <c r="C123" s="489"/>
      <c r="D123" s="489"/>
      <c r="E123" s="489"/>
      <c r="F123" s="489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90" t="str">
        <f>+VLOOKUP(LEFT($A124,LEN(A124)-1)*1,Master!$D$25:$G$223,4,FALSE)</f>
        <v>Grants and Transfers</v>
      </c>
      <c r="C124" s="491"/>
      <c r="D124" s="491"/>
      <c r="E124" s="491"/>
      <c r="F124" s="491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6" t="str">
        <f>+VLOOKUP(LEFT($A125,LEN(A125)-1)*1,Master!$D$25:$G$223,4,FALSE)</f>
        <v>Total Expenditures</v>
      </c>
      <c r="C125" s="477"/>
      <c r="D125" s="477"/>
      <c r="E125" s="477"/>
      <c r="F125" s="477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2" t="str">
        <f>+VLOOKUP(LEFT($A126,LEN(A126)-1)*1,Master!$D$25:$G$223,4,FALSE)</f>
        <v>Current Expenditures</v>
      </c>
      <c r="C126" s="493"/>
      <c r="D126" s="493"/>
      <c r="E126" s="493"/>
      <c r="F126" s="493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4" t="str">
        <f>+VLOOKUP(LEFT($A127,LEN(A127)-1)*1,Master!$D$25:$G$223,4,FALSE)</f>
        <v>Current Budgetary Expenditures</v>
      </c>
      <c r="C127" s="495"/>
      <c r="D127" s="495"/>
      <c r="E127" s="495"/>
      <c r="F127" s="495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6" t="str">
        <f>+VLOOKUP(LEFT($A128,LEN(A128)-1)*1,Master!$D$25:$G$223,4,FALSE)</f>
        <v>Gross Salaries and Contributions</v>
      </c>
      <c r="C128" s="487"/>
      <c r="D128" s="487"/>
      <c r="E128" s="487"/>
      <c r="F128" s="487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6" t="str">
        <f>+VLOOKUP(LEFT($A129,LEN(A129)-1)*1,Master!$D$25:$G$223,4,FALSE)</f>
        <v>Other Personal Income</v>
      </c>
      <c r="C129" s="487"/>
      <c r="D129" s="487"/>
      <c r="E129" s="487"/>
      <c r="F129" s="487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6" t="str">
        <f>+VLOOKUP(LEFT($A130,LEN(A130)-1)*1,Master!$D$25:$G$223,4,FALSE)</f>
        <v>Expenditures for Supplies</v>
      </c>
      <c r="C130" s="487"/>
      <c r="D130" s="487"/>
      <c r="E130" s="487"/>
      <c r="F130" s="487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6" t="str">
        <f>+VLOOKUP(LEFT($A131,LEN(A131)-1)*1,Master!$D$25:$G$223,4,FALSE)</f>
        <v>Expenditures for Services</v>
      </c>
      <c r="C131" s="487"/>
      <c r="D131" s="487"/>
      <c r="E131" s="487"/>
      <c r="F131" s="487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6" t="str">
        <f>+VLOOKUP(LEFT($A132,LEN(A132)-1)*1,Master!$D$25:$G$223,4,FALSE)</f>
        <v>Current Maintenance</v>
      </c>
      <c r="C132" s="487"/>
      <c r="D132" s="487"/>
      <c r="E132" s="487"/>
      <c r="F132" s="487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6" t="str">
        <f>+VLOOKUP(LEFT($A133,LEN(A133)-1)*1,Master!$D$25:$G$223,4,FALSE)</f>
        <v>Interests</v>
      </c>
      <c r="C133" s="487"/>
      <c r="D133" s="487"/>
      <c r="E133" s="487"/>
      <c r="F133" s="487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6" t="str">
        <f>+VLOOKUP(LEFT($A134,LEN(A134)-1)*1,Master!$D$25:$G$223,4,FALSE)</f>
        <v>Rent</v>
      </c>
      <c r="C134" s="487"/>
      <c r="D134" s="487"/>
      <c r="E134" s="487"/>
      <c r="F134" s="487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6" t="str">
        <f>+VLOOKUP(LEFT($A135,LEN(A135)-1)*1,Master!$D$25:$G$223,4,FALSE)</f>
        <v>Subsidies</v>
      </c>
      <c r="C135" s="487"/>
      <c r="D135" s="487"/>
      <c r="E135" s="487"/>
      <c r="F135" s="487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6" t="str">
        <f>+VLOOKUP(LEFT($A136,LEN(A136)-1)*1,Master!$D$25:$G$223,4,FALSE)</f>
        <v>Other expenditures</v>
      </c>
      <c r="C136" s="487"/>
      <c r="D136" s="487"/>
      <c r="E136" s="487"/>
      <c r="F136" s="487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6" t="str">
        <f>+VLOOKUP(LEFT($A137,LEN(A137)-1)*1,Master!$D$25:$G$223,4,FALSE)</f>
        <v>Current Capital Expenditure</v>
      </c>
      <c r="C137" s="487"/>
      <c r="D137" s="487"/>
      <c r="E137" s="487"/>
      <c r="F137" s="487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2" t="str">
        <f>+VLOOKUP(LEFT($A138,LEN(A138)-1)*1,Master!$D$25:$G$223,4,FALSE)</f>
        <v>Social Security Transfers</v>
      </c>
      <c r="C138" s="483"/>
      <c r="D138" s="483"/>
      <c r="E138" s="483"/>
      <c r="F138" s="483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6" t="str">
        <f>+VLOOKUP(LEFT($A139,LEN(A139)-1)*1,Master!$D$25:$G$223,4,FALSE)</f>
        <v>Social Security</v>
      </c>
      <c r="C139" s="487"/>
      <c r="D139" s="487"/>
      <c r="E139" s="487"/>
      <c r="F139" s="487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6" t="str">
        <f>+VLOOKUP(LEFT($A140,LEN(A140)-1)*1,Master!$D$25:$G$223,4,FALSE)</f>
        <v>Funds for redundant labor</v>
      </c>
      <c r="C140" s="487"/>
      <c r="D140" s="487"/>
      <c r="E140" s="487"/>
      <c r="F140" s="487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6" t="str">
        <f>+VLOOKUP(LEFT($A141,LEN(A141)-1)*1,Master!$D$25:$G$223,4,FALSE)</f>
        <v>Pension and Disability Insurance</v>
      </c>
      <c r="C141" s="487"/>
      <c r="D141" s="487"/>
      <c r="E141" s="487"/>
      <c r="F141" s="487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6" t="str">
        <f>+VLOOKUP(LEFT($A142,LEN(A142)-1)*1,Master!$D$25:$G$223,4,FALSE)</f>
        <v>Other Health Care Transfers</v>
      </c>
      <c r="C142" s="487"/>
      <c r="D142" s="487"/>
      <c r="E142" s="487"/>
      <c r="F142" s="487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6" t="str">
        <f>+VLOOKUP(LEFT($A143,LEN(A143)-1)*1,Master!$D$25:$G$223,4,FALSE)</f>
        <v>Other Health Care Insurance</v>
      </c>
      <c r="C143" s="487"/>
      <c r="D143" s="487"/>
      <c r="E143" s="487"/>
      <c r="F143" s="487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4" t="str">
        <f>+VLOOKUP(LEFT($A144,LEN(A144)-1)*1,Master!$D$25:$G$223,4,FALSE)</f>
        <v xml:space="preserve">Transfers to Institutions, Individuals, NGO and Public Sector </v>
      </c>
      <c r="C144" s="485"/>
      <c r="D144" s="485"/>
      <c r="E144" s="485"/>
      <c r="F144" s="485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4" t="str">
        <f>+VLOOKUP(LEFT($A145,LEN(A145)-1)*1,Master!$D$25:$G$223,4,FALSE)</f>
        <v>Capital Expenditure</v>
      </c>
      <c r="C145" s="485"/>
      <c r="D145" s="485"/>
      <c r="E145" s="485"/>
      <c r="F145" s="485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4" t="str">
        <f>+VLOOKUP(LEFT($A146,LEN(A146)-1)*1,Master!$D$25:$G$223,4,FALSE)</f>
        <v>Credits and Borrowings</v>
      </c>
      <c r="C146" s="455"/>
      <c r="D146" s="455"/>
      <c r="E146" s="455"/>
      <c r="F146" s="455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4" t="str">
        <f>+VLOOKUP(LEFT($A147,LEN(A147)-1)*1,Master!$D$25:$G$223,4,FALSE)</f>
        <v>Reserves</v>
      </c>
      <c r="C147" s="455"/>
      <c r="D147" s="455"/>
      <c r="E147" s="455"/>
      <c r="F147" s="455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2" t="str">
        <f>+VLOOKUP(LEFT($A148,LEN(A148)-1)*1,Master!$D$25:$G$223,4,FALSE)</f>
        <v>Repayment of Guarantees</v>
      </c>
      <c r="C148" s="473"/>
      <c r="D148" s="473"/>
      <c r="E148" s="473"/>
      <c r="F148" s="473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8" t="str">
        <f>+VLOOKUP(LEFT($A149,LEN(A149)-1)*1,Master!$D$25:$G$223,4,FALSE)</f>
        <v>Surplus / deficit</v>
      </c>
      <c r="C149" s="479"/>
      <c r="D149" s="479"/>
      <c r="E149" s="479"/>
      <c r="F149" s="479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80" t="str">
        <f>+VLOOKUP(LEFT($A150,LEN(A150)-1)*1,Master!$D$25:$G$223,4,FALSE)</f>
        <v>Primary balance</v>
      </c>
      <c r="C150" s="481"/>
      <c r="D150" s="481"/>
      <c r="E150" s="481"/>
      <c r="F150" s="481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2" t="str">
        <f>+VLOOKUP(LEFT($A151,LEN(A151)-1)*1,Master!$D$25:$G$223,4,FALSE)</f>
        <v>Repayment of Debt</v>
      </c>
      <c r="C151" s="483"/>
      <c r="D151" s="483"/>
      <c r="E151" s="483"/>
      <c r="F151" s="483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70" t="str">
        <f>+VLOOKUP(LEFT($A152,LEN(A152)-1)*1,Master!$D$25:$G$223,4,FALSE)</f>
        <v>Repayment of Domestic Debt</v>
      </c>
      <c r="C152" s="471"/>
      <c r="D152" s="471"/>
      <c r="E152" s="471"/>
      <c r="F152" s="471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4" t="str">
        <f>+VLOOKUP(LEFT($A153,LEN(A153)-1)*1,Master!$D$25:$G$223,4,FALSE)</f>
        <v>Repayment of Foreign Debt</v>
      </c>
      <c r="C153" s="455"/>
      <c r="D153" s="455"/>
      <c r="E153" s="455"/>
      <c r="F153" s="455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2" t="str">
        <f>+VLOOKUP(LEFT($A154,LEN(A154)-1)*1,Master!$D$25:$G$223,4,FALSE)</f>
        <v>Repayments of Arrears</v>
      </c>
      <c r="C154" s="473"/>
      <c r="D154" s="473"/>
      <c r="E154" s="473"/>
      <c r="F154" s="473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4" t="str">
        <f>+VLOOKUP(LEFT($A155,LEN(A155)-1)*1,Master!$D$25:$G$223,4,FALSE)</f>
        <v>Financing needs</v>
      </c>
      <c r="C155" s="475"/>
      <c r="D155" s="475"/>
      <c r="E155" s="475"/>
      <c r="F155" s="475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6" t="str">
        <f>+VLOOKUP(LEFT($A156,LEN(A156)-1)*1,Master!$D$25:$G$223,4,FALSE)</f>
        <v>Financing</v>
      </c>
      <c r="C156" s="477"/>
      <c r="D156" s="477"/>
      <c r="E156" s="477"/>
      <c r="F156" s="477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70" t="str">
        <f>+VLOOKUP(LEFT($A157,LEN(A157)-1)*1,Master!$D$25:$G$223,4,FALSE)</f>
        <v>Domestic Loans and Borrowings</v>
      </c>
      <c r="C157" s="471"/>
      <c r="D157" s="471"/>
      <c r="E157" s="471"/>
      <c r="F157" s="471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4" t="str">
        <f>+VLOOKUP(LEFT($A158,LEN(A158)-1)*1,Master!$D$25:$G$223,4,FALSE)</f>
        <v>Foreign Loans and Borrowings</v>
      </c>
      <c r="C158" s="455"/>
      <c r="D158" s="455"/>
      <c r="E158" s="455"/>
      <c r="F158" s="455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4" t="str">
        <f>+VLOOKUP(LEFT($A159,LEN(A159)-1)*1,Master!$D$25:$G$223,4,FALSE)</f>
        <v>Revenues from Selling Assets</v>
      </c>
      <c r="C159" s="455"/>
      <c r="D159" s="455"/>
      <c r="E159" s="455"/>
      <c r="F159" s="455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+VLOOKUP(LEFT($A160,LEN(A160)-1)*1,Master!$D$25:$G$223,4,FALSE)</f>
        <v>Increase / decrease of deposits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Analytics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Tamara Poleksic</cp:lastModifiedBy>
  <cp:lastPrinted>2017-03-01T13:10:49Z</cp:lastPrinted>
  <dcterms:created xsi:type="dcterms:W3CDTF">2014-09-15T13:41:17Z</dcterms:created>
  <dcterms:modified xsi:type="dcterms:W3CDTF">2018-12-04T07:31:29Z</dcterms:modified>
</cp:coreProperties>
</file>