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XUn8RVqHh2Rq9a2/ht/LnUOGL11or+5P9/yBjtiPA06JTbRgCiZN8lbYvr6DRd6NWmU72+l4SyUSpUTMTYdH1w==" workbookSaltValue="xmyvBbJlI3ClQSM4WOCmPQ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Breakdown" sheetId="1" r:id="rId2"/>
    <sheet name="Analytics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3" i="22" l="1"/>
  <c r="O47" i="11" l="1"/>
  <c r="N47" i="11"/>
  <c r="S48" i="11"/>
  <c r="R48" i="11"/>
  <c r="S121" i="25" l="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61" i="11"/>
  <c r="O62" i="11"/>
  <c r="O63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8" i="11"/>
  <c r="N49" i="11"/>
  <c r="N50" i="11"/>
  <c r="N51" i="11"/>
  <c r="N52" i="11"/>
  <c r="N56" i="11"/>
  <c r="N57" i="11"/>
  <c r="N58" i="11"/>
  <c r="N61" i="11"/>
  <c r="N62" i="11"/>
  <c r="N63" i="11"/>
  <c r="A138" i="25" l="1"/>
  <c r="S137" i="25"/>
  <c r="T137" i="25" s="1"/>
  <c r="A137" i="25"/>
  <c r="S136" i="25"/>
  <c r="T136" i="25" s="1"/>
  <c r="A136" i="25"/>
  <c r="S135" i="25"/>
  <c r="T135" i="25" s="1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O55" i="11" s="1"/>
  <c r="A129" i="25"/>
  <c r="A128" i="25"/>
  <c r="A127" i="25"/>
  <c r="S126" i="25"/>
  <c r="T126" i="25" s="1"/>
  <c r="A126" i="25"/>
  <c r="S125" i="25"/>
  <c r="T125" i="25" s="1"/>
  <c r="A125" i="25"/>
  <c r="S124" i="25"/>
  <c r="T124" i="25" s="1"/>
  <c r="A124" i="25"/>
  <c r="S123" i="25"/>
  <c r="T123" i="25" s="1"/>
  <c r="A123" i="25"/>
  <c r="S122" i="25"/>
  <c r="T122" i="25" s="1"/>
  <c r="A122" i="25"/>
  <c r="T121" i="25"/>
  <c r="A121" i="25"/>
  <c r="S120" i="25"/>
  <c r="T120" i="25" s="1"/>
  <c r="A120" i="25"/>
  <c r="S119" i="25"/>
  <c r="T119" i="25" s="1"/>
  <c r="A119" i="25"/>
  <c r="S118" i="25"/>
  <c r="T118" i="25" s="1"/>
  <c r="A118" i="25"/>
  <c r="S117" i="25"/>
  <c r="T117" i="25" s="1"/>
  <c r="A117" i="25"/>
  <c r="S116" i="25"/>
  <c r="T116" i="25" s="1"/>
  <c r="A116" i="25"/>
  <c r="S115" i="25"/>
  <c r="T115" i="25" s="1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A114" i="25"/>
  <c r="S113" i="25"/>
  <c r="T113" i="25" s="1"/>
  <c r="A113" i="25"/>
  <c r="S112" i="25"/>
  <c r="T112" i="25" s="1"/>
  <c r="A112" i="25"/>
  <c r="S111" i="25"/>
  <c r="T111" i="25" s="1"/>
  <c r="A111" i="25"/>
  <c r="S110" i="25"/>
  <c r="T110" i="25" s="1"/>
  <c r="A110" i="25"/>
  <c r="S109" i="25"/>
  <c r="T109" i="25" s="1"/>
  <c r="A109" i="25"/>
  <c r="S108" i="25"/>
  <c r="T108" i="25" s="1"/>
  <c r="A108" i="25"/>
  <c r="S107" i="25"/>
  <c r="T107" i="25" s="1"/>
  <c r="A107" i="25"/>
  <c r="S106" i="25"/>
  <c r="T106" i="25" s="1"/>
  <c r="A106" i="25"/>
  <c r="S105" i="25"/>
  <c r="T105" i="25" s="1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O30" i="11" s="1"/>
  <c r="A104" i="25"/>
  <c r="A103" i="25"/>
  <c r="S102" i="25"/>
  <c r="T102" i="25" s="1"/>
  <c r="A102" i="25"/>
  <c r="S101" i="25"/>
  <c r="T101" i="25" s="1"/>
  <c r="A101" i="25"/>
  <c r="S100" i="25"/>
  <c r="T100" i="25" s="1"/>
  <c r="A100" i="25"/>
  <c r="S99" i="25"/>
  <c r="T99" i="25" s="1"/>
  <c r="A99" i="25"/>
  <c r="S98" i="25"/>
  <c r="T98" i="25" s="1"/>
  <c r="A98" i="25"/>
  <c r="S97" i="25"/>
  <c r="T97" i="25" s="1"/>
  <c r="A97" i="25"/>
  <c r="S96" i="25"/>
  <c r="T96" i="25" s="1"/>
  <c r="A96" i="25"/>
  <c r="S95" i="25"/>
  <c r="T95" i="25" s="1"/>
  <c r="A95" i="25"/>
  <c r="S94" i="25"/>
  <c r="T94" i="25" s="1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A93" i="25"/>
  <c r="S92" i="25"/>
  <c r="T92" i="25" s="1"/>
  <c r="A92" i="25"/>
  <c r="S91" i="25"/>
  <c r="T91" i="25" s="1"/>
  <c r="A91" i="25"/>
  <c r="S90" i="25"/>
  <c r="T90" i="25" s="1"/>
  <c r="A90" i="25"/>
  <c r="S89" i="25"/>
  <c r="T89" i="25" s="1"/>
  <c r="A89" i="25"/>
  <c r="S88" i="25"/>
  <c r="T88" i="25" s="1"/>
  <c r="A88" i="25"/>
  <c r="S87" i="25"/>
  <c r="T87" i="25" s="1"/>
  <c r="A87" i="25"/>
  <c r="S86" i="25"/>
  <c r="T86" i="25" s="1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A85" i="25"/>
  <c r="P84" i="25"/>
  <c r="L84" i="25"/>
  <c r="H84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T63" i="25" s="1"/>
  <c r="S62" i="25"/>
  <c r="T62" i="25" s="1"/>
  <c r="S61" i="25"/>
  <c r="T61" i="25" s="1"/>
  <c r="S58" i="25"/>
  <c r="T58" i="25" s="1"/>
  <c r="S57" i="25"/>
  <c r="T57" i="25" s="1"/>
  <c r="S56" i="25"/>
  <c r="T56" i="25" s="1"/>
  <c r="R55" i="25"/>
  <c r="Q55" i="25"/>
  <c r="P55" i="25"/>
  <c r="O55" i="25"/>
  <c r="N55" i="25"/>
  <c r="M55" i="25"/>
  <c r="L55" i="25"/>
  <c r="K55" i="25"/>
  <c r="J55" i="25"/>
  <c r="I55" i="25"/>
  <c r="H55" i="25"/>
  <c r="G55" i="25"/>
  <c r="N55" i="11" s="1"/>
  <c r="S52" i="25"/>
  <c r="T52" i="25" s="1"/>
  <c r="S51" i="25"/>
  <c r="T51" i="25" s="1"/>
  <c r="S50" i="25"/>
  <c r="T50" i="25" s="1"/>
  <c r="S49" i="25"/>
  <c r="T49" i="25" s="1"/>
  <c r="S48" i="25"/>
  <c r="T48" i="25" s="1"/>
  <c r="S47" i="25"/>
  <c r="T47" i="25" s="1"/>
  <c r="S46" i="25"/>
  <c r="T46" i="25" s="1"/>
  <c r="S45" i="25"/>
  <c r="T45" i="25" s="1"/>
  <c r="S44" i="25"/>
  <c r="T44" i="25" s="1"/>
  <c r="S43" i="25"/>
  <c r="T43" i="25" s="1"/>
  <c r="S42" i="25"/>
  <c r="T42" i="25" s="1"/>
  <c r="S41" i="25"/>
  <c r="T41" i="25" s="1"/>
  <c r="R40" i="25"/>
  <c r="Q40" i="25"/>
  <c r="P40" i="25"/>
  <c r="O40" i="25"/>
  <c r="N40" i="25"/>
  <c r="M40" i="25"/>
  <c r="L40" i="25"/>
  <c r="K40" i="25"/>
  <c r="J40" i="25"/>
  <c r="I40" i="25"/>
  <c r="I29" i="25" s="1"/>
  <c r="H40" i="25"/>
  <c r="G40" i="25"/>
  <c r="N40" i="11" s="1"/>
  <c r="S39" i="25"/>
  <c r="T39" i="25" s="1"/>
  <c r="S38" i="25"/>
  <c r="T38" i="25" s="1"/>
  <c r="S37" i="25"/>
  <c r="T37" i="25" s="1"/>
  <c r="S36" i="25"/>
  <c r="T36" i="25" s="1"/>
  <c r="S35" i="25"/>
  <c r="T35" i="25" s="1"/>
  <c r="S34" i="25"/>
  <c r="T34" i="25" s="1"/>
  <c r="S33" i="25"/>
  <c r="T33" i="25" s="1"/>
  <c r="T32" i="25"/>
  <c r="S32" i="25"/>
  <c r="S31" i="25"/>
  <c r="T31" i="25" s="1"/>
  <c r="R30" i="25"/>
  <c r="Q30" i="25"/>
  <c r="P30" i="25"/>
  <c r="O30" i="25"/>
  <c r="O29" i="25" s="1"/>
  <c r="N30" i="25"/>
  <c r="M30" i="25"/>
  <c r="M29" i="25" s="1"/>
  <c r="L30" i="25"/>
  <c r="K30" i="25"/>
  <c r="K29" i="25" s="1"/>
  <c r="J30" i="25"/>
  <c r="I30" i="25"/>
  <c r="H30" i="25"/>
  <c r="G30" i="25"/>
  <c r="Q29" i="25"/>
  <c r="S28" i="25"/>
  <c r="T28" i="25" s="1"/>
  <c r="S27" i="25"/>
  <c r="T27" i="25" s="1"/>
  <c r="S26" i="25"/>
  <c r="T26" i="25" s="1"/>
  <c r="S25" i="25"/>
  <c r="T25" i="25" s="1"/>
  <c r="S24" i="25"/>
  <c r="T24" i="25" s="1"/>
  <c r="S23" i="25"/>
  <c r="T23" i="25" s="1"/>
  <c r="S22" i="25"/>
  <c r="T22" i="25" s="1"/>
  <c r="S21" i="25"/>
  <c r="T21" i="25" s="1"/>
  <c r="S20" i="25"/>
  <c r="T20" i="25" s="1"/>
  <c r="R19" i="25"/>
  <c r="Q19" i="25"/>
  <c r="P19" i="25"/>
  <c r="O19" i="25"/>
  <c r="N19" i="25"/>
  <c r="M19" i="25"/>
  <c r="L19" i="25"/>
  <c r="K19" i="25"/>
  <c r="J19" i="25"/>
  <c r="I19" i="25"/>
  <c r="H19" i="25"/>
  <c r="G19" i="25"/>
  <c r="S18" i="25"/>
  <c r="T18" i="25" s="1"/>
  <c r="S17" i="25"/>
  <c r="T17" i="25" s="1"/>
  <c r="S16" i="25"/>
  <c r="T16" i="25" s="1"/>
  <c r="S15" i="25"/>
  <c r="T15" i="25" s="1"/>
  <c r="S14" i="25"/>
  <c r="T14" i="25" s="1"/>
  <c r="S13" i="25"/>
  <c r="T13" i="25" s="1"/>
  <c r="S12" i="25"/>
  <c r="T12" i="25" s="1"/>
  <c r="R11" i="25"/>
  <c r="R10" i="25" s="1"/>
  <c r="Q11" i="25"/>
  <c r="P11" i="25"/>
  <c r="O11" i="25"/>
  <c r="N11" i="25"/>
  <c r="M11" i="25"/>
  <c r="L11" i="25"/>
  <c r="K11" i="25"/>
  <c r="J11" i="25"/>
  <c r="J10" i="25" s="1"/>
  <c r="I11" i="25"/>
  <c r="H11" i="25"/>
  <c r="G11" i="25"/>
  <c r="G10" i="25" s="1"/>
  <c r="N10" i="11" s="1"/>
  <c r="N10" i="25"/>
  <c r="R5" i="25"/>
  <c r="Q5" i="25"/>
  <c r="P5" i="25"/>
  <c r="O5" i="25"/>
  <c r="N5" i="25"/>
  <c r="M5" i="25"/>
  <c r="L5" i="25"/>
  <c r="K5" i="25"/>
  <c r="J5" i="25"/>
  <c r="I5" i="25"/>
  <c r="H5" i="25"/>
  <c r="G5" i="25"/>
  <c r="I103" i="25" l="1"/>
  <c r="M103" i="25"/>
  <c r="Q103" i="25"/>
  <c r="H103" i="25"/>
  <c r="J103" i="25"/>
  <c r="L103" i="25"/>
  <c r="N103" i="25"/>
  <c r="P103" i="25"/>
  <c r="R103" i="25"/>
  <c r="S85" i="25"/>
  <c r="T85" i="25" s="1"/>
  <c r="O11" i="11"/>
  <c r="S114" i="25"/>
  <c r="T114" i="25" s="1"/>
  <c r="O40" i="11"/>
  <c r="K103" i="25"/>
  <c r="O103" i="25"/>
  <c r="S30" i="25"/>
  <c r="T30" i="25" s="1"/>
  <c r="N30" i="11"/>
  <c r="I10" i="25"/>
  <c r="K10" i="25"/>
  <c r="K53" i="25" s="1"/>
  <c r="K59" i="25" s="1"/>
  <c r="K64" i="25" s="1"/>
  <c r="K60" i="25" s="1"/>
  <c r="M10" i="25"/>
  <c r="O10" i="25"/>
  <c r="O53" i="25" s="1"/>
  <c r="O59" i="25" s="1"/>
  <c r="O64" i="25" s="1"/>
  <c r="O60" i="25" s="1"/>
  <c r="Q10" i="25"/>
  <c r="L10" i="25"/>
  <c r="P10" i="25"/>
  <c r="H10" i="25"/>
  <c r="G84" i="25"/>
  <c r="O10" i="11" s="1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J29" i="25"/>
  <c r="J53" i="25" s="1"/>
  <c r="L29" i="25"/>
  <c r="N29" i="25"/>
  <c r="N53" i="25" s="1"/>
  <c r="P29" i="25"/>
  <c r="P53" i="25" s="1"/>
  <c r="R29" i="25"/>
  <c r="R53" i="25" s="1"/>
  <c r="S40" i="25"/>
  <c r="T40" i="25" s="1"/>
  <c r="I53" i="25"/>
  <c r="I54" i="25" s="1"/>
  <c r="M53" i="25"/>
  <c r="M54" i="25" s="1"/>
  <c r="Q53" i="25"/>
  <c r="Q54" i="25" s="1"/>
  <c r="G29" i="25"/>
  <c r="S19" i="25"/>
  <c r="T19" i="25" s="1"/>
  <c r="S11" i="25"/>
  <c r="T11" i="25" s="1"/>
  <c r="S55" i="25"/>
  <c r="T55" i="25" s="1"/>
  <c r="S93" i="25"/>
  <c r="T93" i="25" s="1"/>
  <c r="S104" i="25"/>
  <c r="T104" i="25" s="1"/>
  <c r="S129" i="25"/>
  <c r="T129" i="25" s="1"/>
  <c r="K48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M127" i="25" l="1"/>
  <c r="M128" i="25" s="1"/>
  <c r="O127" i="25"/>
  <c r="O128" i="25" s="1"/>
  <c r="N127" i="25"/>
  <c r="N128" i="25" s="1"/>
  <c r="K127" i="25"/>
  <c r="K133" i="25" s="1"/>
  <c r="K138" i="25" s="1"/>
  <c r="K134" i="25" s="1"/>
  <c r="L127" i="25"/>
  <c r="L133" i="25" s="1"/>
  <c r="L138" i="25" s="1"/>
  <c r="L134" i="25" s="1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N29" i="11"/>
  <c r="G53" i="25"/>
  <c r="N53" i="11" s="1"/>
  <c r="G127" i="25"/>
  <c r="O53" i="11" s="1"/>
  <c r="O29" i="11"/>
  <c r="Q59" i="25"/>
  <c r="Q64" i="25" s="1"/>
  <c r="Q60" i="25" s="1"/>
  <c r="I59" i="25"/>
  <c r="I64" i="25" s="1"/>
  <c r="I60" i="25" s="1"/>
  <c r="M59" i="25"/>
  <c r="M64" i="25" s="1"/>
  <c r="M60" i="25" s="1"/>
  <c r="L53" i="25"/>
  <c r="L54" i="25" s="1"/>
  <c r="O54" i="25"/>
  <c r="S10" i="25"/>
  <c r="T10" i="25" s="1"/>
  <c r="H53" i="25"/>
  <c r="H54" i="25" s="1"/>
  <c r="M133" i="25"/>
  <c r="M138" i="25" s="1"/>
  <c r="M134" i="25" s="1"/>
  <c r="I128" i="25"/>
  <c r="S84" i="25"/>
  <c r="T84" i="25" s="1"/>
  <c r="Q128" i="25"/>
  <c r="S103" i="25"/>
  <c r="T103" i="25" s="1"/>
  <c r="S29" i="25"/>
  <c r="T29" i="25" s="1"/>
  <c r="P59" i="25"/>
  <c r="P64" i="25" s="1"/>
  <c r="P60" i="25" s="1"/>
  <c r="P54" i="25"/>
  <c r="K54" i="25"/>
  <c r="N54" i="25"/>
  <c r="N59" i="25"/>
  <c r="N64" i="25" s="1"/>
  <c r="N60" i="25" s="1"/>
  <c r="G59" i="25"/>
  <c r="N59" i="11" s="1"/>
  <c r="R54" i="25"/>
  <c r="R59" i="25"/>
  <c r="R64" i="25" s="1"/>
  <c r="R60" i="25" s="1"/>
  <c r="J54" i="25"/>
  <c r="J59" i="25"/>
  <c r="J64" i="25" s="1"/>
  <c r="J60" i="25" s="1"/>
  <c r="S53" i="20"/>
  <c r="O133" i="25" l="1"/>
  <c r="O138" i="25" s="1"/>
  <c r="O134" i="25" s="1"/>
  <c r="G54" i="25"/>
  <c r="N54" i="11" s="1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O54" i="11"/>
  <c r="L59" i="25"/>
  <c r="L64" i="25" s="1"/>
  <c r="L60" i="25" s="1"/>
  <c r="H59" i="25"/>
  <c r="H64" i="25" s="1"/>
  <c r="H60" i="25" s="1"/>
  <c r="S53" i="25"/>
  <c r="T53" i="25" s="1"/>
  <c r="G64" i="25"/>
  <c r="N64" i="11" s="1"/>
  <c r="G5" i="22"/>
  <c r="H5" i="22"/>
  <c r="I5" i="22"/>
  <c r="J5" i="22"/>
  <c r="K5" i="22"/>
  <c r="L5" i="22"/>
  <c r="M5" i="22"/>
  <c r="N5" i="22"/>
  <c r="O5" i="22"/>
  <c r="S54" i="25" l="1"/>
  <c r="T54" i="25" s="1"/>
  <c r="S133" i="25"/>
  <c r="T133" i="25" s="1"/>
  <c r="S128" i="25"/>
  <c r="T128" i="25" s="1"/>
  <c r="O59" i="11"/>
  <c r="G138" i="25"/>
  <c r="O64" i="11" s="1"/>
  <c r="S59" i="25"/>
  <c r="T59" i="25" s="1"/>
  <c r="S64" i="25"/>
  <c r="T64" i="25" s="1"/>
  <c r="G60" i="25"/>
  <c r="P19" i="22"/>
  <c r="S138" i="25" l="1"/>
  <c r="T138" i="25" s="1"/>
  <c r="G134" i="25"/>
  <c r="S60" i="25"/>
  <c r="T60" i="25" s="1"/>
  <c r="N60" i="11"/>
  <c r="S121" i="22"/>
  <c r="S134" i="25" l="1"/>
  <c r="T134" i="25" s="1"/>
  <c r="O60" i="11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G34" i="11"/>
  <c r="P10" i="22"/>
  <c r="T26" i="22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O54" i="22"/>
  <c r="J53" i="22"/>
  <c r="A145" i="19"/>
  <c r="A144" i="19"/>
  <c r="A151" i="19"/>
  <c r="A157" i="19"/>
  <c r="A152" i="19"/>
  <c r="A153" i="19"/>
  <c r="T29" i="22" l="1"/>
  <c r="G29" i="11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K63" i="11" s="1"/>
  <c r="R62" i="19"/>
  <c r="Q62" i="19"/>
  <c r="P62" i="19"/>
  <c r="O62" i="19"/>
  <c r="N62" i="19"/>
  <c r="M62" i="19"/>
  <c r="L62" i="19"/>
  <c r="K62" i="19"/>
  <c r="J62" i="19"/>
  <c r="I62" i="19"/>
  <c r="H62" i="19"/>
  <c r="G62" i="19"/>
  <c r="K62" i="11" s="1"/>
  <c r="R61" i="19"/>
  <c r="Q61" i="19"/>
  <c r="P61" i="19"/>
  <c r="O61" i="19"/>
  <c r="N61" i="19"/>
  <c r="M61" i="19"/>
  <c r="L61" i="19"/>
  <c r="K61" i="19"/>
  <c r="J61" i="19"/>
  <c r="I61" i="19"/>
  <c r="H61" i="19"/>
  <c r="G61" i="19"/>
  <c r="K61" i="11" s="1"/>
  <c r="R58" i="19"/>
  <c r="Q58" i="19"/>
  <c r="P58" i="19"/>
  <c r="O58" i="19"/>
  <c r="N58" i="19"/>
  <c r="M58" i="19"/>
  <c r="L58" i="19"/>
  <c r="K58" i="19"/>
  <c r="J58" i="19"/>
  <c r="I58" i="19"/>
  <c r="H58" i="19"/>
  <c r="G58" i="19"/>
  <c r="K58" i="11" s="1"/>
  <c r="R57" i="19"/>
  <c r="Q57" i="19"/>
  <c r="P57" i="19"/>
  <c r="O57" i="19"/>
  <c r="N57" i="19"/>
  <c r="M57" i="19"/>
  <c r="L57" i="19"/>
  <c r="K57" i="19"/>
  <c r="J57" i="19"/>
  <c r="I57" i="19"/>
  <c r="H57" i="19"/>
  <c r="G57" i="19"/>
  <c r="K57" i="11" s="1"/>
  <c r="R56" i="19"/>
  <c r="Q56" i="19"/>
  <c r="P56" i="19"/>
  <c r="O56" i="19"/>
  <c r="N56" i="19"/>
  <c r="M56" i="19"/>
  <c r="L56" i="19"/>
  <c r="K56" i="19"/>
  <c r="J56" i="19"/>
  <c r="I56" i="19"/>
  <c r="H56" i="19"/>
  <c r="G56" i="19"/>
  <c r="K56" i="11" s="1"/>
  <c r="R52" i="19"/>
  <c r="Q52" i="19"/>
  <c r="P52" i="19"/>
  <c r="O52" i="19"/>
  <c r="N52" i="19"/>
  <c r="M52" i="19"/>
  <c r="L52" i="19"/>
  <c r="K52" i="19"/>
  <c r="J52" i="19"/>
  <c r="I52" i="19"/>
  <c r="H52" i="19"/>
  <c r="G52" i="19"/>
  <c r="K52" i="11" s="1"/>
  <c r="R51" i="19"/>
  <c r="Q51" i="19"/>
  <c r="P51" i="19"/>
  <c r="O51" i="19"/>
  <c r="N51" i="19"/>
  <c r="M51" i="19"/>
  <c r="L51" i="19"/>
  <c r="K51" i="19"/>
  <c r="J51" i="19"/>
  <c r="I51" i="19"/>
  <c r="H51" i="19"/>
  <c r="G51" i="19"/>
  <c r="K51" i="11" s="1"/>
  <c r="R50" i="19"/>
  <c r="Q50" i="19"/>
  <c r="P50" i="19"/>
  <c r="O50" i="19"/>
  <c r="N50" i="19"/>
  <c r="M50" i="19"/>
  <c r="L50" i="19"/>
  <c r="K50" i="19"/>
  <c r="J50" i="19"/>
  <c r="I50" i="19"/>
  <c r="H50" i="19"/>
  <c r="G50" i="19"/>
  <c r="K50" i="11" s="1"/>
  <c r="R49" i="19"/>
  <c r="Q49" i="19"/>
  <c r="P49" i="19"/>
  <c r="O49" i="19"/>
  <c r="N49" i="19"/>
  <c r="M49" i="19"/>
  <c r="L49" i="19"/>
  <c r="K49" i="19"/>
  <c r="J49" i="19"/>
  <c r="I49" i="19"/>
  <c r="H49" i="19"/>
  <c r="G49" i="19"/>
  <c r="K49" i="11" s="1"/>
  <c r="R47" i="19"/>
  <c r="Q47" i="19"/>
  <c r="P47" i="19"/>
  <c r="O47" i="19"/>
  <c r="N47" i="19"/>
  <c r="M47" i="19"/>
  <c r="L47" i="19"/>
  <c r="K47" i="19"/>
  <c r="J47" i="19"/>
  <c r="I47" i="19"/>
  <c r="H47" i="19"/>
  <c r="G47" i="19"/>
  <c r="K47" i="11" s="1"/>
  <c r="R46" i="19"/>
  <c r="Q46" i="19"/>
  <c r="P46" i="19"/>
  <c r="O46" i="19"/>
  <c r="N46" i="19"/>
  <c r="M46" i="19"/>
  <c r="L46" i="19"/>
  <c r="K46" i="19"/>
  <c r="J46" i="19"/>
  <c r="I46" i="19"/>
  <c r="H46" i="19"/>
  <c r="G46" i="19"/>
  <c r="K46" i="11" s="1"/>
  <c r="R45" i="19"/>
  <c r="Q45" i="19"/>
  <c r="P45" i="19"/>
  <c r="O45" i="19"/>
  <c r="N45" i="19"/>
  <c r="M45" i="19"/>
  <c r="L45" i="19"/>
  <c r="K45" i="19"/>
  <c r="J45" i="19"/>
  <c r="I45" i="19"/>
  <c r="H45" i="19"/>
  <c r="G45" i="19"/>
  <c r="K45" i="11" s="1"/>
  <c r="R44" i="19"/>
  <c r="Q44" i="19"/>
  <c r="P44" i="19"/>
  <c r="O44" i="19"/>
  <c r="N44" i="19"/>
  <c r="M44" i="19"/>
  <c r="L44" i="19"/>
  <c r="K44" i="19"/>
  <c r="J44" i="19"/>
  <c r="I44" i="19"/>
  <c r="H44" i="19"/>
  <c r="G44" i="19"/>
  <c r="K44" i="11" s="1"/>
  <c r="R43" i="19"/>
  <c r="Q43" i="19"/>
  <c r="P43" i="19"/>
  <c r="O43" i="19"/>
  <c r="N43" i="19"/>
  <c r="M43" i="19"/>
  <c r="L43" i="19"/>
  <c r="K43" i="19"/>
  <c r="J43" i="19"/>
  <c r="I43" i="19"/>
  <c r="H43" i="19"/>
  <c r="G43" i="19"/>
  <c r="K43" i="11" s="1"/>
  <c r="R42" i="19"/>
  <c r="Q42" i="19"/>
  <c r="P42" i="19"/>
  <c r="O42" i="19"/>
  <c r="N42" i="19"/>
  <c r="M42" i="19"/>
  <c r="L42" i="19"/>
  <c r="K42" i="19"/>
  <c r="J42" i="19"/>
  <c r="I42" i="19"/>
  <c r="H42" i="19"/>
  <c r="G42" i="19"/>
  <c r="K42" i="11" s="1"/>
  <c r="R41" i="19"/>
  <c r="Q41" i="19"/>
  <c r="P41" i="19"/>
  <c r="O41" i="19"/>
  <c r="N41" i="19"/>
  <c r="M41" i="19"/>
  <c r="L41" i="19"/>
  <c r="K41" i="19"/>
  <c r="J41" i="19"/>
  <c r="I41" i="19"/>
  <c r="H41" i="19"/>
  <c r="G41" i="19"/>
  <c r="K41" i="11" s="1"/>
  <c r="R39" i="19"/>
  <c r="Q39" i="19"/>
  <c r="P39" i="19"/>
  <c r="O39" i="19"/>
  <c r="N39" i="19"/>
  <c r="M39" i="19"/>
  <c r="L39" i="19"/>
  <c r="K39" i="19"/>
  <c r="J39" i="19"/>
  <c r="I39" i="19"/>
  <c r="H39" i="19"/>
  <c r="G39" i="19"/>
  <c r="K39" i="11" s="1"/>
  <c r="R38" i="19"/>
  <c r="Q38" i="19"/>
  <c r="P38" i="19"/>
  <c r="O38" i="19"/>
  <c r="N38" i="19"/>
  <c r="M38" i="19"/>
  <c r="L38" i="19"/>
  <c r="K38" i="19"/>
  <c r="J38" i="19"/>
  <c r="I38" i="19"/>
  <c r="H38" i="19"/>
  <c r="G38" i="19"/>
  <c r="K38" i="11" s="1"/>
  <c r="R37" i="19"/>
  <c r="Q37" i="19"/>
  <c r="P37" i="19"/>
  <c r="O37" i="19"/>
  <c r="N37" i="19"/>
  <c r="M37" i="19"/>
  <c r="L37" i="19"/>
  <c r="K37" i="19"/>
  <c r="J37" i="19"/>
  <c r="I37" i="19"/>
  <c r="H37" i="19"/>
  <c r="G37" i="19"/>
  <c r="K37" i="11" s="1"/>
  <c r="R36" i="19"/>
  <c r="Q36" i="19"/>
  <c r="P36" i="19"/>
  <c r="O36" i="19"/>
  <c r="N36" i="19"/>
  <c r="M36" i="19"/>
  <c r="L36" i="19"/>
  <c r="K36" i="19"/>
  <c r="J36" i="19"/>
  <c r="I36" i="19"/>
  <c r="H36" i="19"/>
  <c r="G36" i="19"/>
  <c r="K36" i="11" s="1"/>
  <c r="R35" i="19"/>
  <c r="Q35" i="19"/>
  <c r="P35" i="19"/>
  <c r="O35" i="19"/>
  <c r="N35" i="19"/>
  <c r="M35" i="19"/>
  <c r="L35" i="19"/>
  <c r="K35" i="19"/>
  <c r="J35" i="19"/>
  <c r="I35" i="19"/>
  <c r="H35" i="19"/>
  <c r="G35" i="19"/>
  <c r="K35" i="11" s="1"/>
  <c r="R34" i="19"/>
  <c r="Q34" i="19"/>
  <c r="P34" i="19"/>
  <c r="O34" i="19"/>
  <c r="N34" i="19"/>
  <c r="M34" i="19"/>
  <c r="L34" i="19"/>
  <c r="K34" i="19"/>
  <c r="J34" i="19"/>
  <c r="I34" i="19"/>
  <c r="H34" i="19"/>
  <c r="G34" i="19"/>
  <c r="K34" i="11" s="1"/>
  <c r="R33" i="19"/>
  <c r="Q33" i="19"/>
  <c r="P33" i="19"/>
  <c r="O33" i="19"/>
  <c r="N33" i="19"/>
  <c r="M33" i="19"/>
  <c r="L33" i="19"/>
  <c r="K33" i="19"/>
  <c r="J33" i="19"/>
  <c r="I33" i="19"/>
  <c r="H33" i="19"/>
  <c r="G33" i="19"/>
  <c r="K33" i="11" s="1"/>
  <c r="R32" i="19"/>
  <c r="Q32" i="19"/>
  <c r="P32" i="19"/>
  <c r="O32" i="19"/>
  <c r="N32" i="19"/>
  <c r="M32" i="19"/>
  <c r="L32" i="19"/>
  <c r="K32" i="19"/>
  <c r="J32" i="19"/>
  <c r="I32" i="19"/>
  <c r="H32" i="19"/>
  <c r="G32" i="19"/>
  <c r="K32" i="11" s="1"/>
  <c r="R31" i="19"/>
  <c r="Q31" i="19"/>
  <c r="P31" i="19"/>
  <c r="O31" i="19"/>
  <c r="N31" i="19"/>
  <c r="M31" i="19"/>
  <c r="L31" i="19"/>
  <c r="K31" i="19"/>
  <c r="J31" i="19"/>
  <c r="I31" i="19"/>
  <c r="H31" i="19"/>
  <c r="G31" i="19"/>
  <c r="K31" i="11" s="1"/>
  <c r="R28" i="19"/>
  <c r="Q28" i="19"/>
  <c r="P28" i="19"/>
  <c r="O28" i="19"/>
  <c r="N28" i="19"/>
  <c r="M28" i="19"/>
  <c r="L28" i="19"/>
  <c r="K28" i="19"/>
  <c r="J28" i="19"/>
  <c r="I28" i="19"/>
  <c r="H28" i="19"/>
  <c r="G28" i="19"/>
  <c r="K28" i="11" s="1"/>
  <c r="R27" i="19"/>
  <c r="Q27" i="19"/>
  <c r="P27" i="19"/>
  <c r="O27" i="19"/>
  <c r="N27" i="19"/>
  <c r="M27" i="19"/>
  <c r="L27" i="19"/>
  <c r="K27" i="19"/>
  <c r="J27" i="19"/>
  <c r="I27" i="19"/>
  <c r="H27" i="19"/>
  <c r="G27" i="19"/>
  <c r="K27" i="11" s="1"/>
  <c r="R26" i="19"/>
  <c r="Q26" i="19"/>
  <c r="P26" i="19"/>
  <c r="O26" i="19"/>
  <c r="N26" i="19"/>
  <c r="M26" i="19"/>
  <c r="L26" i="19"/>
  <c r="K26" i="19"/>
  <c r="J26" i="19"/>
  <c r="I26" i="19"/>
  <c r="H26" i="19"/>
  <c r="G26" i="19"/>
  <c r="K26" i="11" s="1"/>
  <c r="R25" i="19"/>
  <c r="Q25" i="19"/>
  <c r="P25" i="19"/>
  <c r="O25" i="19"/>
  <c r="N25" i="19"/>
  <c r="M25" i="19"/>
  <c r="L25" i="19"/>
  <c r="K25" i="19"/>
  <c r="J25" i="19"/>
  <c r="I25" i="19"/>
  <c r="H25" i="19"/>
  <c r="G25" i="19"/>
  <c r="K25" i="11" s="1"/>
  <c r="R24" i="19"/>
  <c r="Q24" i="19"/>
  <c r="P24" i="19"/>
  <c r="O24" i="19"/>
  <c r="N24" i="19"/>
  <c r="M24" i="19"/>
  <c r="L24" i="19"/>
  <c r="K24" i="19"/>
  <c r="J24" i="19"/>
  <c r="I24" i="19"/>
  <c r="H24" i="19"/>
  <c r="G24" i="19"/>
  <c r="K24" i="11" s="1"/>
  <c r="R23" i="19"/>
  <c r="Q23" i="19"/>
  <c r="P23" i="19"/>
  <c r="O23" i="19"/>
  <c r="N23" i="19"/>
  <c r="M23" i="19"/>
  <c r="L23" i="19"/>
  <c r="K23" i="19"/>
  <c r="J23" i="19"/>
  <c r="I23" i="19"/>
  <c r="H23" i="19"/>
  <c r="G23" i="19"/>
  <c r="K23" i="11" s="1"/>
  <c r="R22" i="19"/>
  <c r="Q22" i="19"/>
  <c r="P22" i="19"/>
  <c r="O22" i="19"/>
  <c r="N22" i="19"/>
  <c r="M22" i="19"/>
  <c r="L22" i="19"/>
  <c r="K22" i="19"/>
  <c r="J22" i="19"/>
  <c r="I22" i="19"/>
  <c r="H22" i="19"/>
  <c r="G22" i="19"/>
  <c r="K22" i="11" s="1"/>
  <c r="R21" i="19"/>
  <c r="Q21" i="19"/>
  <c r="P21" i="19"/>
  <c r="O21" i="19"/>
  <c r="N21" i="19"/>
  <c r="M21" i="19"/>
  <c r="L21" i="19"/>
  <c r="K21" i="19"/>
  <c r="J21" i="19"/>
  <c r="I21" i="19"/>
  <c r="H21" i="19"/>
  <c r="G21" i="19"/>
  <c r="K21" i="11" s="1"/>
  <c r="R20" i="19"/>
  <c r="Q20" i="19"/>
  <c r="P20" i="19"/>
  <c r="O20" i="19"/>
  <c r="N20" i="19"/>
  <c r="M20" i="19"/>
  <c r="L20" i="19"/>
  <c r="K20" i="19"/>
  <c r="J20" i="19"/>
  <c r="I20" i="19"/>
  <c r="H20" i="19"/>
  <c r="G20" i="19"/>
  <c r="K20" i="11" s="1"/>
  <c r="R19" i="19"/>
  <c r="Q19" i="19"/>
  <c r="P19" i="19"/>
  <c r="O19" i="19"/>
  <c r="N19" i="19"/>
  <c r="M19" i="19"/>
  <c r="L19" i="19"/>
  <c r="K19" i="19"/>
  <c r="J19" i="19"/>
  <c r="I19" i="19"/>
  <c r="H19" i="19"/>
  <c r="G19" i="19"/>
  <c r="K19" i="11" s="1"/>
  <c r="R18" i="19"/>
  <c r="Q18" i="19"/>
  <c r="P18" i="19"/>
  <c r="O18" i="19"/>
  <c r="N18" i="19"/>
  <c r="M18" i="19"/>
  <c r="L18" i="19"/>
  <c r="K18" i="19"/>
  <c r="J18" i="19"/>
  <c r="I18" i="19"/>
  <c r="H18" i="19"/>
  <c r="G18" i="19"/>
  <c r="K18" i="11" s="1"/>
  <c r="R17" i="19"/>
  <c r="Q17" i="19"/>
  <c r="P17" i="19"/>
  <c r="O17" i="19"/>
  <c r="N17" i="19"/>
  <c r="M17" i="19"/>
  <c r="L17" i="19"/>
  <c r="K17" i="19"/>
  <c r="J17" i="19"/>
  <c r="I17" i="19"/>
  <c r="H17" i="19"/>
  <c r="G17" i="19"/>
  <c r="K17" i="11" s="1"/>
  <c r="R16" i="19"/>
  <c r="Q16" i="19"/>
  <c r="P16" i="19"/>
  <c r="O16" i="19"/>
  <c r="N16" i="19"/>
  <c r="M16" i="19"/>
  <c r="L16" i="19"/>
  <c r="K16" i="19"/>
  <c r="J16" i="19"/>
  <c r="I16" i="19"/>
  <c r="H16" i="19"/>
  <c r="G16" i="19"/>
  <c r="K16" i="11" s="1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K14" i="11" s="1"/>
  <c r="R13" i="19"/>
  <c r="Q13" i="19"/>
  <c r="P13" i="19"/>
  <c r="O13" i="19"/>
  <c r="N13" i="19"/>
  <c r="M13" i="19"/>
  <c r="L13" i="19"/>
  <c r="K13" i="19"/>
  <c r="J13" i="19"/>
  <c r="I13" i="19"/>
  <c r="H13" i="19"/>
  <c r="G13" i="19"/>
  <c r="K13" i="11" s="1"/>
  <c r="R12" i="19"/>
  <c r="Q12" i="19"/>
  <c r="P12" i="19"/>
  <c r="O12" i="19"/>
  <c r="N12" i="19"/>
  <c r="M12" i="19"/>
  <c r="L12" i="19"/>
  <c r="K12" i="19"/>
  <c r="J12" i="19"/>
  <c r="I12" i="19"/>
  <c r="H12" i="19"/>
  <c r="G12" i="19"/>
  <c r="K12" i="11" s="1"/>
  <c r="K15" i="11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K11" i="11" s="1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55" i="11" l="1"/>
  <c r="K30" i="1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K29" i="11" s="1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T64" i="1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K60" i="11" s="1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B81" i="25" s="1"/>
  <c r="G251" i="2"/>
  <c r="G248" i="2"/>
  <c r="S7" i="25" s="1"/>
  <c r="S81" i="25" s="1"/>
  <c r="G242" i="2"/>
  <c r="G241" i="2"/>
  <c r="G240" i="2"/>
  <c r="P8" i="25" s="1"/>
  <c r="P82" i="25" s="1"/>
  <c r="G239" i="2"/>
  <c r="G238" i="2"/>
  <c r="G237" i="2"/>
  <c r="G236" i="2"/>
  <c r="L8" i="25" s="1"/>
  <c r="L82" i="25" s="1"/>
  <c r="G235" i="2"/>
  <c r="G234" i="2"/>
  <c r="G233" i="2"/>
  <c r="G232" i="2"/>
  <c r="G231" i="2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G7" i="2"/>
  <c r="G6" i="2"/>
  <c r="E2" i="25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E3" i="22" l="1"/>
  <c r="E3" i="25"/>
  <c r="B86" i="25"/>
  <c r="B12" i="25"/>
  <c r="B88" i="25"/>
  <c r="B14" i="25"/>
  <c r="B90" i="25"/>
  <c r="B16" i="25"/>
  <c r="B92" i="25"/>
  <c r="B18" i="25"/>
  <c r="B94" i="25"/>
  <c r="B20" i="25"/>
  <c r="B96" i="25"/>
  <c r="B22" i="25"/>
  <c r="B98" i="25"/>
  <c r="B24" i="25"/>
  <c r="B27" i="25"/>
  <c r="B101" i="25"/>
  <c r="B61" i="25"/>
  <c r="B135" i="25"/>
  <c r="B29" i="25"/>
  <c r="B103" i="25"/>
  <c r="B30" i="25"/>
  <c r="B104" i="25"/>
  <c r="B108" i="25"/>
  <c r="B34" i="25"/>
  <c r="B35" i="25"/>
  <c r="B109" i="25"/>
  <c r="B110" i="25"/>
  <c r="B36" i="25"/>
  <c r="B115" i="25"/>
  <c r="B41" i="25"/>
  <c r="B116" i="25"/>
  <c r="B42" i="25"/>
  <c r="B117" i="25"/>
  <c r="B43" i="25"/>
  <c r="B118" i="25"/>
  <c r="B44" i="25"/>
  <c r="B119" i="25"/>
  <c r="B45" i="25"/>
  <c r="B120" i="25"/>
  <c r="B46" i="25"/>
  <c r="B121" i="25"/>
  <c r="B47" i="25"/>
  <c r="B132" i="25"/>
  <c r="B58" i="25"/>
  <c r="B57" i="25"/>
  <c r="B131" i="25"/>
  <c r="B125" i="25"/>
  <c r="B51" i="25"/>
  <c r="B128" i="25"/>
  <c r="B54" i="25"/>
  <c r="B59" i="25"/>
  <c r="B133" i="25"/>
  <c r="B126" i="25"/>
  <c r="B52" i="25"/>
  <c r="H8" i="22"/>
  <c r="H82" i="22" s="1"/>
  <c r="H8" i="25"/>
  <c r="H82" i="25" s="1"/>
  <c r="J8" i="22"/>
  <c r="J82" i="22" s="1"/>
  <c r="J8" i="25"/>
  <c r="J82" i="25" s="1"/>
  <c r="N8" i="22"/>
  <c r="N82" i="22" s="1"/>
  <c r="N8" i="25"/>
  <c r="N82" i="25" s="1"/>
  <c r="R8" i="22"/>
  <c r="R82" i="22" s="1"/>
  <c r="R8" i="25"/>
  <c r="R82" i="25" s="1"/>
  <c r="B7" i="22"/>
  <c r="B7" i="25"/>
  <c r="E4" i="11"/>
  <c r="E4" i="25"/>
  <c r="B84" i="25"/>
  <c r="B10" i="25"/>
  <c r="B11" i="25"/>
  <c r="B85" i="25"/>
  <c r="B87" i="25"/>
  <c r="B13" i="25"/>
  <c r="B89" i="25"/>
  <c r="B15" i="25"/>
  <c r="B91" i="25"/>
  <c r="B17" i="25"/>
  <c r="B93" i="25"/>
  <c r="B19" i="25"/>
  <c r="B21" i="25"/>
  <c r="B95" i="25"/>
  <c r="B23" i="25"/>
  <c r="B97" i="25"/>
  <c r="B25" i="25"/>
  <c r="B99" i="25"/>
  <c r="B100" i="25"/>
  <c r="B26" i="25"/>
  <c r="B63" i="25"/>
  <c r="B137" i="25"/>
  <c r="B102" i="25"/>
  <c r="B28" i="25"/>
  <c r="B136" i="25"/>
  <c r="B62" i="25"/>
  <c r="B105" i="25"/>
  <c r="B31" i="25"/>
  <c r="B106" i="25"/>
  <c r="B32" i="25"/>
  <c r="B33" i="25"/>
  <c r="B107" i="25"/>
  <c r="B37" i="25"/>
  <c r="B111" i="25"/>
  <c r="B112" i="25"/>
  <c r="B38" i="25"/>
  <c r="B39" i="25"/>
  <c r="B113" i="25"/>
  <c r="B114" i="25"/>
  <c r="B40" i="25"/>
  <c r="B122" i="25"/>
  <c r="B48" i="25"/>
  <c r="B129" i="25"/>
  <c r="B55" i="25"/>
  <c r="B130" i="25"/>
  <c r="B56" i="25"/>
  <c r="B124" i="25"/>
  <c r="B50" i="25"/>
  <c r="B123" i="25"/>
  <c r="B49" i="25"/>
  <c r="B127" i="25"/>
  <c r="B53" i="25"/>
  <c r="B134" i="25"/>
  <c r="B60" i="25"/>
  <c r="B138" i="25"/>
  <c r="B64" i="25"/>
  <c r="G8" i="22"/>
  <c r="G82" i="22" s="1"/>
  <c r="G8" i="25"/>
  <c r="G82" i="25" s="1"/>
  <c r="I8" i="22"/>
  <c r="I82" i="22" s="1"/>
  <c r="I8" i="25"/>
  <c r="I82" i="25" s="1"/>
  <c r="K8" i="22"/>
  <c r="K82" i="22" s="1"/>
  <c r="K8" i="25"/>
  <c r="K82" i="25" s="1"/>
  <c r="M8" i="22"/>
  <c r="M82" i="22" s="1"/>
  <c r="M8" i="25"/>
  <c r="M82" i="25" s="1"/>
  <c r="O8" i="22"/>
  <c r="O82" i="22" s="1"/>
  <c r="O8" i="25"/>
  <c r="O82" i="25" s="1"/>
  <c r="Q8" i="22"/>
  <c r="Q82" i="22" s="1"/>
  <c r="Q8" i="25"/>
  <c r="Q82" i="25" s="1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D11" i="1" s="1"/>
  <c r="G271" i="2"/>
  <c r="D19" i="1" s="1"/>
  <c r="G245" i="2"/>
  <c r="R8" i="3"/>
  <c r="R8" i="11"/>
  <c r="G270" i="2"/>
  <c r="D15" i="1" s="1"/>
  <c r="T9" i="22" l="1"/>
  <c r="T83" i="22" s="1"/>
  <c r="T9" i="25"/>
  <c r="T83" i="25" s="1"/>
  <c r="S82" i="25"/>
  <c r="S8" i="25"/>
  <c r="E253" i="2"/>
  <c r="G253" i="2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B7" i="11" s="1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<sst xmlns="http://schemas.openxmlformats.org/spreadsheetml/2006/main" count="1764" uniqueCount="840">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</sst>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fmlaLink="Master!$B$2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 January 2022 amounted to 107,8 mill. € or 2,0% of GDP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are higher by 3,9 mill. € or 3,8% than the planned.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same period of the previous year, revenues were higher by 19,2 mill. € or 21,6%.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January 2022 amounted to 135,5 mill. € or 2,6% of GDP and were higher by 8,1 mill. € or 6,4% compared to the same period of the previous year. Compared to the plan, expenditures were lower by 42,3 mill. € or 23,8%. In January 2022,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27,7 mill. € or 0,5%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46,2 mill. € or 62,5%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11,0 mill. € ili 28,5%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than recorded in the same period in 2021.</a:t>
          </a:r>
          <a:endParaRPr lang="sr-Latn-RS">
            <a:effectLst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14</xdr:col>
      <xdr:colOff>640247</xdr:colOff>
      <xdr:row>1</xdr:row>
      <xdr:rowOff>122092</xdr:rowOff>
    </xdr:from>
    <xdr:to>
      <xdr:col>17</xdr:col>
      <xdr:colOff>528957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18</xdr:col>
      <xdr:colOff>93368</xdr:colOff>
      <xdr:row>2</xdr:row>
      <xdr:rowOff>9524</xdr:rowOff>
    </xdr:from>
    <xdr:to>
      <xdr:col>21</xdr:col>
      <xdr:colOff>32215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2022-01</v>
      </c>
      <c r="O6" s="143" t="str">
        <f>+CONCATENATE(N6,"p")</f>
        <v>2022-01p</v>
      </c>
      <c r="P6" s="130"/>
      <c r="Q6" s="130"/>
      <c r="R6" s="143" t="str">
        <f>+IF(Master!B3-10&gt;=0,CONCATENATE(Master!B4-1,"-",Master!B3),CONCATENATE(Master!B4-1,"-0",Master!B3))</f>
        <v>2021-01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December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Jan 2021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January 2021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Other Republic Taxes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Contributions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Contributions for Pension and Disability Insurance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Contributions for Health Insurance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Contributions for  Unemployment Insurance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Other contributions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Duties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Fees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Other revenues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Receipts from Repayment of Loans and Funds Carried over from Previous Year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Grants and Transfers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Total Expenditures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Current Expenditures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Current Budgetary Consumption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Gross Salaries and Contributions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Other Personal Income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Expenditures for Supplies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Expenditures for Services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Current Maintenance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Interests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Subsidies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Other expenditures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Social Security Transfers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Social Security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Funds for redundant labor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Pension and Disability Insurance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Other Health Care Transfers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Other Health Care Insurance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Transfers to Institutions, Individuals, NGO and Public Sector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Capital Expenditure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Credits and Borrowings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Reserves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Repayment of Guarantees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Repayments of liabilities form the previous period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 increase of liabilities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Surplus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Primary surplus/deficit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Repayment of Debt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Repayment of Domestic Debt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Repayment of Foreign Debt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Financing needs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Financing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Domestic Loans and Borrowings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Foreign Loans and Borrowings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Revenues from Selling Assets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242" activePane="bottomLeft" state="frozen"/>
      <selection pane="bottomLeft" activeCell="G1" sqref="G1:G1048576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January</v>
      </c>
    </row>
    <row r="245" spans="4:7">
      <c r="D245" s="49"/>
      <c r="E245" s="9"/>
      <c r="F245" s="10"/>
      <c r="G245" s="52" t="str">
        <f>+CONCATENATE("Jan - ",LEFT(G244,3))</f>
        <v>Jan - Jan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Jan</v>
      </c>
      <c r="F253" s="10" t="str">
        <f>+CONCATENATE("Analytics for period ",G245)</f>
        <v>Analytics for period Jan - Jan</v>
      </c>
      <c r="G253" s="52" t="str">
        <f>+IF(ISBLANK(IF($B$2=1,E253,F253)),"",IF($B$2=1,E253,F253))</f>
        <v>Analytics for period Jan - Jan</v>
      </c>
    </row>
    <row r="254" spans="4:7">
      <c r="D254" s="46"/>
      <c r="E254" s="9" t="str">
        <f>+CONCATENATE("Analitika za period ",G244)</f>
        <v>Analitika za period January</v>
      </c>
      <c r="F254" s="10" t="str">
        <f>+CONCATENATE("Analytics for period ",G244)</f>
        <v>Analytics for period January</v>
      </c>
      <c r="G254" s="52" t="str">
        <f>+IF(ISBLANK(IF($B$2=1,E254,F254)),"",IF($B$2=1,E254,F254))</f>
        <v>Analytics for period January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January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January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January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January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January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January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zoomScale="110" zoomScaleNormal="110" workbookViewId="0">
      <pane ySplit="5" topLeftCell="A6" activePane="bottomLeft" state="frozen"/>
      <selection activeCell="DK219" sqref="DK219"/>
      <selection pane="bottomLeft" activeCell="E12" sqref="E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January</v>
      </c>
      <c r="E11" s="135"/>
      <c r="F11" s="135"/>
      <c r="G11" s="135"/>
      <c r="H11" s="135"/>
      <c r="I11" s="135"/>
      <c r="J11" s="135"/>
      <c r="K11" s="136"/>
    </row>
    <row r="12" spans="3:11">
      <c r="C12" s="134"/>
      <c r="D12" s="138">
        <f>+'Analytics 2022'!N10</f>
        <v>107803916.42999999</v>
      </c>
      <c r="E12" s="455">
        <f>+D12/'2022'!T7</f>
        <v>2.0315829268430573E-2</v>
      </c>
      <c r="F12" s="135"/>
      <c r="G12" s="135"/>
      <c r="H12" s="135"/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5"/>
      <c r="H13" s="135"/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January</v>
      </c>
      <c r="E15" s="135"/>
      <c r="F15" s="135"/>
      <c r="G15" s="135"/>
      <c r="H15" s="135"/>
      <c r="I15" s="135"/>
      <c r="J15" s="135"/>
      <c r="K15" s="136"/>
    </row>
    <row r="16" spans="3:11">
      <c r="C16" s="134"/>
      <c r="D16" s="138">
        <f>+'Analytics 2022'!N29</f>
        <v>135525045.41</v>
      </c>
      <c r="E16" s="455">
        <f>+D16/'2022'!T7</f>
        <v>2.5539922623624301E-2</v>
      </c>
      <c r="F16" s="135"/>
      <c r="G16" s="135"/>
      <c r="H16" s="135"/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5"/>
      <c r="H17" s="135"/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January</v>
      </c>
      <c r="E19" s="135"/>
      <c r="F19" s="135"/>
      <c r="G19" s="135"/>
      <c r="H19" s="135"/>
      <c r="I19" s="135"/>
      <c r="J19" s="135"/>
      <c r="K19" s="136"/>
    </row>
    <row r="20" spans="3:12">
      <c r="C20" s="134"/>
      <c r="D20" s="138">
        <f>+'Analytics 2022'!N53</f>
        <v>-27721128.980000004</v>
      </c>
      <c r="E20" s="455">
        <f>+D20/'2022'!T7</f>
        <v>-5.2240933551937294E-3</v>
      </c>
      <c r="F20" s="135"/>
      <c r="G20" s="135"/>
      <c r="H20" s="135"/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5"/>
      <c r="H21" s="135"/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PEVPNELXWbZa5UECLA7L5BvgG8KZe5v4kW2BqyRlToWhrMwCisF18chBSQforQGKc2YBSKbSa//1dLiwSKDK5g==" saltValue="1QAe+/67oiuuUZQQ/fpux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abSelected="1" zoomScaleNormal="100" workbookViewId="0">
      <pane ySplit="5" topLeftCell="A6" activePane="bottomLeft" state="frozen"/>
      <selection activeCell="DK219" sqref="DK219"/>
      <selection pane="bottomLeft" activeCell="N10" sqref="N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hidden="1" customWidth="1"/>
    <col min="8" max="8" width="12.42578125" style="5" hidden="1" customWidth="1"/>
    <col min="9" max="9" width="12.5703125" style="5" hidden="1" customWidth="1"/>
    <col min="10" max="10" width="12.7109375" style="5" hidden="1" customWidth="1"/>
    <col min="11" max="13" width="12.42578125" style="5" hidden="1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Montenegro</v>
      </c>
      <c r="G2" s="355"/>
      <c r="I2" s="4"/>
      <c r="P2" s="363"/>
    </row>
    <row r="3" spans="1:20" s="1" customFormat="1">
      <c r="B3" s="163"/>
      <c r="E3" s="4" t="str">
        <f>+Master!G7</f>
        <v>Ministry of Finance and social welfare</v>
      </c>
      <c r="G3" s="355"/>
    </row>
    <row r="4" spans="1:20" s="1" customFormat="1">
      <c r="E4" s="4" t="str">
        <f>+Master!G8</f>
        <v>Directorate for State Budget</v>
      </c>
      <c r="G4" s="355"/>
      <c r="H4" s="363"/>
      <c r="I4" s="363"/>
      <c r="J4" s="363"/>
    </row>
    <row r="5" spans="1:20" s="1" customFormat="1">
      <c r="G5" s="355"/>
      <c r="H5" s="355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2022-01</v>
      </c>
      <c r="O6" s="143" t="str">
        <f>+CONCATENATE(N6,"p")</f>
        <v>2022-01p</v>
      </c>
      <c r="P6" s="130"/>
      <c r="Q6" s="130"/>
      <c r="R6" s="143" t="str">
        <f>+IF(Master!B3-10&gt;=0,CONCATENATE(Master!B4-1,"-",Master!B3),CONCATENATE(Master!B4-1,"-0",Master!B3))</f>
        <v>2021-01</v>
      </c>
      <c r="S6" s="130"/>
      <c r="T6" s="130"/>
    </row>
    <row r="7" spans="1:20">
      <c r="A7" s="144"/>
      <c r="B7" s="506" t="str">
        <f>+Master!G254</f>
        <v>Analytics for period January</v>
      </c>
      <c r="C7" s="507"/>
      <c r="D7" s="507"/>
      <c r="E7" s="507"/>
      <c r="F7" s="507"/>
      <c r="G7" s="515" t="str">
        <f>+Master!G245</f>
        <v>Jan - Jan</v>
      </c>
      <c r="H7" s="516"/>
      <c r="I7" s="516"/>
      <c r="J7" s="516"/>
      <c r="K7" s="516"/>
      <c r="L7" s="516"/>
      <c r="M7" s="517"/>
      <c r="N7" s="518" t="str">
        <f>+Master!G244</f>
        <v>January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7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Jan 2021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January 2021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Total Revenues</v>
      </c>
      <c r="C10" s="527"/>
      <c r="D10" s="527"/>
      <c r="E10" s="527"/>
      <c r="F10" s="527"/>
      <c r="G10" s="151">
        <f>'2021'!S10</f>
        <v>1911216753.9500003</v>
      </c>
      <c r="H10" s="151">
        <f>SUM('2021'!G84:R84)</f>
        <v>1880205845.3399</v>
      </c>
      <c r="I10" s="152">
        <f>+G10-H10</f>
        <v>31010908.610100269</v>
      </c>
      <c r="J10" s="154">
        <f>IF(+IF(ISERROR(G10/H10),"…",G10/H10-1)&gt;200%,"...",IF(ISERROR(G10/H10),"…",G10/H10-1))</f>
        <v>1.6493358260193158E-2</v>
      </c>
      <c r="K10" s="151">
        <f>SUM('2020'!G10:R10)</f>
        <v>1638529040.5900002</v>
      </c>
      <c r="L10" s="152">
        <f>+G10-K10</f>
        <v>272687713.36000013</v>
      </c>
      <c r="M10" s="154">
        <f>IF(+IF(ISERROR(G10/K10),"…",G10/K10-1)&gt;200%,"...",IF(ISERROR(G10/K10),"…",G10/K10-1))</f>
        <v>0.16642226448535258</v>
      </c>
      <c r="N10" s="151">
        <f>'2022'!G10</f>
        <v>107803916.42999999</v>
      </c>
      <c r="O10" s="151">
        <f>'2022'!G84</f>
        <v>103883592.73418278</v>
      </c>
      <c r="P10" s="152">
        <f>+N10-O10</f>
        <v>3920323.6958172172</v>
      </c>
      <c r="Q10" s="154">
        <f>IF(+IF(ISERROR(N10/O10),"…",N10/O10-1)&gt;200%,"...",IF(ISERROR(N10/O10),"…",N10/O10-1))</f>
        <v>3.7737659938740675E-2</v>
      </c>
      <c r="R10" s="151">
        <f>'2021'!G10</f>
        <v>88645433.320000008</v>
      </c>
      <c r="S10" s="152">
        <f>+N10-R10</f>
        <v>19158483.109999985</v>
      </c>
      <c r="T10" s="154">
        <f>IF(+IF(ISERROR(N10/R10),"…",N10/R10-1)&gt;200%,"...",IF(ISERROR(N10/R10),"…",N10/R10-1))</f>
        <v>0.21612487403428915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277">
        <f>'2021'!S11</f>
        <v>1183874153.45</v>
      </c>
      <c r="H11" s="277">
        <f>SUM('2021'!G85:R85)</f>
        <v>1105088585.2469258</v>
      </c>
      <c r="I11" s="158">
        <f t="shared" ref="I11:I57" si="0">+G11-H11</f>
        <v>78785568.203074217</v>
      </c>
      <c r="J11" s="160">
        <f t="shared" ref="J11:J64" si="1">IF(+IF(ISERROR(G11/H11-1),"…",G11/H11-1)&gt;200%,"...",IF(ISERROR(G11/H11-1),"…",G11/H11-1))</f>
        <v>7.129344131762072E-2</v>
      </c>
      <c r="K11" s="277">
        <f>SUM('2020'!G11:R11)</f>
        <v>966103834.27999997</v>
      </c>
      <c r="L11" s="158">
        <f>+G11-K11</f>
        <v>217770319.17000008</v>
      </c>
      <c r="M11" s="160">
        <f t="shared" ref="M11:M64" si="2">IF(+IF(ISERROR(G11/K11),"…",G11/K11-1)&gt;200%,"...",IF(ISERROR(G11/K11),"…",G11/K11-1))</f>
        <v>0.22541088384386332</v>
      </c>
      <c r="N11" s="277">
        <f>'2022'!G11</f>
        <v>80559495.530000001</v>
      </c>
      <c r="O11" s="277">
        <f>'2022'!G85</f>
        <v>76986192.301309064</v>
      </c>
      <c r="P11" s="158">
        <f>+N11-O11</f>
        <v>3573303.2286909372</v>
      </c>
      <c r="Q11" s="160">
        <f t="shared" ref="Q11:Q64" si="3">IF(+IF(ISERROR(N11/O11),"…",N11/O11-1)&gt;200%,"...",IF(ISERROR(N11/O11),"…",N11/O11-1))</f>
        <v>4.6414858585364538E-2</v>
      </c>
      <c r="R11" s="277">
        <f>'2021'!G11</f>
        <v>67412896.500000015</v>
      </c>
      <c r="S11" s="158">
        <f t="shared" ref="S11:S57" si="4">+N11-R11</f>
        <v>13146599.029999986</v>
      </c>
      <c r="T11" s="160">
        <f t="shared" ref="T11:T64" si="5">IF(+IF(ISERROR(N11/R11),"…",N11/R11-1)&gt;200%,"...",IF(ISERROR(N11/R11),"…",N11/R11-1))</f>
        <v>0.19501608316147623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'2021'!S12</f>
        <v>126864271.05</v>
      </c>
      <c r="H12" s="163">
        <f>SUM('2021'!G86:R86)</f>
        <v>154959583.58430818</v>
      </c>
      <c r="I12" s="164">
        <f t="shared" si="0"/>
        <v>-28095312.53430818</v>
      </c>
      <c r="J12" s="166">
        <f t="shared" si="1"/>
        <v>-0.18130735695364386</v>
      </c>
      <c r="K12" s="163">
        <f>SUM('2020'!G12:R12)</f>
        <v>118342028.88000001</v>
      </c>
      <c r="L12" s="164">
        <f>+G12-K12</f>
        <v>8522242.1699999869</v>
      </c>
      <c r="M12" s="166">
        <f t="shared" si="2"/>
        <v>7.2013656100501811E-2</v>
      </c>
      <c r="N12" s="163">
        <f>'2022'!G12</f>
        <v>6139790.5700000003</v>
      </c>
      <c r="O12" s="163">
        <f>'2022'!G86</f>
        <v>6036977.0769869126</v>
      </c>
      <c r="P12" s="164">
        <f t="shared" ref="P12:P57" si="6">+N12-O12</f>
        <v>102813.49301308766</v>
      </c>
      <c r="Q12" s="166">
        <f t="shared" si="3"/>
        <v>1.70306250466008E-2</v>
      </c>
      <c r="R12" s="163">
        <f>'2021'!G12</f>
        <v>3976518.5</v>
      </c>
      <c r="S12" s="164">
        <f t="shared" si="4"/>
        <v>2163272.0700000003</v>
      </c>
      <c r="T12" s="166">
        <f t="shared" si="5"/>
        <v>0.54401156941681528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'2021'!S13</f>
        <v>74713724.469999999</v>
      </c>
      <c r="H13" s="163">
        <f>SUM('2021'!G87:R87)</f>
        <v>60015792.830110021</v>
      </c>
      <c r="I13" s="164">
        <f t="shared" si="0"/>
        <v>14697931.639889978</v>
      </c>
      <c r="J13" s="166">
        <f t="shared" si="1"/>
        <v>0.24490106598268579</v>
      </c>
      <c r="K13" s="163">
        <f>SUM('2020'!G13:R13)</f>
        <v>78425356.609999999</v>
      </c>
      <c r="L13" s="164">
        <f t="shared" ref="L13:L57" si="7">+G13-K13</f>
        <v>-3711632.1400000006</v>
      </c>
      <c r="M13" s="166">
        <f t="shared" si="2"/>
        <v>-4.7326939913802435E-2</v>
      </c>
      <c r="N13" s="163">
        <f>'2022'!G13</f>
        <v>395935.5</v>
      </c>
      <c r="O13" s="163">
        <f>'2022'!G87</f>
        <v>386172.45118166273</v>
      </c>
      <c r="P13" s="164">
        <f t="shared" si="6"/>
        <v>9763.0488183372654</v>
      </c>
      <c r="Q13" s="166">
        <f t="shared" si="3"/>
        <v>2.528157766941419E-2</v>
      </c>
      <c r="R13" s="163">
        <f>'2021'!G13</f>
        <v>779973.22</v>
      </c>
      <c r="S13" s="164">
        <f t="shared" si="4"/>
        <v>-384037.72</v>
      </c>
      <c r="T13" s="166">
        <f t="shared" si="5"/>
        <v>-0.49237295608687692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'2021'!S14</f>
        <v>2078253.77</v>
      </c>
      <c r="H14" s="163">
        <f>SUM('2021'!G88:R88)</f>
        <v>1609075.0279599999</v>
      </c>
      <c r="I14" s="164">
        <f t="shared" si="0"/>
        <v>469178.74204000016</v>
      </c>
      <c r="J14" s="166">
        <f t="shared" si="1"/>
        <v>0.29158288699242907</v>
      </c>
      <c r="K14" s="163">
        <f>SUM('2020'!G14:R14)</f>
        <v>1543450.7200000002</v>
      </c>
      <c r="L14" s="164">
        <f t="shared" si="7"/>
        <v>534803.04999999981</v>
      </c>
      <c r="M14" s="166">
        <f t="shared" si="2"/>
        <v>0.34649829960233514</v>
      </c>
      <c r="N14" s="163">
        <f>'2022'!G14</f>
        <v>146340.34</v>
      </c>
      <c r="O14" s="163">
        <f>'2022'!G88</f>
        <v>137599.11671066686</v>
      </c>
      <c r="P14" s="164">
        <f t="shared" si="6"/>
        <v>8741.2232893331384</v>
      </c>
      <c r="Q14" s="166">
        <f t="shared" si="3"/>
        <v>6.3526739838843049E-2</v>
      </c>
      <c r="R14" s="163">
        <f>'2021'!G14</f>
        <v>115386.02</v>
      </c>
      <c r="S14" s="164">
        <f t="shared" si="4"/>
        <v>30954.319999999992</v>
      </c>
      <c r="T14" s="166">
        <f t="shared" si="5"/>
        <v>0.26826750762354035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'2021'!S15</f>
        <v>691948121.63999999</v>
      </c>
      <c r="H15" s="163">
        <f>SUM('2021'!G89:R89)</f>
        <v>611810518.84138763</v>
      </c>
      <c r="I15" s="164">
        <f t="shared" si="0"/>
        <v>80137602.798612356</v>
      </c>
      <c r="J15" s="166">
        <f t="shared" si="1"/>
        <v>0.13098434945246185</v>
      </c>
      <c r="K15" s="163">
        <f>SUM('2020'!G15:R15)</f>
        <v>529780411.99000001</v>
      </c>
      <c r="L15" s="164">
        <f t="shared" si="7"/>
        <v>162167709.64999998</v>
      </c>
      <c r="M15" s="166">
        <f t="shared" si="2"/>
        <v>0.30610363459995393</v>
      </c>
      <c r="N15" s="163">
        <f>'2022'!G15</f>
        <v>50270008.859999999</v>
      </c>
      <c r="O15" s="163">
        <f>'2022'!G89</f>
        <v>48997810.15816012</v>
      </c>
      <c r="P15" s="164">
        <f t="shared" si="6"/>
        <v>1272198.7018398792</v>
      </c>
      <c r="Q15" s="166">
        <f t="shared" si="3"/>
        <v>2.5964399178929565E-2</v>
      </c>
      <c r="R15" s="163">
        <f>'2021'!G15</f>
        <v>44109794.259999998</v>
      </c>
      <c r="S15" s="164">
        <f t="shared" si="4"/>
        <v>6160214.6000000015</v>
      </c>
      <c r="T15" s="166">
        <f t="shared" si="5"/>
        <v>0.13965638932000779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'2021'!S16</f>
        <v>248717895.15999997</v>
      </c>
      <c r="H16" s="163">
        <f>SUM('2021'!G90:R90)</f>
        <v>240968307.65850002</v>
      </c>
      <c r="I16" s="164">
        <f t="shared" si="0"/>
        <v>7749587.5014999509</v>
      </c>
      <c r="J16" s="166">
        <f t="shared" si="1"/>
        <v>3.2160193914307911E-2</v>
      </c>
      <c r="K16" s="163">
        <f>SUM('2020'!G16:R16)</f>
        <v>205392597.77000004</v>
      </c>
      <c r="L16" s="164">
        <f t="shared" si="7"/>
        <v>43325297.389999926</v>
      </c>
      <c r="M16" s="166">
        <f t="shared" si="2"/>
        <v>0.21093894259283807</v>
      </c>
      <c r="N16" s="163">
        <f>'2022'!G16</f>
        <v>21096875.199999999</v>
      </c>
      <c r="O16" s="163">
        <f>'2022'!G90</f>
        <v>19022248.857979022</v>
      </c>
      <c r="P16" s="164">
        <f t="shared" si="6"/>
        <v>2074626.3420209773</v>
      </c>
      <c r="Q16" s="166">
        <f t="shared" si="3"/>
        <v>0.10906314797531214</v>
      </c>
      <c r="R16" s="163">
        <f>'2021'!G16</f>
        <v>16359067.73</v>
      </c>
      <c r="S16" s="164">
        <f t="shared" si="4"/>
        <v>4737807.4699999988</v>
      </c>
      <c r="T16" s="166">
        <f t="shared" si="5"/>
        <v>0.28961353716456539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'2021'!S17</f>
        <v>28296642.069999997</v>
      </c>
      <c r="H17" s="163">
        <f>SUM('2021'!G91:R91)</f>
        <v>24784772.073620006</v>
      </c>
      <c r="I17" s="164">
        <f t="shared" si="0"/>
        <v>3511869.9963799901</v>
      </c>
      <c r="J17" s="166">
        <f t="shared" si="1"/>
        <v>0.14169466581933565</v>
      </c>
      <c r="K17" s="163">
        <f>SUM('2020'!G17:R17)</f>
        <v>22637911.669999998</v>
      </c>
      <c r="L17" s="164">
        <f t="shared" si="7"/>
        <v>5658730.3999999985</v>
      </c>
      <c r="M17" s="166">
        <f t="shared" si="2"/>
        <v>0.24996697939673518</v>
      </c>
      <c r="N17" s="163">
        <f>'2022'!G17</f>
        <v>1689510.83</v>
      </c>
      <c r="O17" s="163">
        <f>'2022'!G91</f>
        <v>1581959.901535122</v>
      </c>
      <c r="P17" s="164">
        <f t="shared" si="6"/>
        <v>107550.92846487812</v>
      </c>
      <c r="Q17" s="166">
        <f t="shared" si="3"/>
        <v>6.7985875217514424E-2</v>
      </c>
      <c r="R17" s="163">
        <f>'2021'!G17</f>
        <v>1266274.3400000001</v>
      </c>
      <c r="S17" s="164">
        <f t="shared" si="4"/>
        <v>423236.49</v>
      </c>
      <c r="T17" s="166">
        <f t="shared" si="5"/>
        <v>0.33423759499067152</v>
      </c>
    </row>
    <row r="18" spans="1:20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'2021'!S18</f>
        <v>11255245.290000003</v>
      </c>
      <c r="H18" s="163">
        <f>SUM('2021'!G92:R92)</f>
        <v>10940535.231040001</v>
      </c>
      <c r="I18" s="164">
        <f t="shared" si="0"/>
        <v>314710.05896000192</v>
      </c>
      <c r="J18" s="166">
        <f t="shared" si="1"/>
        <v>2.8765508479614565E-2</v>
      </c>
      <c r="K18" s="163">
        <f>SUM('2020'!G18:R18)</f>
        <v>9982076.6400000006</v>
      </c>
      <c r="L18" s="164">
        <f t="shared" si="7"/>
        <v>1273168.6500000022</v>
      </c>
      <c r="M18" s="166">
        <f t="shared" si="2"/>
        <v>0.12754546933632871</v>
      </c>
      <c r="N18" s="163">
        <f>'2022'!G18</f>
        <v>821034.23</v>
      </c>
      <c r="O18" s="163">
        <f>'2022'!G92</f>
        <v>823424.73875555594</v>
      </c>
      <c r="P18" s="164">
        <f t="shared" si="6"/>
        <v>-2390.5087555559585</v>
      </c>
      <c r="Q18" s="166">
        <f t="shared" si="3"/>
        <v>-2.9031296280565E-3</v>
      </c>
      <c r="R18" s="163">
        <f>'2021'!G18</f>
        <v>805882.43</v>
      </c>
      <c r="S18" s="164">
        <f t="shared" si="4"/>
        <v>15151.79999999993</v>
      </c>
      <c r="T18" s="166">
        <f t="shared" si="5"/>
        <v>1.8801501851827052E-2</v>
      </c>
    </row>
    <row r="19" spans="1:20">
      <c r="A19" s="150">
        <v>712</v>
      </c>
      <c r="B19" s="538" t="str">
        <f>+VLOOKUP($A19,Master!$D$29:$G$225,4,FALSE)</f>
        <v>Contributions</v>
      </c>
      <c r="C19" s="539"/>
      <c r="D19" s="539"/>
      <c r="E19" s="539"/>
      <c r="F19" s="539"/>
      <c r="G19" s="169">
        <f>'2021'!S19</f>
        <v>554476128.65999997</v>
      </c>
      <c r="H19" s="169">
        <f>SUM('2021'!G93:R93)</f>
        <v>581841303.53317392</v>
      </c>
      <c r="I19" s="170">
        <f t="shared" si="0"/>
        <v>-27365174.873173952</v>
      </c>
      <c r="J19" s="172">
        <f t="shared" si="1"/>
        <v>-4.7032025239531206E-2</v>
      </c>
      <c r="K19" s="169">
        <f>SUM('2020'!G19:R19)</f>
        <v>531020571.38999999</v>
      </c>
      <c r="L19" s="170">
        <f t="shared" si="7"/>
        <v>23455557.269999981</v>
      </c>
      <c r="M19" s="172">
        <f t="shared" si="2"/>
        <v>4.4170713026432606E-2</v>
      </c>
      <c r="N19" s="169">
        <f>'2022'!G19</f>
        <v>11731802.159999998</v>
      </c>
      <c r="O19" s="169">
        <f>'2022'!G93</f>
        <v>14739033.95730887</v>
      </c>
      <c r="P19" s="170">
        <f t="shared" si="6"/>
        <v>-3007231.7973088715</v>
      </c>
      <c r="Q19" s="172">
        <f t="shared" si="3"/>
        <v>-0.20403181144837712</v>
      </c>
      <c r="R19" s="169">
        <f>'2021'!G19</f>
        <v>15932204.300000001</v>
      </c>
      <c r="S19" s="170">
        <f t="shared" si="4"/>
        <v>-4200402.1400000025</v>
      </c>
      <c r="T19" s="172">
        <f t="shared" si="5"/>
        <v>-0.26364224691745897</v>
      </c>
    </row>
    <row r="20" spans="1:20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'2021'!S20</f>
        <v>343738250.03000003</v>
      </c>
      <c r="H20" s="163">
        <f>SUM('2021'!G94:R94)</f>
        <v>362034940.39566004</v>
      </c>
      <c r="I20" s="164">
        <f t="shared" si="0"/>
        <v>-18296690.365660012</v>
      </c>
      <c r="J20" s="166">
        <f t="shared" si="1"/>
        <v>-5.0538465557119827E-2</v>
      </c>
      <c r="K20" s="163">
        <f>SUM('2020'!G20:R20)</f>
        <v>330807303.88</v>
      </c>
      <c r="L20" s="164">
        <f t="shared" si="7"/>
        <v>12930946.150000036</v>
      </c>
      <c r="M20" s="166">
        <f t="shared" si="2"/>
        <v>3.9089058791430764E-2</v>
      </c>
      <c r="N20" s="163">
        <f>'2022'!G20</f>
        <v>7550452.8499999996</v>
      </c>
      <c r="O20" s="163">
        <f>'2022'!G94</f>
        <v>9495171.1621009018</v>
      </c>
      <c r="P20" s="164">
        <f t="shared" si="6"/>
        <v>-1944718.3121009022</v>
      </c>
      <c r="Q20" s="166">
        <f t="shared" si="3"/>
        <v>-0.20481129606837056</v>
      </c>
      <c r="R20" s="163">
        <f>'2021'!G20</f>
        <v>9950495.5</v>
      </c>
      <c r="S20" s="164">
        <f t="shared" si="4"/>
        <v>-2400042.6500000004</v>
      </c>
      <c r="T20" s="166">
        <f t="shared" si="5"/>
        <v>-0.24119830514972851</v>
      </c>
    </row>
    <row r="21" spans="1:20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'2021'!S21</f>
        <v>180566476.64000002</v>
      </c>
      <c r="H21" s="163">
        <f>SUM('2021'!G95:R95)</f>
        <v>187402274.12378716</v>
      </c>
      <c r="I21" s="164">
        <f t="shared" si="0"/>
        <v>-6835797.4837871492</v>
      </c>
      <c r="J21" s="166">
        <f t="shared" si="1"/>
        <v>-3.6476598353720191E-2</v>
      </c>
      <c r="K21" s="163">
        <f>SUM('2020'!G21:R21)</f>
        <v>171561649.05999997</v>
      </c>
      <c r="L21" s="164">
        <f t="shared" si="7"/>
        <v>9004827.5800000429</v>
      </c>
      <c r="M21" s="166">
        <f t="shared" si="2"/>
        <v>5.2487415627782807E-2</v>
      </c>
      <c r="N21" s="163">
        <f>'2022'!G21</f>
        <v>3618221.62</v>
      </c>
      <c r="O21" s="163">
        <f>'2022'!G95</f>
        <v>4217156.505590898</v>
      </c>
      <c r="P21" s="164">
        <f t="shared" si="6"/>
        <v>-598934.88559089787</v>
      </c>
      <c r="Q21" s="166">
        <f t="shared" si="3"/>
        <v>-0.14202339533684827</v>
      </c>
      <c r="R21" s="163">
        <f>'2021'!G21</f>
        <v>5150520.4400000004</v>
      </c>
      <c r="S21" s="164">
        <f t="shared" si="4"/>
        <v>-1532298.8200000003</v>
      </c>
      <c r="T21" s="166">
        <f t="shared" si="5"/>
        <v>-0.29750368683130601</v>
      </c>
    </row>
    <row r="22" spans="1:20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'2021'!S22</f>
        <v>16358834.440000001</v>
      </c>
      <c r="H22" s="163">
        <f>SUM('2021'!G96:R96)</f>
        <v>17498483.923017729</v>
      </c>
      <c r="I22" s="164">
        <f t="shared" si="0"/>
        <v>-1139649.4830177277</v>
      </c>
      <c r="J22" s="166">
        <f t="shared" si="1"/>
        <v>-6.5128469873816819E-2</v>
      </c>
      <c r="K22" s="163">
        <f>SUM('2020'!G22:R22)</f>
        <v>15419628.560000002</v>
      </c>
      <c r="L22" s="164">
        <f t="shared" si="7"/>
        <v>939205.87999999896</v>
      </c>
      <c r="M22" s="166">
        <f t="shared" si="2"/>
        <v>6.0909760332125584E-2</v>
      </c>
      <c r="N22" s="163">
        <f>'2022'!G22</f>
        <v>333527.59999999998</v>
      </c>
      <c r="O22" s="163">
        <f>'2022'!G96</f>
        <v>603768.4288435023</v>
      </c>
      <c r="P22" s="164">
        <f t="shared" si="6"/>
        <v>-270240.82884350233</v>
      </c>
      <c r="Q22" s="166">
        <f t="shared" si="3"/>
        <v>-0.44759019507054942</v>
      </c>
      <c r="R22" s="163">
        <f>'2021'!G22</f>
        <v>466272.92</v>
      </c>
      <c r="S22" s="164">
        <f t="shared" si="4"/>
        <v>-132745.32</v>
      </c>
      <c r="T22" s="166">
        <f t="shared" si="5"/>
        <v>-0.28469446606506765</v>
      </c>
    </row>
    <row r="23" spans="1:20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'2021'!S23</f>
        <v>13812567.550000001</v>
      </c>
      <c r="H23" s="163">
        <f>SUM('2021'!G97:R97)</f>
        <v>14905605.09070906</v>
      </c>
      <c r="I23" s="164">
        <f t="shared" si="0"/>
        <v>-1093037.5407090597</v>
      </c>
      <c r="J23" s="166">
        <f t="shared" si="1"/>
        <v>-7.3330638646153967E-2</v>
      </c>
      <c r="K23" s="163">
        <f>SUM('2020'!G23:R23)</f>
        <v>13231989.889999999</v>
      </c>
      <c r="L23" s="164">
        <f t="shared" si="7"/>
        <v>580577.66000000201</v>
      </c>
      <c r="M23" s="166">
        <f t="shared" si="2"/>
        <v>4.3876821613865413E-2</v>
      </c>
      <c r="N23" s="163">
        <f>'2022'!G23</f>
        <v>229600.09</v>
      </c>
      <c r="O23" s="163">
        <f>'2022'!G97</f>
        <v>422937.86077356793</v>
      </c>
      <c r="P23" s="164">
        <f t="shared" si="6"/>
        <v>-193337.77077356793</v>
      </c>
      <c r="Q23" s="166">
        <f t="shared" si="3"/>
        <v>-0.45713044091145327</v>
      </c>
      <c r="R23" s="163">
        <f>'2021'!G23</f>
        <v>364915.44</v>
      </c>
      <c r="S23" s="164">
        <f t="shared" si="4"/>
        <v>-135315.35</v>
      </c>
      <c r="T23" s="166">
        <f t="shared" si="5"/>
        <v>-0.37081289298145348</v>
      </c>
    </row>
    <row r="24" spans="1:20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'2021'!S24</f>
        <v>12604739.289999999</v>
      </c>
      <c r="H24" s="175">
        <f>SUM('2021'!G98:R98)</f>
        <v>12777235.973279998</v>
      </c>
      <c r="I24" s="176">
        <f t="shared" si="0"/>
        <v>-172496.6832799986</v>
      </c>
      <c r="J24" s="178">
        <f t="shared" si="1"/>
        <v>-1.3500312872105291E-2</v>
      </c>
      <c r="K24" s="175">
        <f>SUM('2020'!G24:R24)</f>
        <v>10636442.85</v>
      </c>
      <c r="L24" s="176">
        <f t="shared" si="7"/>
        <v>1968296.4399999995</v>
      </c>
      <c r="M24" s="178">
        <f t="shared" si="2"/>
        <v>0.18505213328909109</v>
      </c>
      <c r="N24" s="175">
        <f>'2022'!G24</f>
        <v>606952.54999999993</v>
      </c>
      <c r="O24" s="175">
        <f>'2022'!G98</f>
        <v>716959.63744480617</v>
      </c>
      <c r="P24" s="176">
        <f t="shared" si="6"/>
        <v>-110007.08744480624</v>
      </c>
      <c r="Q24" s="178">
        <f t="shared" si="3"/>
        <v>-0.15343553765015805</v>
      </c>
      <c r="R24" s="175">
        <f>'2021'!G24</f>
        <v>584646.94000000006</v>
      </c>
      <c r="S24" s="176">
        <f t="shared" si="4"/>
        <v>22305.60999999987</v>
      </c>
      <c r="T24" s="178">
        <f t="shared" si="5"/>
        <v>3.8152273575569939E-2</v>
      </c>
    </row>
    <row r="25" spans="1:20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'2021'!S25</f>
        <v>51095041.979999997</v>
      </c>
      <c r="H25" s="175">
        <f>SUM('2021'!G99:R99)</f>
        <v>40543371.613199979</v>
      </c>
      <c r="I25" s="176">
        <f t="shared" si="0"/>
        <v>10551670.366800018</v>
      </c>
      <c r="J25" s="178">
        <f t="shared" si="1"/>
        <v>0.26025636119924078</v>
      </c>
      <c r="K25" s="175">
        <f>SUM('2020'!G25:R25)</f>
        <v>27818785.060000002</v>
      </c>
      <c r="L25" s="176">
        <f t="shared" si="7"/>
        <v>23276256.919999994</v>
      </c>
      <c r="M25" s="178">
        <f t="shared" si="2"/>
        <v>0.83671004574058094</v>
      </c>
      <c r="N25" s="175">
        <f>'2022'!G25</f>
        <v>12538803.32</v>
      </c>
      <c r="O25" s="175">
        <f>'2022'!G99</f>
        <v>9700438.6639014706</v>
      </c>
      <c r="P25" s="176">
        <f t="shared" si="6"/>
        <v>2838364.6560985297</v>
      </c>
      <c r="Q25" s="178">
        <f t="shared" si="3"/>
        <v>0.29260168064986791</v>
      </c>
      <c r="R25" s="175">
        <f>'2021'!G25</f>
        <v>2883058.19</v>
      </c>
      <c r="S25" s="176">
        <f t="shared" si="4"/>
        <v>9655745.1300000008</v>
      </c>
      <c r="T25" s="178" t="str">
        <f t="shared" si="5"/>
        <v>...</v>
      </c>
    </row>
    <row r="26" spans="1:20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'2021'!S26</f>
        <v>59280250.530000001</v>
      </c>
      <c r="H26" s="175">
        <f>SUM('2021'!G100:R100)</f>
        <v>65824742.103319898</v>
      </c>
      <c r="I26" s="176">
        <f t="shared" si="0"/>
        <v>-6544491.5733198971</v>
      </c>
      <c r="J26" s="178">
        <f t="shared" si="1"/>
        <v>-9.9422973249899349E-2</v>
      </c>
      <c r="K26" s="175">
        <f>SUM('2020'!G26:R26)</f>
        <v>37615609.789999992</v>
      </c>
      <c r="L26" s="176">
        <f t="shared" si="7"/>
        <v>21664640.74000001</v>
      </c>
      <c r="M26" s="178">
        <f t="shared" si="2"/>
        <v>0.57594814655269788</v>
      </c>
      <c r="N26" s="175">
        <f>'2022'!G26</f>
        <v>1297646.32</v>
      </c>
      <c r="O26" s="175">
        <f>'2022'!G100</f>
        <v>1331781.4619610589</v>
      </c>
      <c r="P26" s="176">
        <f t="shared" si="6"/>
        <v>-34135.141961058835</v>
      </c>
      <c r="Q26" s="178">
        <f t="shared" si="3"/>
        <v>-2.5631188701781826E-2</v>
      </c>
      <c r="R26" s="175">
        <f>'2021'!G26</f>
        <v>1525776.04</v>
      </c>
      <c r="S26" s="176">
        <f t="shared" si="4"/>
        <v>-228129.71999999997</v>
      </c>
      <c r="T26" s="178">
        <f t="shared" si="5"/>
        <v>-0.14951717291352928</v>
      </c>
    </row>
    <row r="27" spans="1:20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'2021'!S27</f>
        <v>10017721.119999999</v>
      </c>
      <c r="H27" s="175">
        <f>SUM('2021'!G101:R101)</f>
        <v>9230506.6700000018</v>
      </c>
      <c r="I27" s="176">
        <f t="shared" si="0"/>
        <v>787214.44999999739</v>
      </c>
      <c r="J27" s="178">
        <f t="shared" si="1"/>
        <v>8.5283991241620338E-2</v>
      </c>
      <c r="K27" s="175">
        <f>SUM('2020'!G27:R27)</f>
        <v>7414914.75</v>
      </c>
      <c r="L27" s="176">
        <f t="shared" si="7"/>
        <v>2602806.3699999992</v>
      </c>
      <c r="M27" s="178">
        <f t="shared" si="2"/>
        <v>0.35102310110847856</v>
      </c>
      <c r="N27" s="175">
        <f>'2022'!G27</f>
        <v>124509.95</v>
      </c>
      <c r="O27" s="175">
        <f>'2022'!G101</f>
        <v>83096.852737975787</v>
      </c>
      <c r="P27" s="176">
        <f t="shared" si="6"/>
        <v>41413.09726202421</v>
      </c>
      <c r="Q27" s="178">
        <f t="shared" si="3"/>
        <v>0.4983714292117607</v>
      </c>
      <c r="R27" s="175">
        <f>'2021'!G27</f>
        <v>110781.34</v>
      </c>
      <c r="S27" s="176">
        <f t="shared" si="4"/>
        <v>13728.61</v>
      </c>
      <c r="T27" s="178">
        <f t="shared" si="5"/>
        <v>0.12392529283361253</v>
      </c>
    </row>
    <row r="28" spans="1:20" ht="15.7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'2021'!S28</f>
        <v>39868718.920000002</v>
      </c>
      <c r="H28" s="175">
        <f>SUM('2021'!G102:R102)</f>
        <v>64900100.200000003</v>
      </c>
      <c r="I28" s="176">
        <f t="shared" si="0"/>
        <v>-25031381.280000001</v>
      </c>
      <c r="J28" s="178">
        <f t="shared" si="1"/>
        <v>-0.38569094967283268</v>
      </c>
      <c r="K28" s="175">
        <f>SUM('2020'!G28:R28)</f>
        <v>57918882.469999999</v>
      </c>
      <c r="L28" s="176">
        <f t="shared" si="7"/>
        <v>-18050163.549999997</v>
      </c>
      <c r="M28" s="178">
        <f t="shared" si="2"/>
        <v>-0.31164557705942209</v>
      </c>
      <c r="N28" s="175">
        <f>'2022'!G28</f>
        <v>944706.6</v>
      </c>
      <c r="O28" s="175">
        <f>'2022'!G102</f>
        <v>326089.85951951938</v>
      </c>
      <c r="P28" s="176">
        <f t="shared" si="6"/>
        <v>618616.7404804806</v>
      </c>
      <c r="Q28" s="178">
        <f t="shared" si="3"/>
        <v>1.8970744487178721</v>
      </c>
      <c r="R28" s="175">
        <f>'2021'!G28</f>
        <v>196070.01</v>
      </c>
      <c r="S28" s="176">
        <f t="shared" si="4"/>
        <v>748636.59</v>
      </c>
      <c r="T28" s="178" t="str">
        <f t="shared" si="5"/>
        <v>...</v>
      </c>
    </row>
    <row r="29" spans="1:20" ht="15.7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'2021'!S29</f>
        <v>2011576558.4900002</v>
      </c>
      <c r="H29" s="151">
        <f>SUM('2021'!G103:R103)</f>
        <v>2055535193.0642829</v>
      </c>
      <c r="I29" s="152">
        <f t="shared" si="0"/>
        <v>-43958634.574282646</v>
      </c>
      <c r="J29" s="154">
        <f t="shared" si="1"/>
        <v>-2.1385493531128286E-2</v>
      </c>
      <c r="K29" s="151">
        <f>SUM('2020'!G29:R29)</f>
        <v>2064681311.3799996</v>
      </c>
      <c r="L29" s="152">
        <f t="shared" si="7"/>
        <v>-53104752.88999939</v>
      </c>
      <c r="M29" s="154">
        <f t="shared" si="2"/>
        <v>-2.5720556774209924E-2</v>
      </c>
      <c r="N29" s="151">
        <f>'2022'!G29</f>
        <v>135525045.41</v>
      </c>
      <c r="O29" s="151">
        <f>'2022'!G103</f>
        <v>177831446.59654763</v>
      </c>
      <c r="P29" s="152">
        <f t="shared" si="6"/>
        <v>-42306401.186547637</v>
      </c>
      <c r="Q29" s="154">
        <f t="shared" si="3"/>
        <v>-0.23790168722256211</v>
      </c>
      <c r="R29" s="151">
        <f>'2021'!G29</f>
        <v>127396828.25</v>
      </c>
      <c r="S29" s="152">
        <f t="shared" si="4"/>
        <v>8128217.1599999964</v>
      </c>
      <c r="T29" s="154">
        <f t="shared" si="5"/>
        <v>6.3802351060494367E-2</v>
      </c>
    </row>
    <row r="30" spans="1:20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313">
        <f>'2021'!S30</f>
        <v>876162972.3499999</v>
      </c>
      <c r="H30" s="313">
        <f>SUM('2021'!G104:R104)</f>
        <v>873624942.44428301</v>
      </c>
      <c r="I30" s="188">
        <f t="shared" si="0"/>
        <v>2538029.9057168961</v>
      </c>
      <c r="J30" s="190">
        <f t="shared" si="1"/>
        <v>2.9051710664484975E-3</v>
      </c>
      <c r="K30" s="313">
        <f>SUM('2020'!G30:R30)</f>
        <v>858015865.80999994</v>
      </c>
      <c r="L30" s="188">
        <f t="shared" si="7"/>
        <v>18147106.539999962</v>
      </c>
      <c r="M30" s="190">
        <f t="shared" si="2"/>
        <v>2.1150082723550012E-2</v>
      </c>
      <c r="N30" s="313">
        <f>'2022'!G30</f>
        <v>50898622.359999999</v>
      </c>
      <c r="O30" s="313">
        <f>'2022'!G104</f>
        <v>62550652.746666655</v>
      </c>
      <c r="P30" s="188">
        <f t="shared" si="6"/>
        <v>-11652030.386666656</v>
      </c>
      <c r="Q30" s="190">
        <f t="shared" si="3"/>
        <v>-0.18628151546008598</v>
      </c>
      <c r="R30" s="313">
        <f>'2021'!G30</f>
        <v>51210284.650000006</v>
      </c>
      <c r="S30" s="188">
        <f t="shared" si="4"/>
        <v>-311662.29000000656</v>
      </c>
      <c r="T30" s="190">
        <f t="shared" si="5"/>
        <v>-6.0859316078807346E-3</v>
      </c>
    </row>
    <row r="31" spans="1:20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'2021'!S31</f>
        <v>535284771.48000002</v>
      </c>
      <c r="H31" s="163">
        <f>SUM('2021'!G105:R105)</f>
        <v>522945469.48000002</v>
      </c>
      <c r="I31" s="164">
        <f t="shared" si="0"/>
        <v>12339302</v>
      </c>
      <c r="J31" s="166">
        <f t="shared" si="1"/>
        <v>2.3595771873250682E-2</v>
      </c>
      <c r="K31" s="163">
        <f>SUM('2020'!G31:R31)</f>
        <v>499146970.09999996</v>
      </c>
      <c r="L31" s="164">
        <f t="shared" si="7"/>
        <v>36137801.380000055</v>
      </c>
      <c r="M31" s="166">
        <f t="shared" si="2"/>
        <v>7.2399119988167282E-2</v>
      </c>
      <c r="N31" s="163">
        <f>'2022'!G31</f>
        <v>44240125.009999998</v>
      </c>
      <c r="O31" s="163">
        <f>'2022'!G105</f>
        <v>42116720.066666663</v>
      </c>
      <c r="P31" s="164">
        <f>+N31-O31</f>
        <v>2123404.9433333352</v>
      </c>
      <c r="Q31" s="166">
        <f>IF(+IF(ISERROR(N31/O31),"…",N31/O31-1)&gt;200%,"...",IF(ISERROR(N31/O31),"…",N31/O31-1))</f>
        <v>5.0417148818146185E-2</v>
      </c>
      <c r="R31" s="163">
        <f>'2021'!G31</f>
        <v>40605076.340000004</v>
      </c>
      <c r="S31" s="164">
        <f t="shared" si="4"/>
        <v>3635048.6699999943</v>
      </c>
      <c r="T31" s="166">
        <f t="shared" si="5"/>
        <v>8.9522025265080352E-2</v>
      </c>
    </row>
    <row r="32" spans="1:20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'2021'!S32</f>
        <v>11275293.119999999</v>
      </c>
      <c r="H32" s="163">
        <f>SUM('2021'!G106:R106)</f>
        <v>12500013.919999998</v>
      </c>
      <c r="I32" s="164">
        <f t="shared" si="0"/>
        <v>-1224720.7999999989</v>
      </c>
      <c r="J32" s="166">
        <f t="shared" si="1"/>
        <v>-9.797755489219484E-2</v>
      </c>
      <c r="K32" s="163">
        <f>SUM('2020'!G32:R32)</f>
        <v>12919646.529999999</v>
      </c>
      <c r="L32" s="164">
        <f t="shared" si="7"/>
        <v>-1644353.4100000001</v>
      </c>
      <c r="M32" s="166">
        <f t="shared" si="2"/>
        <v>-0.1272754178051031</v>
      </c>
      <c r="N32" s="163">
        <f>'2022'!G32</f>
        <v>137001.32999999999</v>
      </c>
      <c r="O32" s="163">
        <f>'2022'!G106</f>
        <v>1113156.94</v>
      </c>
      <c r="P32" s="164">
        <f t="shared" si="6"/>
        <v>-976155.61</v>
      </c>
      <c r="Q32" s="166">
        <f t="shared" si="3"/>
        <v>-0.87692541358992915</v>
      </c>
      <c r="R32" s="163">
        <f>'2021'!G32</f>
        <v>108603.95</v>
      </c>
      <c r="S32" s="164">
        <f t="shared" si="4"/>
        <v>28397.37999999999</v>
      </c>
      <c r="T32" s="166">
        <f t="shared" si="5"/>
        <v>0.26147649325830224</v>
      </c>
    </row>
    <row r="33" spans="1:20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'2021'!S33</f>
        <v>35508986.960000001</v>
      </c>
      <c r="H33" s="163">
        <f>SUM('2021'!G107:R107)</f>
        <v>31960175.780000005</v>
      </c>
      <c r="I33" s="164">
        <f t="shared" si="0"/>
        <v>3548811.179999996</v>
      </c>
      <c r="J33" s="166">
        <f t="shared" si="1"/>
        <v>0.11103853759843108</v>
      </c>
      <c r="K33" s="163">
        <f>SUM('2020'!G33:R33)</f>
        <v>39928689.120000005</v>
      </c>
      <c r="L33" s="164">
        <f t="shared" si="7"/>
        <v>-4419702.1600000039</v>
      </c>
      <c r="M33" s="166">
        <f t="shared" si="2"/>
        <v>-0.11068988883449737</v>
      </c>
      <c r="N33" s="163">
        <f>'2022'!G33</f>
        <v>140825.03</v>
      </c>
      <c r="O33" s="163">
        <f>'2022'!G107</f>
        <v>2009465.7299999995</v>
      </c>
      <c r="P33" s="164">
        <f t="shared" si="6"/>
        <v>-1868640.6999999995</v>
      </c>
      <c r="Q33" s="166">
        <f t="shared" si="3"/>
        <v>-0.92991916811639275</v>
      </c>
      <c r="R33" s="163">
        <f>'2021'!G33</f>
        <v>596838.26</v>
      </c>
      <c r="S33" s="164">
        <f t="shared" si="4"/>
        <v>-456013.23</v>
      </c>
      <c r="T33" s="166">
        <f t="shared" si="5"/>
        <v>-0.76404825320682357</v>
      </c>
    </row>
    <row r="34" spans="1:20">
      <c r="A34" s="150">
        <v>414</v>
      </c>
      <c r="B34" s="536" t="str">
        <f>+VLOOKUP($A34,Master!$D$29:$G$225,4,FALSE)</f>
        <v>Expenditures for Services</v>
      </c>
      <c r="C34" s="537"/>
      <c r="D34" s="537"/>
      <c r="E34" s="537"/>
      <c r="F34" s="537"/>
      <c r="G34" s="163">
        <f>'2021'!S34</f>
        <v>59682441.739999995</v>
      </c>
      <c r="H34" s="163">
        <f>SUM('2021'!G108:R108)</f>
        <v>62745861.530000001</v>
      </c>
      <c r="I34" s="164">
        <f t="shared" si="0"/>
        <v>-3063419.7900000066</v>
      </c>
      <c r="J34" s="166">
        <f t="shared" si="1"/>
        <v>-4.8822658822451959E-2</v>
      </c>
      <c r="K34" s="163">
        <f>SUM('2020'!G34:R34)</f>
        <v>74245955.289999992</v>
      </c>
      <c r="L34" s="164">
        <f t="shared" si="7"/>
        <v>-14563513.549999997</v>
      </c>
      <c r="M34" s="166">
        <f t="shared" si="2"/>
        <v>-0.19615228187334699</v>
      </c>
      <c r="N34" s="163">
        <f>'2022'!G34</f>
        <v>1088181.29</v>
      </c>
      <c r="O34" s="163">
        <f>'2022'!G108</f>
        <v>3521944.0499999989</v>
      </c>
      <c r="P34" s="164">
        <f t="shared" si="6"/>
        <v>-2433762.7599999988</v>
      </c>
      <c r="Q34" s="166">
        <f t="shared" si="3"/>
        <v>-0.69102822913952866</v>
      </c>
      <c r="R34" s="163">
        <f>'2021'!G34</f>
        <v>1050676.99</v>
      </c>
      <c r="S34" s="164">
        <f t="shared" si="4"/>
        <v>37504.300000000047</v>
      </c>
      <c r="T34" s="166">
        <f t="shared" si="5"/>
        <v>3.5695366279983043E-2</v>
      </c>
    </row>
    <row r="35" spans="1:20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'2021'!S35</f>
        <v>21714478.710000001</v>
      </c>
      <c r="H35" s="163">
        <f>SUM('2021'!G109:R109)</f>
        <v>23341474.300000004</v>
      </c>
      <c r="I35" s="164">
        <f t="shared" si="0"/>
        <v>-1626995.5900000036</v>
      </c>
      <c r="J35" s="166">
        <f t="shared" si="1"/>
        <v>-6.9704062780644671E-2</v>
      </c>
      <c r="K35" s="163">
        <f>SUM('2020'!G35:R35)</f>
        <v>24363683.790000007</v>
      </c>
      <c r="L35" s="164">
        <f t="shared" si="7"/>
        <v>-2649205.0800000057</v>
      </c>
      <c r="M35" s="166">
        <f t="shared" si="2"/>
        <v>-0.10873581773735563</v>
      </c>
      <c r="N35" s="163">
        <f>'2022'!G35</f>
        <v>51153.02</v>
      </c>
      <c r="O35" s="163">
        <f>'2022'!G109</f>
        <v>1482084.5400000005</v>
      </c>
      <c r="P35" s="164">
        <f t="shared" si="6"/>
        <v>-1430931.5200000005</v>
      </c>
      <c r="Q35" s="166">
        <f t="shared" si="3"/>
        <v>-0.96548576102143269</v>
      </c>
      <c r="R35" s="163">
        <f>'2021'!G35</f>
        <v>189404.04</v>
      </c>
      <c r="S35" s="164">
        <f t="shared" si="4"/>
        <v>-138251.02000000002</v>
      </c>
      <c r="T35" s="166">
        <f t="shared" si="5"/>
        <v>-0.72992645774609666</v>
      </c>
    </row>
    <row r="36" spans="1:20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'2021'!S36</f>
        <v>114058902.18000002</v>
      </c>
      <c r="H36" s="163">
        <f>SUM('2021'!G110:R110)</f>
        <v>113075389.33428293</v>
      </c>
      <c r="I36" s="164">
        <f t="shared" si="0"/>
        <v>983512.84571708739</v>
      </c>
      <c r="J36" s="166">
        <f t="shared" si="1"/>
        <v>8.6978506243258202E-3</v>
      </c>
      <c r="K36" s="163">
        <f>SUM('2020'!G36:R36)</f>
        <v>111108908.35000001</v>
      </c>
      <c r="L36" s="164">
        <f t="shared" si="7"/>
        <v>2949993.8300000131</v>
      </c>
      <c r="M36" s="166">
        <f t="shared" si="2"/>
        <v>2.655047082910178E-2</v>
      </c>
      <c r="N36" s="163">
        <f>'2022'!G36</f>
        <v>3854762.25</v>
      </c>
      <c r="O36" s="163">
        <f>'2022'!G110</f>
        <v>4229041.6800000006</v>
      </c>
      <c r="P36" s="164">
        <f t="shared" si="6"/>
        <v>-374279.43000000063</v>
      </c>
      <c r="Q36" s="166">
        <f t="shared" si="3"/>
        <v>-8.8502185204284989E-2</v>
      </c>
      <c r="R36" s="163">
        <f>'2021'!G36</f>
        <v>7577485.0700000003</v>
      </c>
      <c r="S36" s="164">
        <f t="shared" si="4"/>
        <v>-3722722.8200000003</v>
      </c>
      <c r="T36" s="166">
        <f t="shared" si="5"/>
        <v>-0.49128738435112485</v>
      </c>
    </row>
    <row r="37" spans="1:20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'2021'!S37</f>
        <v>11382290.550000001</v>
      </c>
      <c r="H37" s="163">
        <f>SUM('2021'!G111:R111)</f>
        <v>10875348.66</v>
      </c>
      <c r="I37" s="164">
        <f t="shared" si="0"/>
        <v>506941.8900000006</v>
      </c>
      <c r="J37" s="166">
        <f t="shared" si="1"/>
        <v>4.6613851734662592E-2</v>
      </c>
      <c r="K37" s="163">
        <f>SUM('2020'!G37:R37)</f>
        <v>11369604.800000001</v>
      </c>
      <c r="L37" s="164">
        <f t="shared" si="7"/>
        <v>12685.75</v>
      </c>
      <c r="M37" s="166">
        <f t="shared" si="2"/>
        <v>1.115759977866615E-3</v>
      </c>
      <c r="N37" s="163">
        <f>'2022'!G37</f>
        <v>222069.04</v>
      </c>
      <c r="O37" s="163">
        <f>'2022'!G111</f>
        <v>1114759.2699999998</v>
      </c>
      <c r="P37" s="164">
        <f t="shared" si="6"/>
        <v>-892690.22999999975</v>
      </c>
      <c r="Q37" s="166">
        <f t="shared" si="3"/>
        <v>-0.80079193241425117</v>
      </c>
      <c r="R37" s="163">
        <f>'2021'!G37</f>
        <v>38595.83</v>
      </c>
      <c r="S37" s="164">
        <f t="shared" si="4"/>
        <v>183473.21000000002</v>
      </c>
      <c r="T37" s="166" t="str">
        <f t="shared" si="5"/>
        <v>...</v>
      </c>
    </row>
    <row r="38" spans="1:20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'2021'!S38</f>
        <v>48519958.780000001</v>
      </c>
      <c r="H38" s="163">
        <f>SUM('2021'!G112:R112)</f>
        <v>50771447.940000013</v>
      </c>
      <c r="I38" s="164">
        <f t="shared" si="0"/>
        <v>-2251489.1600000113</v>
      </c>
      <c r="J38" s="166">
        <f t="shared" si="1"/>
        <v>-4.4345577117689161E-2</v>
      </c>
      <c r="K38" s="163">
        <f>SUM('2020'!G38:R38)</f>
        <v>36324252.32</v>
      </c>
      <c r="L38" s="164">
        <f t="shared" si="7"/>
        <v>12195706.460000001</v>
      </c>
      <c r="M38" s="166">
        <f t="shared" si="2"/>
        <v>0.33574556063980121</v>
      </c>
      <c r="N38" s="163">
        <f>'2022'!G38</f>
        <v>511006.04</v>
      </c>
      <c r="O38" s="163">
        <f>'2022'!G112</f>
        <v>3647138.83</v>
      </c>
      <c r="P38" s="164">
        <f t="shared" si="6"/>
        <v>-3136132.79</v>
      </c>
      <c r="Q38" s="166">
        <f t="shared" si="3"/>
        <v>-0.85988851430698077</v>
      </c>
      <c r="R38" s="163">
        <f>'2021'!G38</f>
        <v>250639.34</v>
      </c>
      <c r="S38" s="164">
        <f t="shared" si="4"/>
        <v>260366.69999999998</v>
      </c>
      <c r="T38" s="166">
        <f t="shared" si="5"/>
        <v>1.0388101883766532</v>
      </c>
    </row>
    <row r="39" spans="1:20">
      <c r="A39" s="150">
        <v>419</v>
      </c>
      <c r="B39" s="536" t="str">
        <f>+VLOOKUP($A39,Master!$D$29:$G$225,4,FALSE)</f>
        <v>Other expenditures</v>
      </c>
      <c r="C39" s="537"/>
      <c r="D39" s="537"/>
      <c r="E39" s="537"/>
      <c r="F39" s="537"/>
      <c r="G39" s="163">
        <f>'2021'!S39</f>
        <v>38735848.829999998</v>
      </c>
      <c r="H39" s="163">
        <f>SUM('2021'!G113:R113)</f>
        <v>45409761.499999993</v>
      </c>
      <c r="I39" s="164">
        <f t="shared" si="0"/>
        <v>-6673912.6699999943</v>
      </c>
      <c r="J39" s="166">
        <f t="shared" si="1"/>
        <v>-0.14697088135994718</v>
      </c>
      <c r="K39" s="163">
        <f>SUM('2020'!G39:R39)</f>
        <v>48608155.510000005</v>
      </c>
      <c r="L39" s="164">
        <f t="shared" si="7"/>
        <v>-9872306.6800000072</v>
      </c>
      <c r="M39" s="166">
        <f t="shared" si="2"/>
        <v>-0.2030998003610528</v>
      </c>
      <c r="N39" s="163">
        <f>'2022'!G39</f>
        <v>653499.35</v>
      </c>
      <c r="O39" s="163">
        <f>'2022'!G113</f>
        <v>3316341.6399999992</v>
      </c>
      <c r="P39" s="164">
        <f t="shared" si="6"/>
        <v>-2662842.2899999991</v>
      </c>
      <c r="Q39" s="166">
        <f t="shared" si="3"/>
        <v>-0.80294570917609076</v>
      </c>
      <c r="R39" s="163">
        <f>'2021'!G39</f>
        <v>792964.83</v>
      </c>
      <c r="S39" s="164">
        <f t="shared" si="4"/>
        <v>-139465.47999999998</v>
      </c>
      <c r="T39" s="166">
        <f t="shared" si="5"/>
        <v>-0.1758785191015344</v>
      </c>
    </row>
    <row r="40" spans="1:20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'2021'!S40</f>
        <v>567405694.82999992</v>
      </c>
      <c r="H40" s="193">
        <f>SUM('2021'!G114:R114)</f>
        <v>599251821.86999989</v>
      </c>
      <c r="I40" s="194">
        <f t="shared" si="0"/>
        <v>-31846127.039999962</v>
      </c>
      <c r="J40" s="196">
        <f t="shared" si="1"/>
        <v>-5.3143145965951821E-2</v>
      </c>
      <c r="K40" s="193">
        <f>SUM('2020'!G40:R40)</f>
        <v>558678968.5</v>
      </c>
      <c r="L40" s="194">
        <f t="shared" si="7"/>
        <v>8726726.3299999237</v>
      </c>
      <c r="M40" s="196">
        <f t="shared" si="2"/>
        <v>1.5620287897055274E-2</v>
      </c>
      <c r="N40" s="193">
        <f>'2022'!G40</f>
        <v>43461857.619999997</v>
      </c>
      <c r="O40" s="193">
        <f>'2022'!G114</f>
        <v>51655501.199880958</v>
      </c>
      <c r="P40" s="194">
        <f t="shared" si="6"/>
        <v>-8193643.5798809603</v>
      </c>
      <c r="Q40" s="196">
        <f t="shared" si="3"/>
        <v>-0.15862092883729184</v>
      </c>
      <c r="R40" s="193">
        <f>'2021'!G40</f>
        <v>43785961.259999998</v>
      </c>
      <c r="S40" s="194">
        <f t="shared" si="4"/>
        <v>-324103.6400000006</v>
      </c>
      <c r="T40" s="196">
        <f t="shared" si="5"/>
        <v>-7.4019989666432862E-3</v>
      </c>
    </row>
    <row r="41" spans="1:20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'2021'!S41</f>
        <v>84933837.310000002</v>
      </c>
      <c r="H41" s="163">
        <f>SUM('2021'!G115:R115)</f>
        <v>108438500</v>
      </c>
      <c r="I41" s="164">
        <f t="shared" si="0"/>
        <v>-23504662.689999998</v>
      </c>
      <c r="J41" s="166">
        <f t="shared" si="1"/>
        <v>-0.21675569737685418</v>
      </c>
      <c r="K41" s="163">
        <f>SUM('2020'!G41:R41)</f>
        <v>80479287.560000002</v>
      </c>
      <c r="L41" s="164">
        <f t="shared" si="7"/>
        <v>4454549.75</v>
      </c>
      <c r="M41" s="166">
        <f t="shared" si="2"/>
        <v>5.5350263217464279E-2</v>
      </c>
      <c r="N41" s="163">
        <f>'2022'!G41</f>
        <v>8200110.4000000004</v>
      </c>
      <c r="O41" s="163">
        <f>'2022'!G115</f>
        <v>9199047.6323809531</v>
      </c>
      <c r="P41" s="164">
        <f t="shared" si="6"/>
        <v>-998937.23238095269</v>
      </c>
      <c r="Q41" s="166">
        <f t="shared" si="3"/>
        <v>-0.10859137514025474</v>
      </c>
      <c r="R41" s="163">
        <f>'2021'!G41</f>
        <v>6454244.7199999997</v>
      </c>
      <c r="S41" s="164">
        <f t="shared" si="4"/>
        <v>1745865.6800000006</v>
      </c>
      <c r="T41" s="166">
        <f t="shared" si="5"/>
        <v>0.27049883537728658</v>
      </c>
    </row>
    <row r="42" spans="1:20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'2021'!S42</f>
        <v>23087428.329999998</v>
      </c>
      <c r="H42" s="163">
        <f>SUM('2021'!G116:R116)</f>
        <v>18559577.940000005</v>
      </c>
      <c r="I42" s="164">
        <f t="shared" si="0"/>
        <v>4527850.3899999931</v>
      </c>
      <c r="J42" s="166">
        <f t="shared" si="1"/>
        <v>0.24396300415008199</v>
      </c>
      <c r="K42" s="163">
        <f>SUM('2020'!G42:R42)</f>
        <v>20098482.600000001</v>
      </c>
      <c r="L42" s="164">
        <f t="shared" si="7"/>
        <v>2988945.7299999967</v>
      </c>
      <c r="M42" s="166">
        <f t="shared" si="2"/>
        <v>0.14871499453396519</v>
      </c>
      <c r="N42" s="163">
        <f>'2022'!G42</f>
        <v>0</v>
      </c>
      <c r="O42" s="163">
        <f>'2022'!G116</f>
        <v>2893986.39</v>
      </c>
      <c r="P42" s="164">
        <f t="shared" si="6"/>
        <v>-2893986.39</v>
      </c>
      <c r="Q42" s="166">
        <f t="shared" si="3"/>
        <v>-1</v>
      </c>
      <c r="R42" s="163">
        <f>'2021'!G42</f>
        <v>7431.6</v>
      </c>
      <c r="S42" s="164">
        <f t="shared" si="4"/>
        <v>-7431.6</v>
      </c>
      <c r="T42" s="166">
        <f t="shared" si="5"/>
        <v>-1</v>
      </c>
    </row>
    <row r="43" spans="1:20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'2021'!S43</f>
        <v>431007818.79000002</v>
      </c>
      <c r="H43" s="163">
        <f>SUM('2021'!G117:R117)</f>
        <v>445453743.92999989</v>
      </c>
      <c r="I43" s="164">
        <f t="shared" si="0"/>
        <v>-14445925.139999866</v>
      </c>
      <c r="J43" s="166">
        <f t="shared" si="1"/>
        <v>-3.2429686217363862E-2</v>
      </c>
      <c r="K43" s="163">
        <f>SUM('2020'!G43:R43)</f>
        <v>428071585.88000005</v>
      </c>
      <c r="L43" s="164">
        <f t="shared" si="7"/>
        <v>2936232.9099999666</v>
      </c>
      <c r="M43" s="166">
        <f t="shared" si="2"/>
        <v>6.8592100173241466E-3</v>
      </c>
      <c r="N43" s="163">
        <f>'2022'!G43</f>
        <v>35149513.420000002</v>
      </c>
      <c r="O43" s="163">
        <f>'2022'!G117</f>
        <v>38029133.847500004</v>
      </c>
      <c r="P43" s="164">
        <f t="shared" si="6"/>
        <v>-2879620.4275000021</v>
      </c>
      <c r="Q43" s="166">
        <f t="shared" si="3"/>
        <v>-7.5721430812690116E-2</v>
      </c>
      <c r="R43" s="163">
        <f>'2021'!G43</f>
        <v>35881608.200000003</v>
      </c>
      <c r="S43" s="164">
        <f t="shared" si="4"/>
        <v>-732094.78000000119</v>
      </c>
      <c r="T43" s="166">
        <f t="shared" si="5"/>
        <v>-2.0403064877119959E-2</v>
      </c>
    </row>
    <row r="44" spans="1:20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'2021'!S44</f>
        <v>17077333.689999998</v>
      </c>
      <c r="H44" s="163">
        <f>SUM('2021'!G118:R118)</f>
        <v>15299999.999999998</v>
      </c>
      <c r="I44" s="164">
        <f t="shared" si="0"/>
        <v>1777333.6899999995</v>
      </c>
      <c r="J44" s="166">
        <f t="shared" si="1"/>
        <v>0.11616560065359471</v>
      </c>
      <c r="K44" s="163">
        <f>SUM('2020'!G44:R44)</f>
        <v>20221387.999999996</v>
      </c>
      <c r="L44" s="164">
        <f t="shared" si="7"/>
        <v>-3144054.3099999987</v>
      </c>
      <c r="M44" s="166">
        <f t="shared" si="2"/>
        <v>-0.15548162717613645</v>
      </c>
      <c r="N44" s="163">
        <f>'2022'!G44</f>
        <v>103430</v>
      </c>
      <c r="O44" s="163">
        <f>'2022'!G118</f>
        <v>943333.33</v>
      </c>
      <c r="P44" s="164">
        <f t="shared" si="6"/>
        <v>-839903.33</v>
      </c>
      <c r="Q44" s="166">
        <f t="shared" si="3"/>
        <v>-0.89035689007193253</v>
      </c>
      <c r="R44" s="163">
        <f>'2021'!G44</f>
        <v>828960.19</v>
      </c>
      <c r="S44" s="164">
        <f t="shared" si="4"/>
        <v>-725530.19</v>
      </c>
      <c r="T44" s="166">
        <f t="shared" si="5"/>
        <v>-0.8752292314544079</v>
      </c>
    </row>
    <row r="45" spans="1:20">
      <c r="A45" s="150">
        <v>425</v>
      </c>
      <c r="B45" s="536" t="str">
        <f>+VLOOKUP($A45,Master!$D$29:$G$225,4,FALSE)</f>
        <v>Other Health Care Insurance</v>
      </c>
      <c r="C45" s="537"/>
      <c r="D45" s="537"/>
      <c r="E45" s="537"/>
      <c r="F45" s="537"/>
      <c r="G45" s="163">
        <f>'2021'!S45</f>
        <v>11299276.709999999</v>
      </c>
      <c r="H45" s="163">
        <f>SUM('2021'!G119:R119)</f>
        <v>11500000.000000002</v>
      </c>
      <c r="I45" s="164">
        <f t="shared" si="0"/>
        <v>-200723.29000000283</v>
      </c>
      <c r="J45" s="166">
        <f t="shared" si="1"/>
        <v>-1.7454199130435E-2</v>
      </c>
      <c r="K45" s="163">
        <f>SUM('2020'!G45:R45)</f>
        <v>9808224.459999999</v>
      </c>
      <c r="L45" s="164">
        <f t="shared" si="7"/>
        <v>1491052.25</v>
      </c>
      <c r="M45" s="166">
        <f t="shared" si="2"/>
        <v>0.15202060842722598</v>
      </c>
      <c r="N45" s="163">
        <f>'2022'!G45</f>
        <v>8803.7999999999993</v>
      </c>
      <c r="O45" s="163">
        <f>'2022'!G119</f>
        <v>590000</v>
      </c>
      <c r="P45" s="164">
        <f t="shared" si="6"/>
        <v>-581196.19999999995</v>
      </c>
      <c r="Q45" s="166">
        <f t="shared" si="3"/>
        <v>-0.98507830508474581</v>
      </c>
      <c r="R45" s="163">
        <f>'2021'!G45</f>
        <v>613716.55000000005</v>
      </c>
      <c r="S45" s="164">
        <f t="shared" si="4"/>
        <v>-604912.75</v>
      </c>
      <c r="T45" s="166">
        <f t="shared" si="5"/>
        <v>-0.9856549411939437</v>
      </c>
    </row>
    <row r="46" spans="1:20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'2021'!S46</f>
        <v>257065984.94</v>
      </c>
      <c r="H46" s="175">
        <f>SUM('2021'!G120:R120)</f>
        <v>260045759.37999994</v>
      </c>
      <c r="I46" s="176">
        <f t="shared" si="0"/>
        <v>-2979774.439999938</v>
      </c>
      <c r="J46" s="178">
        <f t="shared" si="1"/>
        <v>-1.1458654227257226E-2</v>
      </c>
      <c r="K46" s="175">
        <f>SUM('2020'!G46:R46)</f>
        <v>281248902.5</v>
      </c>
      <c r="L46" s="176">
        <f t="shared" si="7"/>
        <v>-24182917.560000002</v>
      </c>
      <c r="M46" s="178">
        <f t="shared" si="2"/>
        <v>-8.5984042408841055E-2</v>
      </c>
      <c r="N46" s="175">
        <f>'2022'!G46</f>
        <v>7351440.8700000001</v>
      </c>
      <c r="O46" s="175">
        <f>'2022'!G120</f>
        <v>22444871.560000002</v>
      </c>
      <c r="P46" s="176">
        <f t="shared" si="6"/>
        <v>-15093430.690000001</v>
      </c>
      <c r="Q46" s="178">
        <f t="shared" si="3"/>
        <v>-0.67246678822162087</v>
      </c>
      <c r="R46" s="175">
        <f>'2021'!G46</f>
        <v>12392775.73</v>
      </c>
      <c r="S46" s="176">
        <f t="shared" si="4"/>
        <v>-5041334.8600000003</v>
      </c>
      <c r="T46" s="178">
        <f t="shared" si="5"/>
        <v>-0.4067962633904616</v>
      </c>
    </row>
    <row r="47" spans="1:20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'2021'!S47</f>
        <v>204499371.07999998</v>
      </c>
      <c r="H47" s="175">
        <f>SUM('2021'!G121:R121)</f>
        <v>235554725.5</v>
      </c>
      <c r="I47" s="176">
        <f t="shared" si="0"/>
        <v>-31055354.420000017</v>
      </c>
      <c r="J47" s="178">
        <f t="shared" si="1"/>
        <v>-0.13183923334197778</v>
      </c>
      <c r="K47" s="175">
        <f>SUM('2020'!G47:R47)</f>
        <v>229936913.66999999</v>
      </c>
      <c r="L47" s="176">
        <f t="shared" si="7"/>
        <v>-25437542.590000004</v>
      </c>
      <c r="M47" s="178">
        <f t="shared" si="2"/>
        <v>-0.11062835533448689</v>
      </c>
      <c r="N47" s="175">
        <f>'2022'!G47</f>
        <v>16016474.34</v>
      </c>
      <c r="O47" s="175">
        <f>'2022'!G121</f>
        <v>19668608.670000002</v>
      </c>
      <c r="P47" s="176">
        <f t="shared" si="6"/>
        <v>-3652134.3300000019</v>
      </c>
      <c r="Q47" s="178">
        <f t="shared" si="3"/>
        <v>-0.18568341011179423</v>
      </c>
      <c r="R47" s="175">
        <f>'2021'!G47</f>
        <v>11603510.130000001</v>
      </c>
      <c r="S47" s="176">
        <f t="shared" si="4"/>
        <v>4412964.209999999</v>
      </c>
      <c r="T47" s="178">
        <f t="shared" si="5"/>
        <v>0.3803128674478089</v>
      </c>
    </row>
    <row r="48" spans="1:20">
      <c r="A48" s="150">
        <v>451</v>
      </c>
      <c r="B48" s="504" t="str">
        <f>+VLOOKUP($A48,Master!$D$29:$G$225,4,FALSE)</f>
        <v>Credits and Borrowings</v>
      </c>
      <c r="C48" s="505"/>
      <c r="D48" s="505"/>
      <c r="E48" s="505"/>
      <c r="F48" s="505"/>
      <c r="G48" s="163">
        <f>'2021'!S48</f>
        <v>1315523</v>
      </c>
      <c r="H48" s="163">
        <f>SUM('2021'!G122:R122)</f>
        <v>1554000.9999999995</v>
      </c>
      <c r="I48" s="164">
        <f>G48-H48</f>
        <v>-238477.99999999953</v>
      </c>
      <c r="J48" s="282">
        <f t="shared" si="1"/>
        <v>-0.1534606477087207</v>
      </c>
      <c r="K48" s="163">
        <f>SUM('2020'!G48:R48)</f>
        <v>1611467</v>
      </c>
      <c r="L48" s="279">
        <f t="shared" si="7"/>
        <v>-295944</v>
      </c>
      <c r="M48" s="282">
        <f t="shared" si="2"/>
        <v>-0.18364881192106319</v>
      </c>
      <c r="N48" s="163">
        <f>'2022'!G48</f>
        <v>0</v>
      </c>
      <c r="O48" s="163">
        <f>'2022'!G122</f>
        <v>2000.08</v>
      </c>
      <c r="P48" s="164">
        <f t="shared" si="6"/>
        <v>-2000.08</v>
      </c>
      <c r="Q48" s="282">
        <f t="shared" si="3"/>
        <v>-1</v>
      </c>
      <c r="R48" s="163">
        <f>'2021'!G48-R58</f>
        <v>0</v>
      </c>
      <c r="S48" s="279">
        <f>+N48-R48-S58</f>
        <v>0</v>
      </c>
      <c r="T48" s="282" t="str">
        <f t="shared" si="5"/>
        <v>...</v>
      </c>
    </row>
    <row r="49" spans="1:23">
      <c r="A49" s="150">
        <v>47</v>
      </c>
      <c r="B49" s="504" t="str">
        <f>+VLOOKUP($A49,Master!$D$29:$G$225,4,FALSE)</f>
        <v>Reserves</v>
      </c>
      <c r="C49" s="505"/>
      <c r="D49" s="505"/>
      <c r="E49" s="505"/>
      <c r="F49" s="505"/>
      <c r="G49" s="163">
        <f>'2021'!S49</f>
        <v>71230165.420000002</v>
      </c>
      <c r="H49" s="163">
        <f>SUM('2021'!G123:R123)</f>
        <v>71213051</v>
      </c>
      <c r="I49" s="164">
        <f t="shared" ref="I49:I50" si="8">G49-H49</f>
        <v>17114.420000001788</v>
      </c>
      <c r="J49" s="283">
        <f t="shared" si="1"/>
        <v>2.4032701533882594E-4</v>
      </c>
      <c r="K49" s="163">
        <f>SUM('2020'!G49:R49)</f>
        <v>116413709.19999999</v>
      </c>
      <c r="L49" s="280">
        <f t="shared" si="7"/>
        <v>-45183543.779999986</v>
      </c>
      <c r="M49" s="283">
        <f t="shared" si="2"/>
        <v>-0.38812906220842236</v>
      </c>
      <c r="N49" s="163">
        <f>'2022'!G49</f>
        <v>265800</v>
      </c>
      <c r="O49" s="163">
        <f>'2022'!G123</f>
        <v>3372117.68</v>
      </c>
      <c r="P49" s="164">
        <f t="shared" si="6"/>
        <v>-3106317.68</v>
      </c>
      <c r="Q49" s="283">
        <f t="shared" si="3"/>
        <v>-0.92117712807697738</v>
      </c>
      <c r="R49" s="163">
        <f>'2021'!G49</f>
        <v>3553855.38</v>
      </c>
      <c r="S49" s="280">
        <f t="shared" si="4"/>
        <v>-3288055.38</v>
      </c>
      <c r="T49" s="283">
        <f t="shared" si="5"/>
        <v>-0.92520798637563018</v>
      </c>
      <c r="W49" s="344"/>
    </row>
    <row r="50" spans="1:23" ht="15.7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f>'2021'!S50</f>
        <v>7711252.0800000001</v>
      </c>
      <c r="H50" s="163">
        <f>SUM('2021'!G124:R124)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SUM('2020'!G50:R50)</f>
        <v>0</v>
      </c>
      <c r="L50" s="280">
        <f t="shared" si="7"/>
        <v>7711252.0800000001</v>
      </c>
      <c r="M50" s="284" t="str">
        <f t="shared" si="2"/>
        <v>...</v>
      </c>
      <c r="N50" s="163">
        <f>'2022'!G50</f>
        <v>0</v>
      </c>
      <c r="O50" s="163">
        <f>'2022'!G124</f>
        <v>0</v>
      </c>
      <c r="P50" s="164">
        <f t="shared" si="6"/>
        <v>0</v>
      </c>
      <c r="Q50" s="284" t="str">
        <f t="shared" si="3"/>
        <v>...</v>
      </c>
      <c r="R50" s="163">
        <f>'2021'!G50</f>
        <v>3831496.4</v>
      </c>
      <c r="S50" s="280">
        <f t="shared" si="4"/>
        <v>-3831496.4</v>
      </c>
      <c r="T50" s="284">
        <f t="shared" si="5"/>
        <v>-1</v>
      </c>
    </row>
    <row r="51" spans="1:23" ht="15" customHeight="1" thickBot="1">
      <c r="A51" s="144">
        <v>4630</v>
      </c>
      <c r="B51" s="522" t="str">
        <f>+VLOOKUP($A51,Master!$D$29:$G$225,4,FALSE)</f>
        <v>Repayments of liabilities form the previous period</v>
      </c>
      <c r="C51" s="523"/>
      <c r="D51" s="523"/>
      <c r="E51" s="523"/>
      <c r="F51" s="523"/>
      <c r="G51" s="314">
        <f>'2021'!S51</f>
        <v>26185594.789999999</v>
      </c>
      <c r="H51" s="314">
        <f>SUM('2021'!G125:R125)</f>
        <v>10430891.869999997</v>
      </c>
      <c r="I51" s="281">
        <f>G51-H51</f>
        <v>15754702.920000002</v>
      </c>
      <c r="J51" s="285">
        <f t="shared" si="1"/>
        <v>1.5103888638047982</v>
      </c>
      <c r="K51" s="314">
        <f>SUM('2020'!G51:R51)</f>
        <v>18775484.700000003</v>
      </c>
      <c r="L51" s="287">
        <f t="shared" si="7"/>
        <v>7410110.0899999961</v>
      </c>
      <c r="M51" s="285">
        <f t="shared" si="2"/>
        <v>0.39466944307435092</v>
      </c>
      <c r="N51" s="314">
        <f>'2022'!G51</f>
        <v>17530850.219999999</v>
      </c>
      <c r="O51" s="314">
        <f>'2022'!G125</f>
        <v>18137694.66</v>
      </c>
      <c r="P51" s="281">
        <f>N51-O51</f>
        <v>-606844.44000000134</v>
      </c>
      <c r="Q51" s="285">
        <f t="shared" si="3"/>
        <v>-3.3457638987511862E-2</v>
      </c>
      <c r="R51" s="314">
        <f>'2021'!G51</f>
        <v>1018944.7</v>
      </c>
      <c r="S51" s="287">
        <f>+N51-R51</f>
        <v>16511905.52</v>
      </c>
      <c r="T51" s="285" t="str">
        <f t="shared" si="5"/>
        <v>...</v>
      </c>
    </row>
    <row r="52" spans="1:23" ht="15.75" thickBot="1">
      <c r="A52" s="144">
        <v>1005</v>
      </c>
      <c r="B52" s="522" t="str">
        <f>+VLOOKUP($A52,Master!$D$29:$G$227,4,FALSE)</f>
        <v>Net increase of liabilities</v>
      </c>
      <c r="C52" s="523"/>
      <c r="D52" s="523"/>
      <c r="E52" s="523"/>
      <c r="F52" s="523"/>
      <c r="G52" s="163">
        <f>'2021'!S52</f>
        <v>0</v>
      </c>
      <c r="H52" s="163">
        <f>SUM('2021'!G126:R126)</f>
        <v>0</v>
      </c>
      <c r="I52" s="281">
        <f>G52-H52</f>
        <v>0</v>
      </c>
      <c r="J52" s="285" t="str">
        <f t="shared" si="1"/>
        <v>...</v>
      </c>
      <c r="K52" s="163">
        <f>SUM('2020'!G52:R52)</f>
        <v>0</v>
      </c>
      <c r="L52" s="287">
        <f t="shared" si="7"/>
        <v>0</v>
      </c>
      <c r="M52" s="285" t="str">
        <f t="shared" si="2"/>
        <v>...</v>
      </c>
      <c r="N52" s="163">
        <f>'2022'!G52</f>
        <v>0</v>
      </c>
      <c r="O52" s="163">
        <f>'2022'!G126</f>
        <v>0</v>
      </c>
      <c r="P52" s="281">
        <f>N52-O52</f>
        <v>0</v>
      </c>
      <c r="Q52" s="285" t="str">
        <f t="shared" si="3"/>
        <v>...</v>
      </c>
      <c r="R52" s="163">
        <f>'2021'!G52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>'2021'!S53</f>
        <v>-100359804.54000001</v>
      </c>
      <c r="H53" s="151">
        <f>SUM('2021'!G127:R127)</f>
        <v>-175329347.72438326</v>
      </c>
      <c r="I53" s="320">
        <f>+G53-H53</f>
        <v>74969543.184383258</v>
      </c>
      <c r="J53" s="286">
        <f t="shared" si="1"/>
        <v>-0.42759266578824529</v>
      </c>
      <c r="K53" s="151">
        <f>SUM('2020'!G53:R53)</f>
        <v>-426152270.79000008</v>
      </c>
      <c r="L53" s="288">
        <f t="shared" si="7"/>
        <v>325792466.25000006</v>
      </c>
      <c r="M53" s="286">
        <f t="shared" si="2"/>
        <v>-0.76449778302494265</v>
      </c>
      <c r="N53" s="151">
        <f>'2022'!G53</f>
        <v>-27721128.980000004</v>
      </c>
      <c r="O53" s="151">
        <f>'2022'!G127</f>
        <v>-73947853.862364858</v>
      </c>
      <c r="P53" s="320">
        <f>N53-O53</f>
        <v>46226724.882364854</v>
      </c>
      <c r="Q53" s="286">
        <f t="shared" si="3"/>
        <v>-0.62512598362089267</v>
      </c>
      <c r="R53" s="151">
        <f>'2021'!G53</f>
        <v>-38751394.929999992</v>
      </c>
      <c r="S53" s="288">
        <f t="shared" si="4"/>
        <v>11030265.949999988</v>
      </c>
      <c r="T53" s="286">
        <f t="shared" si="5"/>
        <v>-0.28464177792631506</v>
      </c>
    </row>
    <row r="54" spans="1:23" ht="15.7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151">
        <f>'2021'!S54</f>
        <v>13699097.640000023</v>
      </c>
      <c r="H54" s="151">
        <f>SUM('2021'!G128:R128)</f>
        <v>-62253958.390100293</v>
      </c>
      <c r="I54" s="206">
        <f t="shared" si="0"/>
        <v>75953056.030100316</v>
      </c>
      <c r="J54" s="208">
        <f t="shared" si="1"/>
        <v>-1.2200518327550793</v>
      </c>
      <c r="K54" s="151">
        <f>SUM('2020'!G54:R54)</f>
        <v>-315043362.44</v>
      </c>
      <c r="L54" s="206">
        <f t="shared" si="7"/>
        <v>328742460.08000004</v>
      </c>
      <c r="M54" s="208">
        <f t="shared" si="2"/>
        <v>-1.0434832130215377</v>
      </c>
      <c r="N54" s="151">
        <f>'2022'!G54</f>
        <v>-23866366.730000004</v>
      </c>
      <c r="O54" s="151">
        <f>'2022'!G128</f>
        <v>-69718812.182364851</v>
      </c>
      <c r="P54" s="206">
        <f t="shared" si="6"/>
        <v>45852445.452364847</v>
      </c>
      <c r="Q54" s="208">
        <f t="shared" si="3"/>
        <v>-0.6576768022442453</v>
      </c>
      <c r="R54" s="151">
        <f>'2021'!G54</f>
        <v>-31173909.859999992</v>
      </c>
      <c r="S54" s="206">
        <f t="shared" si="4"/>
        <v>7307543.1299999878</v>
      </c>
      <c r="T54" s="208">
        <f t="shared" si="5"/>
        <v>-0.23441214665782029</v>
      </c>
    </row>
    <row r="55" spans="1:23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491">
        <f>'2021'!S55</f>
        <v>437597431.75</v>
      </c>
      <c r="H55" s="491">
        <f>SUM('2021'!G129:R129)</f>
        <v>435909894.17733198</v>
      </c>
      <c r="I55" s="492">
        <f t="shared" si="0"/>
        <v>1687537.572668016</v>
      </c>
      <c r="J55" s="493">
        <f t="shared" si="1"/>
        <v>3.8712990808635883E-3</v>
      </c>
      <c r="K55" s="491">
        <f>SUM('2020'!G55:R55)</f>
        <v>665846029.62999988</v>
      </c>
      <c r="L55" s="492">
        <f t="shared" si="7"/>
        <v>-228248597.87999988</v>
      </c>
      <c r="M55" s="493">
        <f t="shared" si="2"/>
        <v>-0.34279486205967769</v>
      </c>
      <c r="N55" s="491">
        <f>'2022'!G55</f>
        <v>28431258.969999999</v>
      </c>
      <c r="O55" s="491">
        <f>'2022'!G129</f>
        <v>25337948.449999999</v>
      </c>
      <c r="P55" s="492">
        <f t="shared" si="6"/>
        <v>3093310.5199999996</v>
      </c>
      <c r="Q55" s="493">
        <f t="shared" si="3"/>
        <v>0.12208212224064252</v>
      </c>
      <c r="R55" s="491">
        <f>'2021'!G55</f>
        <v>23330768.82</v>
      </c>
      <c r="S55" s="492">
        <f t="shared" si="4"/>
        <v>5100490.1499999985</v>
      </c>
      <c r="T55" s="493">
        <f t="shared" si="5"/>
        <v>0.21861646263571344</v>
      </c>
    </row>
    <row r="56" spans="1:23">
      <c r="A56" s="144">
        <v>4611</v>
      </c>
      <c r="B56" s="504" t="str">
        <f>+VLOOKUP($A56,Master!$D$29:$G$225,4,FALSE)</f>
        <v>Repayment of Domestic Debt</v>
      </c>
      <c r="C56" s="505"/>
      <c r="D56" s="505"/>
      <c r="E56" s="505"/>
      <c r="F56" s="505"/>
      <c r="G56" s="163">
        <f>'2021'!S56</f>
        <v>85309098.780000001</v>
      </c>
      <c r="H56" s="163">
        <f>SUM('2021'!G130:R130)</f>
        <v>85893831.950000018</v>
      </c>
      <c r="I56" s="212">
        <f t="shared" si="0"/>
        <v>-584733.17000001669</v>
      </c>
      <c r="J56" s="214">
        <f t="shared" si="1"/>
        <v>-6.8076270056317556E-3</v>
      </c>
      <c r="K56" s="163">
        <f>SUM('2020'!G56:R56)</f>
        <v>244194215.69</v>
      </c>
      <c r="L56" s="212">
        <f t="shared" si="7"/>
        <v>-158885116.91</v>
      </c>
      <c r="M56" s="214">
        <f t="shared" si="2"/>
        <v>-0.65065061619519149</v>
      </c>
      <c r="N56" s="163">
        <f>'2022'!G56</f>
        <v>2390495.08</v>
      </c>
      <c r="O56" s="163">
        <f>'2022'!G130</f>
        <v>606624.54</v>
      </c>
      <c r="P56" s="212">
        <f t="shared" si="6"/>
        <v>1783870.54</v>
      </c>
      <c r="Q56" s="214" t="str">
        <f t="shared" si="3"/>
        <v>...</v>
      </c>
      <c r="R56" s="163">
        <f>'2021'!G56</f>
        <v>21900000</v>
      </c>
      <c r="S56" s="212">
        <f t="shared" si="4"/>
        <v>-19509504.920000002</v>
      </c>
      <c r="T56" s="214">
        <f t="shared" si="5"/>
        <v>-0.89084497351598169</v>
      </c>
    </row>
    <row r="57" spans="1:23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163">
        <f>'2021'!S57</f>
        <v>352288332.96999997</v>
      </c>
      <c r="H57" s="163">
        <f>SUM('2021'!G131:R131)</f>
        <v>350016062.22733206</v>
      </c>
      <c r="I57" s="212">
        <f t="shared" si="0"/>
        <v>2272270.7426679134</v>
      </c>
      <c r="J57" s="214">
        <f t="shared" si="1"/>
        <v>6.4919041949340617E-3</v>
      </c>
      <c r="K57" s="163">
        <f>SUM('2020'!G57:R57)</f>
        <v>421651813.94</v>
      </c>
      <c r="L57" s="212">
        <f t="shared" si="7"/>
        <v>-69363480.970000029</v>
      </c>
      <c r="M57" s="214">
        <f t="shared" si="2"/>
        <v>-0.16450416831331427</v>
      </c>
      <c r="N57" s="163">
        <f>'2022'!G57</f>
        <v>26040763.890000001</v>
      </c>
      <c r="O57" s="163">
        <f>'2022'!G131</f>
        <v>24731323.91</v>
      </c>
      <c r="P57" s="212">
        <f t="shared" si="6"/>
        <v>1309439.9800000004</v>
      </c>
      <c r="Q57" s="214">
        <f t="shared" si="3"/>
        <v>5.2946618820941316E-2</v>
      </c>
      <c r="R57" s="163">
        <f>'2021'!G57</f>
        <v>1430768.82</v>
      </c>
      <c r="S57" s="212">
        <f t="shared" si="4"/>
        <v>24609995.07</v>
      </c>
      <c r="T57" s="214" t="str">
        <f t="shared" si="5"/>
        <v>...</v>
      </c>
    </row>
    <row r="58" spans="1:23" ht="15.75" thickBot="1">
      <c r="A58" s="144">
        <v>4418</v>
      </c>
      <c r="B58" s="532" t="str">
        <f>+VLOOKUP($A58,Master!$D$29:$G$225,4,FALSE)</f>
        <v>Capital Expenditure for Securities</v>
      </c>
      <c r="C58" s="533"/>
      <c r="D58" s="533"/>
      <c r="E58" s="533"/>
      <c r="F58" s="533"/>
      <c r="G58" s="335">
        <f>'2021'!S58</f>
        <v>506343.98</v>
      </c>
      <c r="H58" s="335">
        <f>SUM('2021'!G132:R132)</f>
        <v>590000</v>
      </c>
      <c r="I58" s="336">
        <f t="shared" ref="I58:I64" si="9">+G58-H58</f>
        <v>-83656.020000000019</v>
      </c>
      <c r="J58" s="337">
        <f t="shared" si="1"/>
        <v>-0.14178986440677965</v>
      </c>
      <c r="K58" s="335">
        <f>SUM('2020'!G58:R58)</f>
        <v>940769.61</v>
      </c>
      <c r="L58" s="336">
        <f t="shared" ref="L58:L64" si="10">+G58-K58</f>
        <v>-434425.63</v>
      </c>
      <c r="M58" s="337">
        <f t="shared" si="2"/>
        <v>-0.46177685310221706</v>
      </c>
      <c r="N58" s="335">
        <f>'2022'!G58</f>
        <v>0</v>
      </c>
      <c r="O58" s="335">
        <f>'2022'!G132</f>
        <v>46536.67</v>
      </c>
      <c r="P58" s="336">
        <f t="shared" ref="P58:P64" si="11">+N58-O58</f>
        <v>-46536.67</v>
      </c>
      <c r="Q58" s="337">
        <f t="shared" si="3"/>
        <v>-1</v>
      </c>
      <c r="R58" s="335">
        <f>'2021'!G58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319">
        <f>'2021'!S59</f>
        <v>-538463580.26999998</v>
      </c>
      <c r="H59" s="319">
        <f>SUM('2021'!G133:R133)</f>
        <v>-611829241.90171516</v>
      </c>
      <c r="I59" s="321">
        <f t="shared" si="9"/>
        <v>73365661.631715178</v>
      </c>
      <c r="J59" s="322">
        <f t="shared" si="1"/>
        <v>-0.11991198950164061</v>
      </c>
      <c r="K59" s="319">
        <f>SUM('2020'!G59:R59)</f>
        <v>-1092939070.03</v>
      </c>
      <c r="L59" s="321">
        <f t="shared" si="10"/>
        <v>554475489.75999999</v>
      </c>
      <c r="M59" s="322">
        <f t="shared" si="2"/>
        <v>-0.50732516108586023</v>
      </c>
      <c r="N59" s="319">
        <f>'2022'!G59</f>
        <v>-56152387.950000003</v>
      </c>
      <c r="O59" s="319">
        <f>'2022'!G133</f>
        <v>-99332338.982364863</v>
      </c>
      <c r="P59" s="321">
        <f t="shared" si="11"/>
        <v>43179951.03236486</v>
      </c>
      <c r="Q59" s="322">
        <f t="shared" si="3"/>
        <v>-0.43470184508623</v>
      </c>
      <c r="R59" s="319">
        <f>'2021'!G59</f>
        <v>-62082163.749999993</v>
      </c>
      <c r="S59" s="321">
        <f t="shared" si="12"/>
        <v>5929775.7999999896</v>
      </c>
      <c r="T59" s="322">
        <f t="shared" si="5"/>
        <v>-9.5514966647727184E-2</v>
      </c>
    </row>
    <row r="60" spans="1:23" ht="15.7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'2021'!S60</f>
        <v>538463580.26999998</v>
      </c>
      <c r="H60" s="151">
        <f>SUM('2021'!G134:R134)</f>
        <v>611829241.90171516</v>
      </c>
      <c r="I60" s="320">
        <f t="shared" si="9"/>
        <v>-73365661.631715178</v>
      </c>
      <c r="J60" s="323">
        <f t="shared" si="1"/>
        <v>-0.11991198950164061</v>
      </c>
      <c r="K60" s="151">
        <f>SUM('2020'!G60:R60)</f>
        <v>1092939070.03</v>
      </c>
      <c r="L60" s="320">
        <f t="shared" si="10"/>
        <v>-554475489.75999999</v>
      </c>
      <c r="M60" s="323">
        <f t="shared" si="2"/>
        <v>-0.50732516108586023</v>
      </c>
      <c r="N60" s="151">
        <f>'2022'!G60</f>
        <v>56152387.950000003</v>
      </c>
      <c r="O60" s="151">
        <f>'2022'!G134</f>
        <v>99332338.982364863</v>
      </c>
      <c r="P60" s="320">
        <f t="shared" si="11"/>
        <v>-43179951.03236486</v>
      </c>
      <c r="Q60" s="323">
        <f t="shared" si="3"/>
        <v>-0.43470184508623</v>
      </c>
      <c r="R60" s="151">
        <f>'2021'!G60</f>
        <v>62082163.749999993</v>
      </c>
      <c r="S60" s="320">
        <f t="shared" si="12"/>
        <v>-5929775.7999999896</v>
      </c>
      <c r="T60" s="323">
        <f t="shared" si="5"/>
        <v>-9.5514966647727184E-2</v>
      </c>
    </row>
    <row r="61" spans="1:23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483">
        <f>'2021'!S61</f>
        <v>0</v>
      </c>
      <c r="H61" s="483">
        <f>SUM('2021'!G135:R135)</f>
        <v>0</v>
      </c>
      <c r="I61" s="212">
        <f t="shared" si="9"/>
        <v>0</v>
      </c>
      <c r="J61" s="214" t="str">
        <f t="shared" si="1"/>
        <v>...</v>
      </c>
      <c r="K61" s="163">
        <f>SUM('2020'!G61:R61)</f>
        <v>167532059.13</v>
      </c>
      <c r="L61" s="212">
        <f t="shared" si="10"/>
        <v>-167532059.13</v>
      </c>
      <c r="M61" s="214">
        <f t="shared" si="2"/>
        <v>-1</v>
      </c>
      <c r="N61" s="163">
        <f>'2022'!G61</f>
        <v>0</v>
      </c>
      <c r="O61" s="163">
        <f>'2022'!G135</f>
        <v>0</v>
      </c>
      <c r="P61" s="212">
        <f t="shared" si="11"/>
        <v>0</v>
      </c>
      <c r="Q61" s="214" t="str">
        <f t="shared" si="3"/>
        <v>...</v>
      </c>
      <c r="R61" s="163">
        <f>'2021'!G61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163">
        <f>'2021'!S62</f>
        <v>106040276.08000001</v>
      </c>
      <c r="H62" s="163">
        <f>SUM('2021'!G136:R136)</f>
        <v>165000000</v>
      </c>
      <c r="I62" s="212">
        <f t="shared" si="9"/>
        <v>-58959723.919999987</v>
      </c>
      <c r="J62" s="214">
        <f t="shared" si="1"/>
        <v>-0.35733166012121209</v>
      </c>
      <c r="K62" s="163">
        <f>SUM('2020'!G62:R62)</f>
        <v>1185744853.8199999</v>
      </c>
      <c r="L62" s="212">
        <f t="shared" si="10"/>
        <v>-1079704577.74</v>
      </c>
      <c r="M62" s="214">
        <f t="shared" si="2"/>
        <v>-0.91057074737589605</v>
      </c>
      <c r="N62" s="163">
        <f>'2022'!G62</f>
        <v>12789994.92</v>
      </c>
      <c r="O62" s="163">
        <f>'2022'!G136</f>
        <v>15942704.472000001</v>
      </c>
      <c r="P62" s="212">
        <f t="shared" si="11"/>
        <v>-3152709.5520000011</v>
      </c>
      <c r="Q62" s="214">
        <f t="shared" si="3"/>
        <v>-0.19775249284317287</v>
      </c>
      <c r="R62" s="163">
        <f>'2021'!G62</f>
        <v>8076079.9500000002</v>
      </c>
      <c r="S62" s="212">
        <f t="shared" si="12"/>
        <v>4713914.97</v>
      </c>
      <c r="T62" s="214">
        <f t="shared" si="5"/>
        <v>0.58368849728883632</v>
      </c>
    </row>
    <row r="63" spans="1:23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163">
        <f>'2021'!S63</f>
        <v>4453578.24</v>
      </c>
      <c r="H63" s="163">
        <f>SUM('2021'!G137:R137)</f>
        <v>6000000</v>
      </c>
      <c r="I63" s="212">
        <f t="shared" si="9"/>
        <v>-1546421.7599999998</v>
      </c>
      <c r="J63" s="214">
        <f t="shared" si="1"/>
        <v>-0.25773696000000001</v>
      </c>
      <c r="K63" s="163">
        <f>SUM('2020'!G63:R63)</f>
        <v>8547250.9600000009</v>
      </c>
      <c r="L63" s="212">
        <f t="shared" si="10"/>
        <v>-4093672.7200000007</v>
      </c>
      <c r="M63" s="214">
        <f t="shared" si="2"/>
        <v>-0.47894612421676219</v>
      </c>
      <c r="N63" s="163">
        <f>'2022'!G63</f>
        <v>693159.59</v>
      </c>
      <c r="O63" s="163">
        <f>'2022'!G137</f>
        <v>500000</v>
      </c>
      <c r="P63" s="212">
        <f t="shared" si="11"/>
        <v>193159.58999999997</v>
      </c>
      <c r="Q63" s="214">
        <f t="shared" si="3"/>
        <v>0.38631917999999987</v>
      </c>
      <c r="R63" s="163">
        <f>'2021'!G63</f>
        <v>34748.61</v>
      </c>
      <c r="S63" s="212">
        <f t="shared" si="12"/>
        <v>658410.98</v>
      </c>
      <c r="T63" s="214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7">
        <f>'2021'!S64</f>
        <v>427969725.95000005</v>
      </c>
      <c r="H64" s="317">
        <f>SUM('2021'!G138:R138)</f>
        <v>440829241.90171522</v>
      </c>
      <c r="I64" s="226">
        <f t="shared" si="9"/>
        <v>-12859515.951715171</v>
      </c>
      <c r="J64" s="228">
        <f t="shared" si="1"/>
        <v>-2.9171195395840455E-2</v>
      </c>
      <c r="K64" s="317">
        <f>SUM('2020'!G64:R64)</f>
        <v>-268885093.88000011</v>
      </c>
      <c r="L64" s="226">
        <f t="shared" si="10"/>
        <v>696854819.83000016</v>
      </c>
      <c r="M64" s="228">
        <f t="shared" si="2"/>
        <v>-2.5916454117051106</v>
      </c>
      <c r="N64" s="317">
        <f>'2022'!G64</f>
        <v>42669233.440000005</v>
      </c>
      <c r="O64" s="317">
        <f>'2022'!G138</f>
        <v>82889634.51036486</v>
      </c>
      <c r="P64" s="226">
        <f t="shared" si="11"/>
        <v>-40220401.070364855</v>
      </c>
      <c r="Q64" s="228">
        <f t="shared" si="3"/>
        <v>-0.48522835584871027</v>
      </c>
      <c r="R64" s="317">
        <f>'2021'!G64</f>
        <v>53971335.18999999</v>
      </c>
      <c r="S64" s="226">
        <f t="shared" si="12"/>
        <v>-11302101.749999985</v>
      </c>
      <c r="T64" s="228">
        <f t="shared" si="5"/>
        <v>-0.20940934127740607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/qTgzEaeXMYpL/9Dsv7XS6EswoM0KeDeehCzmq+eswd5a14J1fgeTUpD/bwElhHeAvbtmD+BBb38i9S2f0E8Lw==" saltValue="QK/sbZC+Wm4aZyTuBrVMzg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="90" zoomScaleNormal="9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2022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5306400000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>+G11+G19+SUM(G24:G28)</f>
        <v>107803916.42999999</v>
      </c>
      <c r="H10" s="151">
        <f t="shared" ref="H10:R10" si="1">+H11+H19+SUM(H24:H28)</f>
        <v>0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107803916.42999999</v>
      </c>
      <c r="T10" s="462">
        <f>+S10/$T$7*100</f>
        <v>2.0315829268430572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80559495.530000001</v>
      </c>
      <c r="H11" s="157">
        <f t="shared" si="2"/>
        <v>0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80559495.530000001</v>
      </c>
      <c r="T11" s="463">
        <f t="shared" ref="T11:T64" si="3">+S11/$T$7*100</f>
        <v>1.5181572352253883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6139790.5700000003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6139790.5700000003</v>
      </c>
      <c r="T12" s="464">
        <f t="shared" si="3"/>
        <v>0.11570538538368763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395935.5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395935.5</v>
      </c>
      <c r="T13" s="464">
        <f t="shared" si="3"/>
        <v>7.4614710538218002E-3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146340.34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146340.34</v>
      </c>
      <c r="T14" s="464">
        <f t="shared" si="3"/>
        <v>2.7578083069500982E-3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50270008.859999999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50270008.859999999</v>
      </c>
      <c r="T15" s="464">
        <f t="shared" si="3"/>
        <v>0.94734676729986422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21096875.199999999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21096875.199999999</v>
      </c>
      <c r="T16" s="464">
        <f t="shared" si="3"/>
        <v>0.39757415950550273</v>
      </c>
    </row>
    <row r="17" spans="1:23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1689510.83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1689510.83</v>
      </c>
      <c r="T17" s="464">
        <f t="shared" si="3"/>
        <v>3.1839115596261125E-2</v>
      </c>
    </row>
    <row r="18" spans="1:23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v>821034.23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821034.23</v>
      </c>
      <c r="T18" s="464">
        <f t="shared" si="3"/>
        <v>1.5472528079300467E-2</v>
      </c>
    </row>
    <row r="19" spans="1:23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SUM(G20:G23)</f>
        <v>11731802.159999998</v>
      </c>
      <c r="H19" s="169">
        <f t="shared" ref="H19:R19" si="5">SUM(H20:H23)</f>
        <v>0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11731802.159999998</v>
      </c>
      <c r="T19" s="465">
        <f t="shared" si="3"/>
        <v>0.22108778380823152</v>
      </c>
    </row>
    <row r="20" spans="1:23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v>7550452.8499999996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7550452.8499999996</v>
      </c>
      <c r="T20" s="464">
        <f t="shared" si="3"/>
        <v>0.14228955318106437</v>
      </c>
    </row>
    <row r="21" spans="1:23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v>3618221.62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3618221.62</v>
      </c>
      <c r="T21" s="464">
        <f t="shared" si="3"/>
        <v>6.8185994647972259E-2</v>
      </c>
    </row>
    <row r="22" spans="1:23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v>333527.59999999998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333527.59999999998</v>
      </c>
      <c r="T22" s="464">
        <f t="shared" si="3"/>
        <v>6.285383687622494E-3</v>
      </c>
    </row>
    <row r="23" spans="1:23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v>229600.09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229600.09</v>
      </c>
      <c r="T23" s="464">
        <f t="shared" si="3"/>
        <v>4.3268522915724406E-3</v>
      </c>
      <c r="W23" s="305"/>
    </row>
    <row r="24" spans="1:23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v>606952.54999999993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606952.54999999993</v>
      </c>
      <c r="T24" s="465">
        <f t="shared" si="3"/>
        <v>1.1438122832805667E-2</v>
      </c>
      <c r="W24" s="305"/>
    </row>
    <row r="25" spans="1:23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v>12538803.32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12538803.32</v>
      </c>
      <c r="T25" s="465">
        <f t="shared" si="3"/>
        <v>0.23629585632443845</v>
      </c>
    </row>
    <row r="26" spans="1:23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v>1297646.32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1297646.32</v>
      </c>
      <c r="T26" s="465">
        <f t="shared" si="3"/>
        <v>2.4454363033318258E-2</v>
      </c>
    </row>
    <row r="27" spans="1:23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v>124509.95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124509.95</v>
      </c>
      <c r="T27" s="465">
        <f t="shared" si="3"/>
        <v>2.3464109377355647E-3</v>
      </c>
    </row>
    <row r="28" spans="1:23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v>944706.6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944706.6</v>
      </c>
      <c r="T28" s="466">
        <f t="shared" si="3"/>
        <v>1.7803154681139757E-2</v>
      </c>
    </row>
    <row r="29" spans="1:23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+G30+G40+G46+SUM(G47:G51)</f>
        <v>135525045.41</v>
      </c>
      <c r="H29" s="151">
        <f t="shared" ref="H29:R29" si="6">+H30+H40+H46+SUM(H47:H51)</f>
        <v>0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135525045.41</v>
      </c>
      <c r="T29" s="467">
        <f t="shared" si="3"/>
        <v>2.55399226236243</v>
      </c>
    </row>
    <row r="30" spans="1:23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7">+SUM(G31:G39)</f>
        <v>50898622.359999999</v>
      </c>
      <c r="H30" s="187">
        <f t="shared" si="7"/>
        <v>0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50898622.359999999</v>
      </c>
      <c r="T30" s="463">
        <f t="shared" si="3"/>
        <v>0.95919309437660183</v>
      </c>
      <c r="U30" s="242"/>
    </row>
    <row r="31" spans="1:23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v>44240125.009999998</v>
      </c>
      <c r="H31" s="163">
        <v>0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44240125.009999998</v>
      </c>
      <c r="T31" s="464">
        <f t="shared" si="3"/>
        <v>0.83371259252977525</v>
      </c>
      <c r="U31" s="242"/>
    </row>
    <row r="32" spans="1:23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v>137001.32999999999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137001.32999999999</v>
      </c>
      <c r="T32" s="464">
        <f t="shared" si="3"/>
        <v>2.5818130936227949E-3</v>
      </c>
      <c r="U32" s="457"/>
    </row>
    <row r="33" spans="1:21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v>140825.03</v>
      </c>
      <c r="H33" s="163">
        <v>0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140825.03</v>
      </c>
      <c r="T33" s="464">
        <f t="shared" si="3"/>
        <v>2.6538713628825568E-3</v>
      </c>
      <c r="U33" s="457"/>
    </row>
    <row r="34" spans="1:21" s="361" customFormat="1">
      <c r="A34" s="360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v>1088181.29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1088181.29</v>
      </c>
      <c r="T34" s="464">
        <f t="shared" si="3"/>
        <v>2.0506959332127244E-2</v>
      </c>
      <c r="U34" s="457"/>
    </row>
    <row r="35" spans="1:21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v>51153.02</v>
      </c>
      <c r="H35" s="163">
        <v>0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51153.02</v>
      </c>
      <c r="T35" s="464">
        <f t="shared" si="3"/>
        <v>9.6398726066636515E-4</v>
      </c>
      <c r="U35" s="457"/>
    </row>
    <row r="36" spans="1:21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v>3854762.25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3854762.25</v>
      </c>
      <c r="T36" s="464">
        <f t="shared" si="3"/>
        <v>7.2643642582541829E-2</v>
      </c>
      <c r="U36" s="457"/>
    </row>
    <row r="37" spans="1:21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v>222069.04</v>
      </c>
      <c r="H37" s="163">
        <v>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222069.04</v>
      </c>
      <c r="T37" s="464">
        <f t="shared" si="3"/>
        <v>4.1849283883612243E-3</v>
      </c>
      <c r="U37" s="457"/>
    </row>
    <row r="38" spans="1:21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v>511006.04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511006.04</v>
      </c>
      <c r="T38" s="464">
        <f t="shared" si="3"/>
        <v>9.6299947233529325E-3</v>
      </c>
      <c r="U38" s="457"/>
    </row>
    <row r="39" spans="1:21" s="361" customFormat="1">
      <c r="A39" s="360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v>653499.35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653499.35</v>
      </c>
      <c r="T39" s="464">
        <f t="shared" si="3"/>
        <v>1.231530510327152E-2</v>
      </c>
      <c r="U39" s="457"/>
    </row>
    <row r="40" spans="1:21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43461857.619999997</v>
      </c>
      <c r="H40" s="193">
        <f t="shared" ref="H40:R40" si="8">+SUM(H41:H45)</f>
        <v>0</v>
      </c>
      <c r="I40" s="193">
        <f t="shared" si="8"/>
        <v>0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43461857.619999997</v>
      </c>
      <c r="T40" s="490">
        <f t="shared" si="3"/>
        <v>0.81904601273933353</v>
      </c>
      <c r="U40" s="242"/>
    </row>
    <row r="41" spans="1:21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v>8200110.4000000004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8200110.4000000004</v>
      </c>
      <c r="T41" s="464">
        <f t="shared" si="3"/>
        <v>0.15453245891753356</v>
      </c>
      <c r="U41" s="457"/>
    </row>
    <row r="42" spans="1:21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v>0</v>
      </c>
      <c r="H42" s="163">
        <v>0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0</v>
      </c>
      <c r="T42" s="464">
        <f t="shared" si="3"/>
        <v>0</v>
      </c>
      <c r="U42" s="457"/>
    </row>
    <row r="43" spans="1:21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v>35149513.420000002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35149513.420000002</v>
      </c>
      <c r="T43" s="464">
        <f t="shared" si="3"/>
        <v>0.66239848899442189</v>
      </c>
      <c r="U43" s="457"/>
    </row>
    <row r="44" spans="1:21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v>103430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103430</v>
      </c>
      <c r="T44" s="464">
        <f t="shared" si="3"/>
        <v>1.9491557364691692E-3</v>
      </c>
      <c r="U44" s="457"/>
    </row>
    <row r="45" spans="1:21" s="361" customFormat="1">
      <c r="A45" s="360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v>8803.7999999999993</v>
      </c>
      <c r="H45" s="163">
        <v>0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8803.7999999999993</v>
      </c>
      <c r="T45" s="464">
        <f t="shared" si="3"/>
        <v>1.6590909090909088E-4</v>
      </c>
      <c r="U45" s="457"/>
    </row>
    <row r="46" spans="1:21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v>7351440.8700000001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7351440.8700000001</v>
      </c>
      <c r="T46" s="465">
        <f t="shared" si="3"/>
        <v>0.13853913896426956</v>
      </c>
      <c r="U46" s="481"/>
    </row>
    <row r="47" spans="1:21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v>16016474.34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16016474.34</v>
      </c>
      <c r="T47" s="465">
        <f t="shared" si="3"/>
        <v>0.3018331512890095</v>
      </c>
      <c r="U47" s="481"/>
    </row>
    <row r="48" spans="1:21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4">
        <f t="shared" si="3"/>
        <v>0</v>
      </c>
      <c r="U48" s="481"/>
    </row>
    <row r="49" spans="1:21" s="361" customFormat="1">
      <c r="A49" s="360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v>265800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265800</v>
      </c>
      <c r="T49" s="464">
        <f t="shared" si="3"/>
        <v>5.0090456806874718E-3</v>
      </c>
      <c r="U49" s="481"/>
    </row>
    <row r="50" spans="1:21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0</v>
      </c>
      <c r="T50" s="464">
        <f t="shared" si="3"/>
        <v>0</v>
      </c>
      <c r="U50" s="481"/>
    </row>
    <row r="51" spans="1:21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458">
        <v>17530850.219999999</v>
      </c>
      <c r="H51" s="458">
        <v>0</v>
      </c>
      <c r="I51" s="458">
        <v>0</v>
      </c>
      <c r="J51" s="458">
        <v>0</v>
      </c>
      <c r="K51" s="458">
        <v>0</v>
      </c>
      <c r="L51" s="458">
        <v>0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17530850.219999999</v>
      </c>
      <c r="T51" s="468">
        <f t="shared" si="3"/>
        <v>0.33037181931252824</v>
      </c>
      <c r="U51" s="481"/>
    </row>
    <row r="52" spans="1:21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-27721128.980000004</v>
      </c>
      <c r="H53" s="151">
        <f t="shared" si="9"/>
        <v>0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-27721128.980000004</v>
      </c>
      <c r="T53" s="470">
        <f t="shared" si="3"/>
        <v>-0.52240933551937296</v>
      </c>
    </row>
    <row r="54" spans="1:21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-23866366.730000004</v>
      </c>
      <c r="H54" s="205">
        <f t="shared" si="10"/>
        <v>0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-23866366.730000004</v>
      </c>
      <c r="T54" s="470">
        <f t="shared" si="3"/>
        <v>-0.44976569293683105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28431258.969999999</v>
      </c>
      <c r="H55" s="193">
        <f t="shared" si="11"/>
        <v>0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28431258.969999999</v>
      </c>
      <c r="T55" s="471">
        <f t="shared" si="3"/>
        <v>0.53579185455299261</v>
      </c>
    </row>
    <row r="56" spans="1:21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v>2390495.08</v>
      </c>
      <c r="H56" s="211">
        <v>0</v>
      </c>
      <c r="I56" s="211">
        <v>0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2390495.08</v>
      </c>
      <c r="T56" s="472">
        <f t="shared" si="3"/>
        <v>4.5049281622192072E-2</v>
      </c>
    </row>
    <row r="57" spans="1:21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v>26040763.890000001</v>
      </c>
      <c r="H57" s="211">
        <v>0</v>
      </c>
      <c r="I57" s="211">
        <v>0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26040763.890000001</v>
      </c>
      <c r="T57" s="472">
        <f t="shared" si="3"/>
        <v>0.49074257293080054</v>
      </c>
    </row>
    <row r="58" spans="1:21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-56152387.950000003</v>
      </c>
      <c r="H59" s="217">
        <f t="shared" ref="H59:R59" si="12">+H53-H55-H58</f>
        <v>0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-56152387.950000003</v>
      </c>
      <c r="T59" s="474">
        <f t="shared" si="3"/>
        <v>-1.0582011900723653</v>
      </c>
    </row>
    <row r="60" spans="1:21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56152387.950000003</v>
      </c>
      <c r="H60" s="151">
        <f t="shared" ref="H60:R60" si="13">+SUM(H61:H64)</f>
        <v>0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56152387.950000003</v>
      </c>
      <c r="T60" s="475">
        <f t="shared" si="3"/>
        <v>1.0582011900723653</v>
      </c>
    </row>
    <row r="61" spans="1:21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v>12789994.92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12789994.92</v>
      </c>
      <c r="T62" s="472">
        <f t="shared" si="3"/>
        <v>0.24102960425146994</v>
      </c>
    </row>
    <row r="63" spans="1:21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v>693159.59</v>
      </c>
      <c r="H63" s="211">
        <v>0</v>
      </c>
      <c r="I63" s="211">
        <v>0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693159.59</v>
      </c>
      <c r="T63" s="472">
        <f t="shared" si="3"/>
        <v>1.3062708992914217E-2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42669233.440000005</v>
      </c>
      <c r="H64" s="225">
        <f t="shared" ref="H64:R64" si="14">-H59-SUM(H61:H63)</f>
        <v>0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42669233.440000005</v>
      </c>
      <c r="T64" s="476">
        <f t="shared" si="3"/>
        <v>0.80410887682798149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84" t="str">
        <f>+Master!G252</f>
        <v>Planned Budget Execution</v>
      </c>
      <c r="C81" s="585"/>
      <c r="D81" s="585"/>
      <c r="E81" s="585"/>
      <c r="F81" s="585"/>
      <c r="G81" s="592">
        <v>2022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GDP</v>
      </c>
      <c r="T81" s="108">
        <v>5306400000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38" si="17">+CONCATENATE(A10,"p")</f>
        <v>7p</v>
      </c>
      <c r="B84" s="580" t="str">
        <f>+VLOOKUP(LEFT($A84,LEN(A84)-1)*1,Master!$D$29:$G$225,4,FALSE)</f>
        <v>Total Revenues</v>
      </c>
      <c r="C84" s="581"/>
      <c r="D84" s="581"/>
      <c r="E84" s="581"/>
      <c r="F84" s="581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Taxes</v>
      </c>
      <c r="C85" s="583"/>
      <c r="D85" s="583"/>
      <c r="E85" s="583"/>
      <c r="F85" s="583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Personal Income Tax</v>
      </c>
      <c r="C86" s="571"/>
      <c r="D86" s="571"/>
      <c r="E86" s="571"/>
      <c r="F86" s="571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0" t="str">
        <f>+VLOOKUP(LEFT($A87,LEN(A87)-1)*1,Master!$D$29:$G$228,4,FALSE)</f>
        <v>Corporate Income Tax</v>
      </c>
      <c r="C87" s="571"/>
      <c r="D87" s="571"/>
      <c r="E87" s="571"/>
      <c r="F87" s="571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0" t="str">
        <f>+VLOOKUP(LEFT($A88,LEN(A88)-1)*1,Master!$D$29:$G$228,4,FALSE)</f>
        <v xml:space="preserve">Taxes on Sales of Property </v>
      </c>
      <c r="C88" s="571"/>
      <c r="D88" s="571"/>
      <c r="E88" s="571"/>
      <c r="F88" s="571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Value Added Tax</v>
      </c>
      <c r="C89" s="571"/>
      <c r="D89" s="571"/>
      <c r="E89" s="571"/>
      <c r="F89" s="571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0" t="str">
        <f>+VLOOKUP(LEFT($A90,LEN(A90)-1)*1,Master!$D$29:$G$228,4,FALSE)</f>
        <v>Excises</v>
      </c>
      <c r="C90" s="571"/>
      <c r="D90" s="571"/>
      <c r="E90" s="571"/>
      <c r="F90" s="571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0" t="str">
        <f>+VLOOKUP(LEFT($A91,LEN(A91)-1)*1,Master!$D$29:$G$228,4,FALSE)</f>
        <v>Tax on International Trade and Transactions</v>
      </c>
      <c r="C91" s="571"/>
      <c r="D91" s="571"/>
      <c r="E91" s="571"/>
      <c r="F91" s="571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0" t="str">
        <f>+VLOOKUP(LEFT($A92,LEN(A92)-1)*1,Master!$D$29:$G$228,4,FALSE)</f>
        <v>Other Republic Taxes</v>
      </c>
      <c r="C92" s="571"/>
      <c r="D92" s="571"/>
      <c r="E92" s="571"/>
      <c r="F92" s="571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78" t="str">
        <f>+VLOOKUP(LEFT($A93,LEN(A93)-1)*1,Master!$D$29:$G$228,4,FALSE)</f>
        <v>Contributions</v>
      </c>
      <c r="C93" s="579"/>
      <c r="D93" s="579"/>
      <c r="E93" s="579"/>
      <c r="F93" s="579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0" t="str">
        <f>+VLOOKUP(LEFT($A94,LEN(A94)-1)*1,Master!$D$29:$G$228,4,FALSE)</f>
        <v>Contributions for Pension and Disability Insurance</v>
      </c>
      <c r="C94" s="571"/>
      <c r="D94" s="571"/>
      <c r="E94" s="571"/>
      <c r="F94" s="571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0" t="str">
        <f>+VLOOKUP(LEFT($A95,LEN(A95)-1)*1,Master!$D$29:$G$228,4,FALSE)</f>
        <v>Contributions for Health Insurance</v>
      </c>
      <c r="C95" s="571"/>
      <c r="D95" s="571"/>
      <c r="E95" s="571"/>
      <c r="F95" s="571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0" t="str">
        <f>+VLOOKUP(LEFT($A96,LEN(A96)-1)*1,Master!$D$29:$G$228,4,FALSE)</f>
        <v>Contributions for  Unemployment Insurance</v>
      </c>
      <c r="C96" s="571"/>
      <c r="D96" s="571"/>
      <c r="E96" s="571"/>
      <c r="F96" s="571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0" t="str">
        <f>+VLOOKUP(LEFT($A97,LEN(A97)-1)*1,Master!$D$29:$G$228,4,FALSE)</f>
        <v>Other contributions</v>
      </c>
      <c r="C97" s="571"/>
      <c r="D97" s="571"/>
      <c r="E97" s="571"/>
      <c r="F97" s="571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76" t="str">
        <f>+VLOOKUP(LEFT($A98,LEN(A98)-1)*1,Master!$D$29:$G$228,4,FALSE)</f>
        <v>Duties</v>
      </c>
      <c r="C98" s="577"/>
      <c r="D98" s="577"/>
      <c r="E98" s="577"/>
      <c r="F98" s="577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76" t="str">
        <f>+VLOOKUP(LEFT($A99,LEN(A99)-1)*1,Master!$D$29:$G$228,4,FALSE)</f>
        <v>Fees</v>
      </c>
      <c r="C99" s="577"/>
      <c r="D99" s="577"/>
      <c r="E99" s="577"/>
      <c r="F99" s="577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Other revenues</v>
      </c>
      <c r="C100" s="577"/>
      <c r="D100" s="577"/>
      <c r="E100" s="577"/>
      <c r="F100" s="577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Receipts from Repayment of Loans and Funds Carried over from Previous Year</v>
      </c>
      <c r="C101" s="577"/>
      <c r="D101" s="577"/>
      <c r="E101" s="577"/>
      <c r="F101" s="577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Grants and Transfers</v>
      </c>
      <c r="C102" s="573"/>
      <c r="D102" s="573"/>
      <c r="E102" s="573"/>
      <c r="F102" s="573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Total Expenditures</v>
      </c>
      <c r="C103" s="555"/>
      <c r="D103" s="555"/>
      <c r="E103" s="555"/>
      <c r="F103" s="555"/>
      <c r="G103" s="93">
        <f t="shared" ref="G103:R103" si="23">+G104+G114+G120+SUM(G121:G125)</f>
        <v>177831446.59654763</v>
      </c>
      <c r="H103" s="93">
        <f t="shared" si="23"/>
        <v>159637648.93654764</v>
      </c>
      <c r="I103" s="93">
        <f t="shared" si="23"/>
        <v>165757927.57454765</v>
      </c>
      <c r="J103" s="93">
        <f t="shared" si="23"/>
        <v>181656276.27454761</v>
      </c>
      <c r="K103" s="93">
        <f t="shared" si="23"/>
        <v>176553533.49454764</v>
      </c>
      <c r="L103" s="93">
        <f t="shared" si="23"/>
        <v>176451567.45454761</v>
      </c>
      <c r="M103" s="93">
        <f t="shared" si="23"/>
        <v>175218266.98454764</v>
      </c>
      <c r="N103" s="93">
        <f t="shared" si="23"/>
        <v>168803890.89883336</v>
      </c>
      <c r="O103" s="93">
        <f t="shared" si="23"/>
        <v>183880560.57883337</v>
      </c>
      <c r="P103" s="93">
        <f t="shared" si="23"/>
        <v>204140909.79883331</v>
      </c>
      <c r="Q103" s="93">
        <f t="shared" si="23"/>
        <v>199230681.58883333</v>
      </c>
      <c r="R103" s="9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Current Expenditures</v>
      </c>
      <c r="C104" s="575"/>
      <c r="D104" s="575"/>
      <c r="E104" s="575"/>
      <c r="F104" s="575"/>
      <c r="G104" s="85">
        <f t="shared" ref="G104:R104" si="24">+SUM(G105:G113)</f>
        <v>62550652.746666655</v>
      </c>
      <c r="H104" s="85">
        <f t="shared" si="24"/>
        <v>64156007.386666663</v>
      </c>
      <c r="I104" s="85">
        <f t="shared" si="24"/>
        <v>63034205.774666667</v>
      </c>
      <c r="J104" s="85">
        <f t="shared" si="24"/>
        <v>84860701.324666679</v>
      </c>
      <c r="K104" s="85">
        <f t="shared" si="24"/>
        <v>68218729.554666668</v>
      </c>
      <c r="L104" s="85">
        <f t="shared" si="24"/>
        <v>67573285.934666663</v>
      </c>
      <c r="M104" s="85">
        <f t="shared" si="24"/>
        <v>77752915.334666669</v>
      </c>
      <c r="N104" s="85">
        <f t="shared" si="24"/>
        <v>64588135.274666667</v>
      </c>
      <c r="O104" s="85">
        <f t="shared" si="24"/>
        <v>73749748.834666669</v>
      </c>
      <c r="P104" s="85">
        <f t="shared" si="24"/>
        <v>94904927.814666644</v>
      </c>
      <c r="Q104" s="85">
        <f t="shared" si="24"/>
        <v>86693469.254666656</v>
      </c>
      <c r="R104" s="86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Gross Salaries and Contributions</v>
      </c>
      <c r="C105" s="571"/>
      <c r="D105" s="571"/>
      <c r="E105" s="571"/>
      <c r="F105" s="571"/>
      <c r="G105" s="87">
        <v>42116720.066666663</v>
      </c>
      <c r="H105" s="87">
        <v>45499255.106666669</v>
      </c>
      <c r="I105" s="87">
        <v>45488297.416666664</v>
      </c>
      <c r="J105" s="87">
        <v>45488827.916666664</v>
      </c>
      <c r="K105" s="87">
        <v>45489920.406666666</v>
      </c>
      <c r="L105" s="87">
        <v>45490305.276666664</v>
      </c>
      <c r="M105" s="87">
        <v>45491132.876666665</v>
      </c>
      <c r="N105" s="87">
        <v>45491395.996666662</v>
      </c>
      <c r="O105" s="87">
        <v>45493143.776666671</v>
      </c>
      <c r="P105" s="87">
        <v>45484722.336666659</v>
      </c>
      <c r="Q105" s="87">
        <v>45482593.13666667</v>
      </c>
      <c r="R105" s="87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Other Personal Income</v>
      </c>
      <c r="C106" s="571"/>
      <c r="D106" s="571"/>
      <c r="E106" s="571"/>
      <c r="F106" s="571"/>
      <c r="G106" s="87">
        <v>1113156.94</v>
      </c>
      <c r="H106" s="87">
        <v>1189148.69</v>
      </c>
      <c r="I106" s="87">
        <v>1150630.3799999999</v>
      </c>
      <c r="J106" s="87">
        <v>1115859.3500000001</v>
      </c>
      <c r="K106" s="87">
        <v>1113157.98</v>
      </c>
      <c r="L106" s="87">
        <v>1112991.68</v>
      </c>
      <c r="M106" s="87">
        <v>1113353.42</v>
      </c>
      <c r="N106" s="87">
        <v>1112760.3500000001</v>
      </c>
      <c r="O106" s="87">
        <v>1144213.94</v>
      </c>
      <c r="P106" s="87">
        <v>1112009.69</v>
      </c>
      <c r="Q106" s="87">
        <v>1111152.95</v>
      </c>
      <c r="R106" s="87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Expenditures for Supplies</v>
      </c>
      <c r="C107" s="571"/>
      <c r="D107" s="571"/>
      <c r="E107" s="571"/>
      <c r="F107" s="571"/>
      <c r="G107" s="87">
        <v>2009465.7299999995</v>
      </c>
      <c r="H107" s="87">
        <v>2874795.7299999991</v>
      </c>
      <c r="I107" s="87">
        <v>1986301.3299999996</v>
      </c>
      <c r="J107" s="87">
        <v>1956746.52</v>
      </c>
      <c r="K107" s="87">
        <v>1959377.06</v>
      </c>
      <c r="L107" s="87">
        <v>1959339.96</v>
      </c>
      <c r="M107" s="87">
        <v>4223114</v>
      </c>
      <c r="N107" s="87">
        <v>2325347.7000000002</v>
      </c>
      <c r="O107" s="87">
        <v>4227180.45</v>
      </c>
      <c r="P107" s="87">
        <v>5830846.0499999989</v>
      </c>
      <c r="Q107" s="87">
        <v>5816682.6699999999</v>
      </c>
      <c r="R107" s="87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Expenditures for Services</v>
      </c>
      <c r="C108" s="571"/>
      <c r="D108" s="571"/>
      <c r="E108" s="571"/>
      <c r="F108" s="571"/>
      <c r="G108" s="87">
        <v>3521944.0499999989</v>
      </c>
      <c r="H108" s="87">
        <v>3202572.2000000016</v>
      </c>
      <c r="I108" s="87">
        <v>3202153.21</v>
      </c>
      <c r="J108" s="87">
        <v>3981055.8700000015</v>
      </c>
      <c r="K108" s="87">
        <v>3966204.5600000015</v>
      </c>
      <c r="L108" s="87">
        <v>4355673.6900000004</v>
      </c>
      <c r="M108" s="87">
        <v>7092836.1399999987</v>
      </c>
      <c r="N108" s="87">
        <v>4331849.03</v>
      </c>
      <c r="O108" s="87">
        <v>6165776.4499999974</v>
      </c>
      <c r="P108" s="87">
        <v>7804737.9599999953</v>
      </c>
      <c r="Q108" s="87">
        <v>7600289.8199999947</v>
      </c>
      <c r="R108" s="87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Current Maintenance</v>
      </c>
      <c r="C109" s="571"/>
      <c r="D109" s="571"/>
      <c r="E109" s="571"/>
      <c r="F109" s="571"/>
      <c r="G109" s="87">
        <v>1482084.5400000005</v>
      </c>
      <c r="H109" s="87">
        <v>1461485.3000000003</v>
      </c>
      <c r="I109" s="87">
        <v>1646265.1700000002</v>
      </c>
      <c r="J109" s="87">
        <v>1750230.6700000004</v>
      </c>
      <c r="K109" s="87">
        <v>1756101.9100000004</v>
      </c>
      <c r="L109" s="87">
        <v>1756101.9100000004</v>
      </c>
      <c r="M109" s="87">
        <v>2627886.0200000009</v>
      </c>
      <c r="N109" s="87">
        <v>1747230.6700000004</v>
      </c>
      <c r="O109" s="87">
        <v>2627886.0200000009</v>
      </c>
      <c r="P109" s="87">
        <v>3499649.6000000006</v>
      </c>
      <c r="Q109" s="87">
        <v>3488586.12</v>
      </c>
      <c r="R109" s="87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Interests</v>
      </c>
      <c r="C110" s="571"/>
      <c r="D110" s="571"/>
      <c r="E110" s="571"/>
      <c r="F110" s="571"/>
      <c r="G110" s="87">
        <v>4229041.6800000006</v>
      </c>
      <c r="H110" s="87">
        <v>1039259.3500000003</v>
      </c>
      <c r="I110" s="87">
        <v>1331158.92</v>
      </c>
      <c r="J110" s="87">
        <v>22646995.380000003</v>
      </c>
      <c r="K110" s="87">
        <v>6067854.2499999991</v>
      </c>
      <c r="L110" s="87">
        <v>5081336.79</v>
      </c>
      <c r="M110" s="87">
        <v>4060077.8100000005</v>
      </c>
      <c r="N110" s="87">
        <v>1150681.1799999997</v>
      </c>
      <c r="O110" s="87">
        <v>1101986.1700000002</v>
      </c>
      <c r="P110" s="87">
        <v>13628170.610000001</v>
      </c>
      <c r="Q110" s="87">
        <v>5965119.169999999</v>
      </c>
      <c r="R110" s="87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</v>
      </c>
      <c r="C111" s="571"/>
      <c r="D111" s="571"/>
      <c r="E111" s="571"/>
      <c r="F111" s="571"/>
      <c r="G111" s="87">
        <v>1114759.2699999998</v>
      </c>
      <c r="H111" s="87">
        <v>962655.17999999982</v>
      </c>
      <c r="I111" s="87">
        <v>962640.17999999982</v>
      </c>
      <c r="J111" s="87">
        <v>962640.17999999982</v>
      </c>
      <c r="K111" s="87">
        <v>962625.18999999983</v>
      </c>
      <c r="L111" s="87">
        <v>962625.17999999982</v>
      </c>
      <c r="M111" s="87">
        <v>962625.18999999983</v>
      </c>
      <c r="N111" s="87">
        <v>962625.17999999982</v>
      </c>
      <c r="O111" s="87">
        <v>962625.17999999982</v>
      </c>
      <c r="P111" s="87">
        <v>961836.57999999984</v>
      </c>
      <c r="Q111" s="87">
        <v>789373.07</v>
      </c>
      <c r="R111" s="87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Subsidies</v>
      </c>
      <c r="C112" s="571"/>
      <c r="D112" s="571"/>
      <c r="E112" s="571"/>
      <c r="F112" s="571"/>
      <c r="G112" s="87">
        <v>3647138.83</v>
      </c>
      <c r="H112" s="87">
        <v>3917138.83</v>
      </c>
      <c r="I112" s="87">
        <v>3632138.83</v>
      </c>
      <c r="J112" s="87">
        <v>3632138.83</v>
      </c>
      <c r="K112" s="87">
        <v>3444638.83</v>
      </c>
      <c r="L112" s="87">
        <v>3444638.83</v>
      </c>
      <c r="M112" s="87">
        <v>6055944.3200000003</v>
      </c>
      <c r="N112" s="87">
        <v>3444638.83</v>
      </c>
      <c r="O112" s="87">
        <v>6055944.3200000003</v>
      </c>
      <c r="P112" s="87">
        <v>8667249.7999999989</v>
      </c>
      <c r="Q112" s="87">
        <v>8667249.7999999989</v>
      </c>
      <c r="R112" s="87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Other expenditures</v>
      </c>
      <c r="C113" s="571"/>
      <c r="D113" s="571"/>
      <c r="E113" s="571"/>
      <c r="F113" s="571"/>
      <c r="G113" s="87">
        <v>3316341.6399999992</v>
      </c>
      <c r="H113" s="87">
        <v>4009697</v>
      </c>
      <c r="I113" s="87">
        <v>3634620.3380000009</v>
      </c>
      <c r="J113" s="87">
        <v>3326206.6079999981</v>
      </c>
      <c r="K113" s="87">
        <v>3458849.3679999984</v>
      </c>
      <c r="L113" s="87">
        <v>3410272.6179999989</v>
      </c>
      <c r="M113" s="87">
        <v>6125945.5580000011</v>
      </c>
      <c r="N113" s="87">
        <v>4021606.3380000009</v>
      </c>
      <c r="O113" s="87">
        <v>5970992.5280000009</v>
      </c>
      <c r="P113" s="87">
        <v>7915705.1879999992</v>
      </c>
      <c r="Q113" s="87">
        <v>7772422.5180000002</v>
      </c>
      <c r="R113" s="87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Social Security Transfers</v>
      </c>
      <c r="C114" s="567"/>
      <c r="D114" s="567"/>
      <c r="E114" s="567"/>
      <c r="F114" s="567"/>
      <c r="G114" s="84">
        <f t="shared" ref="G114:R114" si="25">+SUM(G115:G119)</f>
        <v>51655501.199880958</v>
      </c>
      <c r="H114" s="84">
        <f t="shared" si="25"/>
        <v>50843848.149880961</v>
      </c>
      <c r="I114" s="84">
        <f t="shared" si="25"/>
        <v>52476514.839880966</v>
      </c>
      <c r="J114" s="84">
        <f t="shared" si="25"/>
        <v>51481848.149880961</v>
      </c>
      <c r="K114" s="84">
        <f t="shared" si="25"/>
        <v>55008848.149880961</v>
      </c>
      <c r="L114" s="84">
        <f t="shared" si="25"/>
        <v>55102848.149880961</v>
      </c>
      <c r="M114" s="84">
        <f t="shared" si="25"/>
        <v>54796848.149880961</v>
      </c>
      <c r="N114" s="84">
        <f t="shared" si="25"/>
        <v>55319453.584166676</v>
      </c>
      <c r="O114" s="84">
        <f t="shared" si="25"/>
        <v>54859133.86416667</v>
      </c>
      <c r="P114" s="84">
        <f t="shared" si="25"/>
        <v>55191133.86416667</v>
      </c>
      <c r="Q114" s="84">
        <f t="shared" si="25"/>
        <v>56919133.86416667</v>
      </c>
      <c r="R114" s="84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Social Security</v>
      </c>
      <c r="C115" s="571"/>
      <c r="D115" s="571"/>
      <c r="E115" s="571"/>
      <c r="F115" s="571"/>
      <c r="G115" s="87">
        <v>9199047.6323809531</v>
      </c>
      <c r="H115" s="87">
        <v>9199047.6323809531</v>
      </c>
      <c r="I115" s="87">
        <v>9199047.6323809531</v>
      </c>
      <c r="J115" s="87">
        <v>9199047.6323809531</v>
      </c>
      <c r="K115" s="87">
        <v>12324047.632380953</v>
      </c>
      <c r="L115" s="87">
        <v>12324047.632380953</v>
      </c>
      <c r="M115" s="87">
        <v>12324047.632380953</v>
      </c>
      <c r="N115" s="87">
        <v>11938333.346666668</v>
      </c>
      <c r="O115" s="87">
        <v>11938333.346666668</v>
      </c>
      <c r="P115" s="87">
        <v>11938333.346666668</v>
      </c>
      <c r="Q115" s="87">
        <v>14138333.346666666</v>
      </c>
      <c r="R115" s="87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0" t="str">
        <f>+VLOOKUP(LEFT($A116,LEN(A116)-1)*1,Master!$D$29:$G$228,4,FALSE)</f>
        <v>Funds for redundant labor</v>
      </c>
      <c r="C116" s="571"/>
      <c r="D116" s="571"/>
      <c r="E116" s="571"/>
      <c r="F116" s="571"/>
      <c r="G116" s="87">
        <v>2893986.39</v>
      </c>
      <c r="H116" s="87">
        <v>2291666.67</v>
      </c>
      <c r="I116" s="87">
        <v>2291666.67</v>
      </c>
      <c r="J116" s="87">
        <v>2291666.67</v>
      </c>
      <c r="K116" s="87">
        <v>2291666.67</v>
      </c>
      <c r="L116" s="87">
        <v>2291666.67</v>
      </c>
      <c r="M116" s="87">
        <v>2291666.67</v>
      </c>
      <c r="N116" s="87">
        <v>2893986.39</v>
      </c>
      <c r="O116" s="87">
        <v>2291666.67</v>
      </c>
      <c r="P116" s="87">
        <v>2291666.67</v>
      </c>
      <c r="Q116" s="87">
        <v>2291666.67</v>
      </c>
      <c r="R116" s="87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0" t="str">
        <f>+VLOOKUP(LEFT($A117,LEN(A117)-1)*1,Master!$D$29:$G$228,4,FALSE)</f>
        <v>Pension and Disability Insurance</v>
      </c>
      <c r="C117" s="571"/>
      <c r="D117" s="571"/>
      <c r="E117" s="571"/>
      <c r="F117" s="571"/>
      <c r="G117" s="87">
        <v>38029133.847500004</v>
      </c>
      <c r="H117" s="87">
        <v>38029133.847500004</v>
      </c>
      <c r="I117" s="87">
        <v>38029133.847500004</v>
      </c>
      <c r="J117" s="87">
        <v>38029133.847500004</v>
      </c>
      <c r="K117" s="87">
        <v>38029133.847500004</v>
      </c>
      <c r="L117" s="87">
        <v>38029133.847500004</v>
      </c>
      <c r="M117" s="87">
        <v>38029133.847500004</v>
      </c>
      <c r="N117" s="87">
        <v>38029133.847500004</v>
      </c>
      <c r="O117" s="87">
        <v>38029133.847500004</v>
      </c>
      <c r="P117" s="87">
        <v>38929133.847500004</v>
      </c>
      <c r="Q117" s="87">
        <v>38929133.847500004</v>
      </c>
      <c r="R117" s="87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0" t="str">
        <f>+VLOOKUP(LEFT($A118,LEN(A118)-1)*1,Master!$D$29:$G$228,4,FALSE)</f>
        <v>Other Health Care Transfers</v>
      </c>
      <c r="C118" s="571"/>
      <c r="D118" s="571"/>
      <c r="E118" s="571"/>
      <c r="F118" s="571"/>
      <c r="G118" s="87">
        <v>943333.33</v>
      </c>
      <c r="H118" s="87">
        <v>852000</v>
      </c>
      <c r="I118" s="87">
        <v>1186666.67</v>
      </c>
      <c r="J118" s="87">
        <v>1136000</v>
      </c>
      <c r="K118" s="87">
        <v>1420000</v>
      </c>
      <c r="L118" s="87">
        <v>1278000</v>
      </c>
      <c r="M118" s="87">
        <v>1562000</v>
      </c>
      <c r="N118" s="87">
        <v>1278000</v>
      </c>
      <c r="O118" s="87">
        <v>1420000</v>
      </c>
      <c r="P118" s="87">
        <v>852000</v>
      </c>
      <c r="Q118" s="87">
        <v>852000</v>
      </c>
      <c r="R118" s="87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0" t="str">
        <f>+VLOOKUP(LEFT($A119,LEN(A119)-1)*1,Master!$D$29:$G$228,4,FALSE)</f>
        <v>Other Health Care Insurance</v>
      </c>
      <c r="C119" s="571"/>
      <c r="D119" s="571"/>
      <c r="E119" s="571"/>
      <c r="F119" s="571"/>
      <c r="G119" s="87">
        <v>590000</v>
      </c>
      <c r="H119" s="87">
        <v>472000</v>
      </c>
      <c r="I119" s="87">
        <v>1770000.02</v>
      </c>
      <c r="J119" s="87">
        <v>826000</v>
      </c>
      <c r="K119" s="87">
        <v>944000</v>
      </c>
      <c r="L119" s="87">
        <v>1180000</v>
      </c>
      <c r="M119" s="87">
        <v>590000</v>
      </c>
      <c r="N119" s="87">
        <v>1180000</v>
      </c>
      <c r="O119" s="87">
        <v>1180000</v>
      </c>
      <c r="P119" s="87">
        <v>1180000</v>
      </c>
      <c r="Q119" s="87">
        <v>708000</v>
      </c>
      <c r="R119" s="87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68" t="str">
        <f>+VLOOKUP(LEFT($A120,LEN(A120)-1)*1,Master!$D$29:$G$228,4,FALSE)</f>
        <v xml:space="preserve">Transfers to Institutions, Individuals, NGO and Public Sector </v>
      </c>
      <c r="C120" s="569"/>
      <c r="D120" s="569"/>
      <c r="E120" s="569"/>
      <c r="F120" s="569"/>
      <c r="G120" s="83">
        <v>22444871.560000002</v>
      </c>
      <c r="H120" s="83">
        <v>23941685.57</v>
      </c>
      <c r="I120" s="83">
        <v>26995988.960000001</v>
      </c>
      <c r="J120" s="83">
        <v>20625695.450000003</v>
      </c>
      <c r="K120" s="83">
        <v>20912992.140000004</v>
      </c>
      <c r="L120" s="83">
        <v>21015003.09</v>
      </c>
      <c r="M120" s="83">
        <v>20912172.160000004</v>
      </c>
      <c r="N120" s="83">
        <v>22653446.830000002</v>
      </c>
      <c r="O120" s="83">
        <v>24411188.830000002</v>
      </c>
      <c r="P120" s="83">
        <v>21012710.830000002</v>
      </c>
      <c r="Q120" s="83">
        <v>20910855.890000001</v>
      </c>
      <c r="R120" s="83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68" t="str">
        <f>+VLOOKUP(LEFT($A121,LEN(A121)-1)*1,Master!$D$29:$G$228,4,FALSE)</f>
        <v>Capital Expenditure</v>
      </c>
      <c r="C121" s="569"/>
      <c r="D121" s="569"/>
      <c r="E121" s="569"/>
      <c r="F121" s="569"/>
      <c r="G121" s="83">
        <v>19668608.670000002</v>
      </c>
      <c r="H121" s="83">
        <v>15424249.750000004</v>
      </c>
      <c r="I121" s="83">
        <v>18221026.579999998</v>
      </c>
      <c r="J121" s="83">
        <v>19416173.270000003</v>
      </c>
      <c r="K121" s="83">
        <v>27382772.230000004</v>
      </c>
      <c r="L121" s="83">
        <v>27488572.200000007</v>
      </c>
      <c r="M121" s="83">
        <v>20098257.600000001</v>
      </c>
      <c r="N121" s="83">
        <v>17598879.450000007</v>
      </c>
      <c r="O121" s="83">
        <v>22458179.949999999</v>
      </c>
      <c r="P121" s="83">
        <v>24388161.529999994</v>
      </c>
      <c r="Q121" s="83">
        <v>22932795.809999995</v>
      </c>
      <c r="R121" s="83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0" t="str">
        <f>+VLOOKUP(LEFT($A122,LEN(A122)-1)*1,Master!$D$29:$G$228,4,FALSE)</f>
        <v>Credits and Borrowings</v>
      </c>
      <c r="C122" s="561"/>
      <c r="D122" s="561"/>
      <c r="E122" s="561"/>
      <c r="F122" s="561"/>
      <c r="G122" s="87">
        <v>2000.08</v>
      </c>
      <c r="H122" s="87">
        <v>243666.74</v>
      </c>
      <c r="I122" s="87">
        <v>2000.08</v>
      </c>
      <c r="J122" s="87">
        <v>243666.74</v>
      </c>
      <c r="K122" s="87">
        <v>2000.08</v>
      </c>
      <c r="L122" s="87">
        <v>243666.74</v>
      </c>
      <c r="M122" s="87">
        <v>2000.08</v>
      </c>
      <c r="N122" s="87">
        <v>243666.74</v>
      </c>
      <c r="O122" s="87">
        <v>2000.08</v>
      </c>
      <c r="P122" s="87">
        <v>243666.74</v>
      </c>
      <c r="Q122" s="87">
        <v>2000.08</v>
      </c>
      <c r="R122" s="87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0" t="str">
        <f>+VLOOKUP(LEFT($A123,LEN(A123)-1)*1,Master!$D$29:$G$228,4,FALSE)</f>
        <v>Reserves</v>
      </c>
      <c r="C123" s="561"/>
      <c r="D123" s="561"/>
      <c r="E123" s="561"/>
      <c r="F123" s="561"/>
      <c r="G123" s="87">
        <v>3372117.68</v>
      </c>
      <c r="H123" s="87">
        <v>3372117.68</v>
      </c>
      <c r="I123" s="87">
        <v>3372117.68</v>
      </c>
      <c r="J123" s="87">
        <v>3372117.68</v>
      </c>
      <c r="K123" s="87">
        <v>3372117.68</v>
      </c>
      <c r="L123" s="87">
        <v>3372117.68</v>
      </c>
      <c r="M123" s="87">
        <v>0</v>
      </c>
      <c r="N123" s="87">
        <v>6744235.3600000003</v>
      </c>
      <c r="O123" s="87">
        <v>6744235.3600000003</v>
      </c>
      <c r="P123" s="87">
        <v>6744235.3600000003</v>
      </c>
      <c r="Q123" s="87">
        <v>10116353.029999999</v>
      </c>
      <c r="R123" s="87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0" t="str">
        <f>+VLOOKUP(LEFT($A124,LEN(A124)-1)*1,Master!$D$29:$G$228,4,FALSE)</f>
        <v>Repayment of Guarantees</v>
      </c>
      <c r="C124" s="561"/>
      <c r="D124" s="561"/>
      <c r="E124" s="561"/>
      <c r="F124" s="561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0" t="str">
        <f>+VLOOKUP(LEFT($A125,LEN(A125)-1)*1,Master!$D$29:$G$228,4,FALSE)</f>
        <v>Repayments of liabilities form the previous period</v>
      </c>
      <c r="C125" s="561"/>
      <c r="D125" s="561"/>
      <c r="E125" s="561"/>
      <c r="F125" s="561"/>
      <c r="G125" s="87">
        <v>18137694.66</v>
      </c>
      <c r="H125" s="87">
        <v>1656073.6600000036</v>
      </c>
      <c r="I125" s="87">
        <v>1656073.6600000036</v>
      </c>
      <c r="J125" s="87">
        <v>1656073.6600000036</v>
      </c>
      <c r="K125" s="87">
        <v>1656073.6600000036</v>
      </c>
      <c r="L125" s="87">
        <v>1656073.6600000036</v>
      </c>
      <c r="M125" s="87">
        <v>1656073.6600000036</v>
      </c>
      <c r="N125" s="87">
        <v>1656073.6600000036</v>
      </c>
      <c r="O125" s="87">
        <v>1656073.6600000036</v>
      </c>
      <c r="P125" s="87">
        <v>1656073.6600000036</v>
      </c>
      <c r="Q125" s="87">
        <v>1656073.6600000036</v>
      </c>
      <c r="R125" s="87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0" t="str">
        <f>+VLOOKUP(LEFT($A126,LEN(A126)-1)*1,Master!$D$29:$G$228,4,FALSE)</f>
        <v>Net increase of liabilities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62" t="str">
        <f>+VLOOKUP(LEFT($A127,LEN(A127)-1)*1,Master!$D$29:$G$225,4,FALSE)</f>
        <v>Surplus / deficit</v>
      </c>
      <c r="C127" s="563"/>
      <c r="D127" s="563"/>
      <c r="E127" s="563"/>
      <c r="F127" s="563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64" t="str">
        <f>+VLOOKUP(LEFT($A128,LEN(A128)-1)*1,Master!$D$29:$G$225,4,FALSE)</f>
        <v>Primary surplus/deficit</v>
      </c>
      <c r="C128" s="565"/>
      <c r="D128" s="565"/>
      <c r="E128" s="565"/>
      <c r="F128" s="565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66" t="str">
        <f>+VLOOKUP(LEFT($A129,LEN(A129)-1)*1,Master!$D$29:$G$225,4,FALSE)</f>
        <v>Repayment of Debt</v>
      </c>
      <c r="C129" s="567"/>
      <c r="D129" s="567"/>
      <c r="E129" s="567"/>
      <c r="F129" s="567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58" t="str">
        <f>+VLOOKUP(LEFT($A130,LEN(A130)-1)*1,Master!$D$29:$G$225,4,FALSE)</f>
        <v>Repayment of Domestic Debt</v>
      </c>
      <c r="C130" s="559"/>
      <c r="D130" s="559"/>
      <c r="E130" s="559"/>
      <c r="F130" s="559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0" t="str">
        <f>+VLOOKUP(LEFT($A131,LEN(A131)-1)*1,Master!$D$29:$G$225,4,FALSE)</f>
        <v>Repayment of Foreign Debt</v>
      </c>
      <c r="C131" s="561"/>
      <c r="D131" s="561"/>
      <c r="E131" s="561"/>
      <c r="F131" s="561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54" t="str">
        <f>+VLOOKUP(LEFT($A132,LEN(A132)-1)*1,Master!$D$29:$G$225,4,FALSE)</f>
        <v>Capital Expenditure for Securities</v>
      </c>
      <c r="C132" s="555"/>
      <c r="D132" s="555"/>
      <c r="E132" s="555"/>
      <c r="F132" s="555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56" t="str">
        <f>+VLOOKUP(LEFT($A133,LEN(A133)-1)*1,Master!$D$29:$G$225,4,FALSE)</f>
        <v>Financing needs</v>
      </c>
      <c r="C133" s="557"/>
      <c r="D133" s="557"/>
      <c r="E133" s="557"/>
      <c r="F133" s="557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54" t="str">
        <f>+VLOOKUP(LEFT($A134,LEN(A134)-1)*1,Master!$D$29:$G$225,4,FALSE)</f>
        <v>Financing</v>
      </c>
      <c r="C134" s="555"/>
      <c r="D134" s="555"/>
      <c r="E134" s="555"/>
      <c r="F134" s="555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58" t="str">
        <f>+VLOOKUP(LEFT($A135,LEN(A135)-1)*1,Master!$D$29:$G$225,4,FALSE)</f>
        <v>Domestic Loans and Borrowings</v>
      </c>
      <c r="C135" s="559"/>
      <c r="D135" s="559"/>
      <c r="E135" s="559"/>
      <c r="F135" s="559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0" t="str">
        <f>+VLOOKUP(LEFT($A136,LEN(A136)-1)*1,Master!$D$29:$G$225,4,FALSE)</f>
        <v>Foreign Loans and Borrowings</v>
      </c>
      <c r="C136" s="561"/>
      <c r="D136" s="561"/>
      <c r="E136" s="561"/>
      <c r="F136" s="561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0" t="str">
        <f>+VLOOKUP(LEFT($A137,LEN(A137)-1)*1,Master!$D$29:$G$225,4,FALSE)</f>
        <v>Revenues from Selling Assets</v>
      </c>
      <c r="C137" s="561"/>
      <c r="D137" s="561"/>
      <c r="E137" s="561"/>
      <c r="F137" s="561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HW2OFA7cL4Bs52fQX5aLCCvS26bxfBVfHPFJaHbai1VBXjLXpM4HGVQbFgS0+QkdmnXlxtGvuYwPdY3C9XrsIQ==" saltValue="yP7iB7akxnSdy+aISnbO4g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topLeftCell="E1" zoomScaleNormal="100" workbookViewId="0">
      <pane ySplit="1" topLeftCell="A25" activePane="bottomLeft" state="frozen"/>
      <selection pane="bottomLeft" activeCell="U53" sqref="U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158964981.16000003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172070640.30000001</v>
      </c>
      <c r="P10" s="151">
        <f t="shared" si="1"/>
        <v>160001779.85000002</v>
      </c>
      <c r="Q10" s="151">
        <f t="shared" si="1"/>
        <v>158602948.81999999</v>
      </c>
      <c r="R10" s="151">
        <f t="shared" si="1"/>
        <v>248253775.87</v>
      </c>
      <c r="S10" s="239">
        <f>+SUM(G10:R10)</f>
        <v>1911216753.9500003</v>
      </c>
      <c r="T10" s="462">
        <f>+S10/$T$7*100</f>
        <v>39.153847416671795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1167987.26</v>
      </c>
      <c r="S24" s="243">
        <f t="shared" si="4"/>
        <v>12604739.289999999</v>
      </c>
      <c r="T24" s="465">
        <f t="shared" si="3"/>
        <v>0.25822504845020788</v>
      </c>
      <c r="W24" s="305"/>
    </row>
    <row r="25" spans="1:23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1628728.26</v>
      </c>
      <c r="R26" s="175">
        <v>9302746.6199999992</v>
      </c>
      <c r="S26" s="243">
        <f t="shared" si="4"/>
        <v>59280250.530000001</v>
      </c>
      <c r="T26" s="465">
        <f t="shared" si="3"/>
        <v>1.2144357144613116</v>
      </c>
    </row>
    <row r="27" spans="1:23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2176968.5099999998</v>
      </c>
      <c r="S27" s="243">
        <f t="shared" si="4"/>
        <v>10017721.119999999</v>
      </c>
      <c r="T27" s="465">
        <f t="shared" si="3"/>
        <v>0.2052264994980845</v>
      </c>
    </row>
    <row r="28" spans="1:23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18563666.510000002</v>
      </c>
      <c r="S28" s="243">
        <f t="shared" si="4"/>
        <v>39868718.920000002</v>
      </c>
      <c r="T28" s="466">
        <f t="shared" si="3"/>
        <v>0.8167643644111201</v>
      </c>
    </row>
    <row r="29" spans="1:23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3011570.4100000262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-6769517.3300000131</v>
      </c>
      <c r="P53" s="151">
        <f t="shared" si="9"/>
        <v>2782962.4500000179</v>
      </c>
      <c r="Q53" s="151">
        <f t="shared" si="9"/>
        <v>-13577927.639999986</v>
      </c>
      <c r="R53" s="151">
        <f t="shared" si="9"/>
        <v>-24294476.340000033</v>
      </c>
      <c r="S53" s="248">
        <f t="shared" si="4"/>
        <v>-100359804.54000001</v>
      </c>
      <c r="T53" s="470">
        <f t="shared" si="3"/>
        <v>-2.0560056652940815</v>
      </c>
      <c r="U53" s="258">
        <f>+G53/T7*100</f>
        <v>-0.79387447872492967</v>
      </c>
    </row>
    <row r="54" spans="1:21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8301624.8400000259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7481530.4899999872</v>
      </c>
      <c r="P54" s="205">
        <f t="shared" si="10"/>
        <v>4040877.6000000178</v>
      </c>
      <c r="Q54" s="205">
        <f t="shared" si="10"/>
        <v>-7005355.1399999857</v>
      </c>
      <c r="R54" s="205">
        <f t="shared" si="10"/>
        <v>2401120.0799999684</v>
      </c>
      <c r="S54" s="248">
        <f t="shared" si="4"/>
        <v>13699097.640000023</v>
      </c>
      <c r="T54" s="470">
        <f t="shared" si="3"/>
        <v>0.28064445209268069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-12041313.189999975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-18105703.820000011</v>
      </c>
      <c r="P59" s="217">
        <f t="shared" si="12"/>
        <v>-5282104.3099999819</v>
      </c>
      <c r="Q59" s="217">
        <f t="shared" si="12"/>
        <v>-31325876.379999988</v>
      </c>
      <c r="R59" s="217">
        <f t="shared" si="12"/>
        <v>-36355587.780000031</v>
      </c>
      <c r="S59" s="251">
        <f t="shared" si="4"/>
        <v>-538463580.26999998</v>
      </c>
      <c r="T59" s="474">
        <f t="shared" si="3"/>
        <v>-11.031151133304652</v>
      </c>
    </row>
    <row r="60" spans="1:21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12041313.189999975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18105703.820000011</v>
      </c>
      <c r="P60" s="151">
        <f t="shared" si="13"/>
        <v>5282104.3099999819</v>
      </c>
      <c r="Q60" s="151">
        <f t="shared" si="13"/>
        <v>31325876.379999988</v>
      </c>
      <c r="R60" s="151">
        <f t="shared" si="13"/>
        <v>36355587.780000031</v>
      </c>
      <c r="S60" s="252">
        <f t="shared" si="4"/>
        <v>538463580.26999998</v>
      </c>
      <c r="T60" s="475">
        <f t="shared" si="3"/>
        <v>11.031151133304652</v>
      </c>
    </row>
    <row r="61" spans="1:21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-22521260.620000027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10457201.370000012</v>
      </c>
      <c r="P64" s="225">
        <f t="shared" si="14"/>
        <v>-2451308.9800000181</v>
      </c>
      <c r="Q64" s="225">
        <f t="shared" si="14"/>
        <v>19596935.559999987</v>
      </c>
      <c r="R64" s="225">
        <f t="shared" si="14"/>
        <v>31891133.010000031</v>
      </c>
      <c r="S64" s="253">
        <f>+SUM(G64:R64)</f>
        <v>427969725.95000005</v>
      </c>
      <c r="T64" s="476">
        <f t="shared" si="3"/>
        <v>8.7675358193514032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Planned Budget Execution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GDP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Total Revenues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Taxes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Personal Income Tax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Corporate Income Tax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 xml:space="preserve">Taxes on Sales of Property 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Value Added Tax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Excises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Tax on International Trade and Transactions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Other Republic Taxes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Contributions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Contributions for Pension and Disability Insurance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Contributions for Health Insurance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Contributions for  Unemployment Insurance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Other contributions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Duties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Fees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Other revenues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Receipts from Repayment of Loans and Funds Carried over from Previous Year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Grants and Transfers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Total Expenditures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Current Expenditures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Gross Salaries and Contributions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Other Personal Income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Expenditures for Supplies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Expenditures for Services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Current Maintenance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Interests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Subsidies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Other expenditures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Social Security Transfers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Social Security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Funds for redundant labor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Pension and Disability Insurance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Other Health Care Transfers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Other Health Care Insurance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Transfers to Institutions, Individuals, NGO and Public Sector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Capital Expenditure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Credits and Borrowings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Reserves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Repayment of Guarantees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Repayments of liabilities form the previous period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 increase of liabilities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Surplus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Primary surplus/deficit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Repayment of Debt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Repayment of Domestic Debt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Repayment of Foreign Debt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Capital Expenditure for Securities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Financing needs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Financing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Domestic Loans and Borrowings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Foreign Loans and Borrowings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Revenues from Selling Assets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Planned Budget Execution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GDP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Total Revenues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Taxes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Personal Income Tax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Corporate Income Tax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 xml:space="preserve">Taxes on Sales of Property 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Value Added Tax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Excises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Tax on International Trade and Transactions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Other Republic Taxes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Contributions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Contributions for Pension and Disability Insurance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Contributions for Health Insurance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Contributions for  Unemployment Insurance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Other contributions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Duties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Fees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Other revenues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Receipts from Repayment of Loans and Funds Carried over from Previous Year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Grants and Transfers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Total Expenditures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Current Expenditures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Gross Salaries and Contributions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Other Personal Income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Expenditures for Supplies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Expenditures for Services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Current Maintenance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Interests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Subsidies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Other expenditures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Social Security Transfers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Social Security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Funds for redundant labor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Pension and Disability Insurance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Other Health Care Transfers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Other Health Care Insurance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Transfers to Institutions, Individuals, NGO and Public Sector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Capital Expenditure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Credits and Borrowings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Reserves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Repayment of Guarantees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Repayments of liabilities form the previous period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 increase of liabilities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Surplus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Primary surplus/deficit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Repayment of Debt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Repayment of Domestic Debt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Repayment of Foreign Debt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Capital Expenditure for Securities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Financing needs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Financing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Domestic Loans and Borrowings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Foreign Loans and Borrowings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Revenues from Selling Assets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2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Breakdown</vt:lpstr>
      <vt:lpstr>Analytics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2021-12-29T07:51:50Z</cp:lastPrinted>
  <dcterms:created xsi:type="dcterms:W3CDTF">2014-09-15T13:41:17Z</dcterms:created>
  <dcterms:modified xsi:type="dcterms:W3CDTF">2022-03-04T11:06:13Z</dcterms:modified>
</cp:coreProperties>
</file>