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400" tabRatio="587" firstSheet="1" activeTab="1"/>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state="hidden" r:id="rId13"/>
    <sheet name="Master" sheetId="2" state="hidden"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FO219" i="6" l="1"/>
  <c r="FN219" i="6"/>
  <c r="FO245" i="6"/>
  <c r="FN245" i="6"/>
  <c r="FQ395" i="6"/>
  <c r="FP395" i="6"/>
  <c r="FO395" i="6"/>
  <c r="FL395" i="6"/>
  <c r="FO221" i="6"/>
  <c r="FN221" i="6"/>
  <c r="FO246" i="6"/>
  <c r="FN246" i="6"/>
  <c r="H147" i="17" l="1"/>
  <c r="I147" i="17"/>
  <c r="J147" i="17"/>
  <c r="K147" i="17"/>
  <c r="L147" i="17"/>
  <c r="M147" i="17"/>
  <c r="N147" i="17"/>
  <c r="O147" i="17"/>
  <c r="P147" i="17"/>
  <c r="Q147" i="17"/>
  <c r="R147" i="17"/>
  <c r="G147" i="17"/>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9" i="17"/>
  <c r="I149" i="17"/>
  <c r="J149" i="17"/>
  <c r="K149" i="17"/>
  <c r="L149" i="17"/>
  <c r="M149" i="17"/>
  <c r="N149" i="17"/>
  <c r="O149" i="17"/>
  <c r="P149" i="17"/>
  <c r="Q149" i="17"/>
  <c r="R149" i="17"/>
  <c r="G149"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P125" i="17" s="1"/>
  <c r="O126" i="17"/>
  <c r="O124" i="17" s="1"/>
  <c r="L126" i="17"/>
  <c r="L124" i="17" s="1"/>
  <c r="K126" i="17"/>
  <c r="K124" i="17" s="1"/>
  <c r="H126" i="17"/>
  <c r="G126" i="17"/>
  <c r="G124" i="17" s="1"/>
  <c r="A126" i="17"/>
  <c r="A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I12" i="17"/>
  <c r="H12" i="17"/>
  <c r="G12" i="17"/>
  <c r="R5" i="17"/>
  <c r="Q5" i="17"/>
  <c r="P5" i="17"/>
  <c r="O5" i="17"/>
  <c r="N5" i="17"/>
  <c r="M5" i="17"/>
  <c r="L5" i="17"/>
  <c r="K5" i="17"/>
  <c r="J5" i="17"/>
  <c r="H51" i="11" s="1"/>
  <c r="I5" i="17"/>
  <c r="H5" i="17"/>
  <c r="G5" i="17"/>
  <c r="G11" i="2"/>
  <c r="I31" i="17" l="1"/>
  <c r="Q42" i="17"/>
  <c r="J11" i="17"/>
  <c r="M42" i="17"/>
  <c r="H11" i="17"/>
  <c r="H10" i="17" s="1"/>
  <c r="J31" i="17"/>
  <c r="I11" i="17"/>
  <c r="I10" i="17" s="1"/>
  <c r="Q31" i="17"/>
  <c r="R11" i="17"/>
  <c r="R10" i="17" s="1"/>
  <c r="N11" i="17"/>
  <c r="N10" i="17" s="1"/>
  <c r="P11" i="17"/>
  <c r="P10" i="17" s="1"/>
  <c r="G63" i="11"/>
  <c r="G64" i="11"/>
  <c r="G65" i="11"/>
  <c r="H124" i="17"/>
  <c r="H125" i="17" s="1"/>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P150" i="17" s="1"/>
  <c r="P156" i="17" s="1"/>
  <c r="H60" i="11"/>
  <c r="H35" i="11"/>
  <c r="H52" i="11"/>
  <c r="H53" i="11"/>
  <c r="H34" i="11"/>
  <c r="H41" i="11"/>
  <c r="H40" i="11"/>
  <c r="H14" i="11"/>
  <c r="H13" i="11"/>
  <c r="H16" i="11"/>
  <c r="P42" i="17"/>
  <c r="H42" i="17"/>
  <c r="H150" i="17"/>
  <c r="H151" i="17" s="1"/>
  <c r="H31" i="11"/>
  <c r="H57" i="11"/>
  <c r="O42" i="17"/>
  <c r="M11" i="17"/>
  <c r="M10" i="17" s="1"/>
  <c r="M31" i="17"/>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Q29" i="17" l="1"/>
  <c r="Q30" i="17" s="1"/>
  <c r="P151" i="17"/>
  <c r="M29" i="17"/>
  <c r="M30" i="17" s="1"/>
  <c r="J29" i="17"/>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S114" i="17"/>
  <c r="T114" i="17" s="1"/>
  <c r="I55" i="17"/>
  <c r="I56" i="17" s="1"/>
  <c r="G10" i="17"/>
  <c r="S10" i="17" s="1"/>
  <c r="T10" i="17" s="1"/>
  <c r="Q55" i="17"/>
  <c r="Q56" i="17" s="1"/>
  <c r="G29" i="17"/>
  <c r="L161" i="17"/>
  <c r="L157" i="17" s="1"/>
  <c r="P161" i="17"/>
  <c r="P157" i="17" s="1"/>
  <c r="S137" i="17"/>
  <c r="T137" i="17" s="1"/>
  <c r="S158" i="17"/>
  <c r="T158" i="17" s="1"/>
  <c r="S160" i="17"/>
  <c r="T160" i="17" s="1"/>
  <c r="Q150" i="17"/>
  <c r="H161" i="17"/>
  <c r="H157" i="17" s="1"/>
  <c r="M150" i="17"/>
  <c r="S159" i="17"/>
  <c r="T159" i="17" s="1"/>
  <c r="S106" i="17"/>
  <c r="T106" i="17" s="1"/>
  <c r="S124" i="17" l="1"/>
  <c r="T124" i="17" s="1"/>
  <c r="R150" i="17"/>
  <c r="M55" i="17"/>
  <c r="M61" i="17" s="1"/>
  <c r="M66" i="17" s="1"/>
  <c r="M62" i="17" s="1"/>
  <c r="G156" i="17"/>
  <c r="G161" i="17" s="1"/>
  <c r="J55" i="17"/>
  <c r="J61" i="17" s="1"/>
  <c r="J66" i="17" s="1"/>
  <c r="J62" i="17" s="1"/>
  <c r="P55" i="17"/>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l="1"/>
  <c r="T62" i="17" s="1"/>
  <c r="J66" i="1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R149" i="16"/>
  <c r="R150" i="16" s="1"/>
  <c r="G55" i="16"/>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K155" i="16" l="1"/>
  <c r="K160" i="16" s="1"/>
  <c r="K156" i="16" s="1"/>
  <c r="Q155" i="16"/>
  <c r="Q160" i="16" s="1"/>
  <c r="Q156" i="16" s="1"/>
  <c r="L150" i="16"/>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L60" i="11" l="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M60" i="11" s="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R8" i="16" s="1"/>
  <c r="G241" i="2"/>
  <c r="Q8" i="16" s="1"/>
  <c r="G240" i="2"/>
  <c r="G239" i="2"/>
  <c r="O8" i="16" s="1"/>
  <c r="G238" i="2"/>
  <c r="N8" i="16" s="1"/>
  <c r="G237" i="2"/>
  <c r="M8" i="16" s="1"/>
  <c r="G236" i="2"/>
  <c r="G235" i="2"/>
  <c r="K8" i="16" s="1"/>
  <c r="G234" i="2"/>
  <c r="J8" i="16" s="1"/>
  <c r="G233" i="2"/>
  <c r="I8" i="16" s="1"/>
  <c r="G232" i="2"/>
  <c r="H8" i="16" s="1"/>
  <c r="G231" i="2"/>
  <c r="G8" i="16" s="1"/>
  <c r="G230" i="2"/>
  <c r="G229" i="2"/>
  <c r="G227" i="2"/>
  <c r="B54" i="11" s="1"/>
  <c r="G225" i="2"/>
  <c r="B66" i="16" s="1"/>
  <c r="G224" i="2"/>
  <c r="G223" i="2"/>
  <c r="B62" i="16" s="1"/>
  <c r="G222" i="2"/>
  <c r="B154" i="9"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B60" i="13" s="1"/>
  <c r="G196" i="2"/>
  <c r="G195" i="2"/>
  <c r="G194" i="2"/>
  <c r="G193" i="2"/>
  <c r="G192" i="2"/>
  <c r="G191" i="2"/>
  <c r="G190" i="2"/>
  <c r="G189" i="2"/>
  <c r="G188" i="2"/>
  <c r="G187" i="2"/>
  <c r="B49" i="4" s="1"/>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B46" i="10" s="1"/>
  <c r="G162" i="2"/>
  <c r="G161" i="2"/>
  <c r="G160" i="2"/>
  <c r="G159" i="2"/>
  <c r="G158" i="2"/>
  <c r="G157" i="2"/>
  <c r="G156" i="2"/>
  <c r="G155" i="2"/>
  <c r="B45" i="11" s="1"/>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B132" i="4" s="1"/>
  <c r="G117" i="2"/>
  <c r="G116" i="2"/>
  <c r="G115" i="2"/>
  <c r="G114" i="2"/>
  <c r="B37" i="9" s="1"/>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B125" i="12" s="1"/>
  <c r="G80" i="2"/>
  <c r="G79" i="2"/>
  <c r="G78" i="2"/>
  <c r="B64" i="16" s="1"/>
  <c r="G77" i="2"/>
  <c r="B63" i="16" s="1"/>
  <c r="G76" i="2"/>
  <c r="G75" i="2"/>
  <c r="G74" i="2"/>
  <c r="G73" i="2"/>
  <c r="G72" i="2"/>
  <c r="G71" i="2"/>
  <c r="G70" i="2"/>
  <c r="G69" i="2"/>
  <c r="B122" i="12" s="1"/>
  <c r="G68" i="2"/>
  <c r="G67" i="2"/>
  <c r="G66" i="2"/>
  <c r="B65" i="16" s="1"/>
  <c r="G65" i="2"/>
  <c r="G64" i="2"/>
  <c r="G63" i="2"/>
  <c r="G62" i="2"/>
  <c r="G61" i="2"/>
  <c r="G60" i="2"/>
  <c r="G59" i="2"/>
  <c r="G58" i="2"/>
  <c r="G57" i="2"/>
  <c r="G56" i="2"/>
  <c r="G55" i="2"/>
  <c r="G54" i="2"/>
  <c r="G53" i="2"/>
  <c r="G52" i="2"/>
  <c r="G51" i="2"/>
  <c r="G50" i="2"/>
  <c r="G49" i="2"/>
  <c r="G48" i="2"/>
  <c r="G47" i="2"/>
  <c r="G46" i="2"/>
  <c r="G45" i="2"/>
  <c r="G44" i="2"/>
  <c r="G43" i="2"/>
  <c r="B24" i="4" s="1"/>
  <c r="G42" i="2"/>
  <c r="G41" i="2"/>
  <c r="B22" i="10" s="1"/>
  <c r="G40" i="2"/>
  <c r="G39" i="2"/>
  <c r="B115" i="10" s="1"/>
  <c r="G38" i="2"/>
  <c r="G37" i="2"/>
  <c r="B113" i="4" s="1"/>
  <c r="G35" i="2"/>
  <c r="G34" i="2"/>
  <c r="B111" i="8" s="1"/>
  <c r="G33" i="2"/>
  <c r="G32" i="2"/>
  <c r="B108" i="9" s="1"/>
  <c r="G31" i="2"/>
  <c r="G30" i="2"/>
  <c r="B12" i="11" s="1"/>
  <c r="G29" i="2"/>
  <c r="G28" i="2"/>
  <c r="G27" i="2"/>
  <c r="G26" i="2"/>
  <c r="G25" i="2"/>
  <c r="G24" i="2"/>
  <c r="G23" i="2"/>
  <c r="G8" i="3" s="1"/>
  <c r="N8" i="3" s="1"/>
  <c r="G22" i="2"/>
  <c r="H8" i="3" s="1"/>
  <c r="O8" i="3" s="1"/>
  <c r="G21" i="2"/>
  <c r="G20" i="2"/>
  <c r="G17" i="2"/>
  <c r="G16" i="2"/>
  <c r="G15" i="2"/>
  <c r="G14" i="2"/>
  <c r="G10" i="2"/>
  <c r="G9" i="2"/>
  <c r="G8" i="2"/>
  <c r="E4" i="9" s="1"/>
  <c r="G7" i="2"/>
  <c r="E3" i="8" s="1"/>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L130" i="10" s="1"/>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A107" i="8"/>
  <c r="H101" i="8"/>
  <c r="G101" i="8"/>
  <c r="A108" i="8"/>
  <c r="A109" i="8"/>
  <c r="A110" i="8"/>
  <c r="A111" i="8"/>
  <c r="A112" i="8"/>
  <c r="A113" i="8"/>
  <c r="A114" i="8"/>
  <c r="S101" i="8"/>
  <c r="A116" i="8"/>
  <c r="A117" i="8"/>
  <c r="A118" i="8"/>
  <c r="A119" i="8"/>
  <c r="A120" i="8"/>
  <c r="A121" i="8"/>
  <c r="A122" i="8"/>
  <c r="A123" i="8"/>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A106" i="4"/>
  <c r="G100" i="4"/>
  <c r="A132" i="4"/>
  <c r="A107" i="4"/>
  <c r="L100" i="4"/>
  <c r="A108" i="4"/>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G54" i="10"/>
  <c r="H54" i="10"/>
  <c r="I54" i="10"/>
  <c r="J54" i="10"/>
  <c r="K54" i="10"/>
  <c r="L54" i="10"/>
  <c r="M54" i="10"/>
  <c r="N54" i="10"/>
  <c r="O54" i="10"/>
  <c r="P54" i="10"/>
  <c r="Q54" i="10"/>
  <c r="R54" i="10"/>
  <c r="B50"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S14" i="4"/>
  <c r="T14" i="4" s="1"/>
  <c r="S16" i="4"/>
  <c r="T16" i="4" s="1"/>
  <c r="S12" i="4"/>
  <c r="T12" i="4" s="1"/>
  <c r="H118"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R111" i="9"/>
  <c r="DK321" i="6"/>
  <c r="DO321" i="6"/>
  <c r="DT350" i="6"/>
  <c r="T22" i="4"/>
  <c r="T34" i="4"/>
  <c r="T20" i="4"/>
  <c r="T25" i="4"/>
  <c r="T37" i="4"/>
  <c r="T17" i="4"/>
  <c r="T23" i="4"/>
  <c r="T33" i="4"/>
  <c r="T38" i="4"/>
  <c r="S11" i="4"/>
  <c r="T11" i="4" s="1"/>
  <c r="S31" i="4"/>
  <c r="T31" i="4" s="1"/>
  <c r="S57" i="4"/>
  <c r="T57" i="4" s="1"/>
  <c r="S65" i="4"/>
  <c r="T65" i="4" s="1"/>
  <c r="S64" i="4"/>
  <c r="T64" i="4"/>
  <c r="E4" i="8"/>
  <c r="B118" i="8"/>
  <c r="B50" i="9"/>
  <c r="B117" i="4"/>
  <c r="B11" i="9"/>
  <c r="B113" i="9"/>
  <c r="B33" i="8"/>
  <c r="Q8" i="8"/>
  <c r="Q103" i="8" s="1"/>
  <c r="B33" i="9"/>
  <c r="B26" i="8"/>
  <c r="B42" i="9"/>
  <c r="B158" i="9"/>
  <c r="B115" i="8"/>
  <c r="B43" i="9"/>
  <c r="B145" i="9"/>
  <c r="U111" i="8"/>
  <c r="U110" i="8"/>
  <c r="CS350" i="6"/>
  <c r="I109" i="9"/>
  <c r="DP321" i="6"/>
  <c r="Q113" i="12"/>
  <c r="J119" i="12"/>
  <c r="G111" i="12"/>
  <c r="K115" i="12"/>
  <c r="O115" i="12"/>
  <c r="R111" i="12"/>
  <c r="R121" i="12"/>
  <c r="B157" i="12"/>
  <c r="N110" i="12"/>
  <c r="N117" i="12"/>
  <c r="B127" i="12"/>
  <c r="B131" i="12"/>
  <c r="B159" i="12"/>
  <c r="M107" i="12"/>
  <c r="I113" i="12"/>
  <c r="M122" i="12"/>
  <c r="B144" i="10"/>
  <c r="Q116" i="4"/>
  <c r="R108" i="4"/>
  <c r="K119" i="8"/>
  <c r="P107" i="8"/>
  <c r="K117" i="8"/>
  <c r="R112" i="4"/>
  <c r="B152" i="8"/>
  <c r="DQ350" i="6"/>
  <c r="CQ386" i="6"/>
  <c r="CU386" i="6"/>
  <c r="B112" i="9"/>
  <c r="CY386" i="6"/>
  <c r="DC386" i="6"/>
  <c r="S61" i="4"/>
  <c r="T61" i="4" s="1"/>
  <c r="M116" i="9"/>
  <c r="K117" i="9"/>
  <c r="DG386" i="6"/>
  <c r="DK386" i="6"/>
  <c r="L115" i="4"/>
  <c r="B144" i="4"/>
  <c r="P118" i="4"/>
  <c r="M111" i="8"/>
  <c r="G122" i="8"/>
  <c r="H120" i="4"/>
  <c r="Q159" i="8"/>
  <c r="B113" i="8"/>
  <c r="R116" i="4"/>
  <c r="H109" i="4"/>
  <c r="G108" i="8"/>
  <c r="K121" i="8"/>
  <c r="R108" i="9"/>
  <c r="O116" i="9"/>
  <c r="L113" i="9"/>
  <c r="G113" i="9"/>
  <c r="T119" i="8"/>
  <c r="R116" i="9"/>
  <c r="N106" i="9"/>
  <c r="M107" i="9"/>
  <c r="J113" i="9"/>
  <c r="G110" i="9"/>
  <c r="M117" i="9"/>
  <c r="I115" i="9"/>
  <c r="G120" i="9"/>
  <c r="H109" i="9"/>
  <c r="S148" i="12"/>
  <c r="T148" i="12" s="1"/>
  <c r="N111" i="4"/>
  <c r="P117" i="8"/>
  <c r="B156" i="4"/>
  <c r="B118" i="4"/>
  <c r="P108" i="4"/>
  <c r="M116" i="8"/>
  <c r="K115" i="4"/>
  <c r="P116" i="4"/>
  <c r="I118" i="9"/>
  <c r="CU350" i="6"/>
  <c r="DI350" i="6"/>
  <c r="G112" i="4"/>
  <c r="S112" i="4" s="1"/>
  <c r="T112" i="4" s="1"/>
  <c r="B158" i="4"/>
  <c r="O112" i="4"/>
  <c r="U120" i="8"/>
  <c r="B114" i="8"/>
  <c r="Q112" i="4"/>
  <c r="DU386" i="6"/>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M120" i="4"/>
  <c r="J123" i="10"/>
  <c r="L112" i="4"/>
  <c r="M121" i="4"/>
  <c r="N112" i="4"/>
  <c r="S121" i="8"/>
  <c r="CO321" i="6"/>
  <c r="CQ350" i="6"/>
  <c r="DO386" i="6"/>
  <c r="DS386" i="6"/>
  <c r="Q122" i="4"/>
  <c r="K113" i="4"/>
  <c r="I106" i="4"/>
  <c r="P121" i="4"/>
  <c r="L120" i="4"/>
  <c r="P109" i="10"/>
  <c r="N109" i="10"/>
  <c r="O123" i="10"/>
  <c r="J119" i="10"/>
  <c r="O117" i="4"/>
  <c r="N108" i="4"/>
  <c r="DM386" i="6"/>
  <c r="Q156" i="4"/>
  <c r="L121" i="10"/>
  <c r="B136" i="10"/>
  <c r="R118" i="10"/>
  <c r="R110" i="10"/>
  <c r="R116" i="10"/>
  <c r="R109" i="10"/>
  <c r="K113" i="10"/>
  <c r="K109" i="10"/>
  <c r="K107" i="10"/>
  <c r="M112" i="10"/>
  <c r="K112" i="10"/>
  <c r="I107" i="10"/>
  <c r="I120" i="10"/>
  <c r="I117" i="10"/>
  <c r="I113" i="10"/>
  <c r="B151" i="10"/>
  <c r="J115" i="10"/>
  <c r="R115" i="10"/>
  <c r="L115" i="10"/>
  <c r="P115" i="10"/>
  <c r="R111" i="10"/>
  <c r="I111" i="10"/>
  <c r="O122" i="10"/>
  <c r="G122" i="10"/>
  <c r="P118" i="10"/>
  <c r="G118" i="10"/>
  <c r="N118" i="10"/>
  <c r="P130" i="10"/>
  <c r="I157" i="10"/>
  <c r="K120" i="12"/>
  <c r="R158" i="12"/>
  <c r="H154" i="12"/>
  <c r="H111" i="12"/>
  <c r="B158" i="12"/>
  <c r="B127" i="4"/>
  <c r="E4" i="10" l="1"/>
  <c r="B60" i="11"/>
  <c r="B60" i="17"/>
  <c r="B25" i="3"/>
  <c r="H8" i="9"/>
  <c r="H102" i="9" s="1"/>
  <c r="B53" i="11"/>
  <c r="I8" i="3"/>
  <c r="L8" i="3" s="1"/>
  <c r="B152" i="4"/>
  <c r="B106" i="4"/>
  <c r="H8" i="10"/>
  <c r="H103" i="10" s="1"/>
  <c r="H8" i="8"/>
  <c r="H103" i="8" s="1"/>
  <c r="H8" i="4"/>
  <c r="H102" i="4" s="1"/>
  <c r="N8" i="10"/>
  <c r="N103" i="10" s="1"/>
  <c r="N8" i="4"/>
  <c r="N102" i="4" s="1"/>
  <c r="E3" i="9"/>
  <c r="B156" i="10"/>
  <c r="B132" i="8"/>
  <c r="B49" i="11"/>
  <c r="B19" i="3"/>
  <c r="B131" i="4"/>
  <c r="B156" i="9"/>
  <c r="B109" i="8"/>
  <c r="B141" i="12"/>
  <c r="P8" i="8"/>
  <c r="P103" i="8" s="1"/>
  <c r="B144" i="9"/>
  <c r="B63" i="10"/>
  <c r="R8" i="4"/>
  <c r="R102" i="4" s="1"/>
  <c r="B108" i="4"/>
  <c r="B123" i="8"/>
  <c r="B142" i="8"/>
  <c r="B133" i="8"/>
  <c r="B141" i="4"/>
  <c r="B46" i="4"/>
  <c r="E3" i="11"/>
  <c r="E3" i="10"/>
  <c r="J8" i="4"/>
  <c r="J102" i="4" s="1"/>
  <c r="N144" i="10"/>
  <c r="M130" i="4"/>
  <c r="H153" i="10"/>
  <c r="N142" i="10"/>
  <c r="M140" i="12"/>
  <c r="Q153" i="12"/>
  <c r="P153" i="10"/>
  <c r="J140" i="12"/>
  <c r="H153" i="4"/>
  <c r="O144" i="10"/>
  <c r="R142" i="10"/>
  <c r="O132" i="10"/>
  <c r="I145" i="10"/>
  <c r="B60" i="4"/>
  <c r="B61" i="16"/>
  <c r="L8" i="4"/>
  <c r="L102" i="4" s="1"/>
  <c r="L8" i="16"/>
  <c r="P8" i="9"/>
  <c r="P102" i="9" s="1"/>
  <c r="P8" i="16"/>
  <c r="B44" i="4"/>
  <c r="B36" i="9"/>
  <c r="P8" i="4"/>
  <c r="P102" i="4" s="1"/>
  <c r="B153" i="12"/>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P8" i="3" l="1"/>
  <c r="S8" i="3" s="1"/>
  <c r="P150" i="10"/>
  <c r="DH193" i="6"/>
  <c r="T55" i="11"/>
  <c r="T56" i="11"/>
  <c r="O60" i="11"/>
  <c r="P60" i="11" s="1"/>
  <c r="O47" i="11"/>
  <c r="Q47" i="11" s="1"/>
  <c r="O59" i="11"/>
  <c r="P59" i="11" s="1"/>
  <c r="O37" i="11"/>
  <c r="Q37" i="11" s="1"/>
  <c r="O35" i="11"/>
  <c r="P35" i="11" s="1"/>
  <c r="O23" i="11"/>
  <c r="P23" i="11" s="1"/>
  <c r="O16" i="11"/>
  <c r="Q16" i="11" s="1"/>
  <c r="O65" i="11"/>
  <c r="O17" i="11"/>
  <c r="P17" i="11" s="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P40" i="11" s="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Q51" i="11" s="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S64" i="11"/>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Q15" i="11" l="1"/>
  <c r="P32" i="11"/>
  <c r="Q53" i="11"/>
  <c r="Q54" i="11"/>
  <c r="I21" i="1"/>
  <c r="I17" i="1"/>
  <c r="I13" i="1"/>
  <c r="L104" i="9"/>
  <c r="L148" i="9" s="1"/>
  <c r="L154" i="9" s="1"/>
  <c r="L159" i="9" s="1"/>
  <c r="L155" i="9" s="1"/>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B106" i="16" l="1"/>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<sst xmlns="http://schemas.openxmlformats.org/spreadsheetml/2006/main" count="1658" uniqueCount="798">
  <si>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</si>
  <si>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</si>
  <si>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</si>
  <si>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</si>
  <si>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</si>
  <si>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</si>
  <si>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</si>
  <si>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</si>
  <si>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</si>
  <si>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</si>
  <si>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</si>
  <si>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</si>
  <si>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</si>
  <si>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</si>
  <si>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</si>
  <si>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</si>
  <si>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</si>
  <si>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</si>
  <si>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</si>
  <si>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</si>
  <si>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</si>
  <si>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</si>
  <si>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</si>
  <si>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</si>
  <si>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</si>
  <si>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</si>
  <si>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</si>
  <si>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</si>
  <si>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</si>
  <si>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</si>
  <si>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</si>
  <si>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</si>
  <si>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</si>
  <si>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</si>
  <si>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</si>
  <si>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</si>
  <si>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</si>
  <si>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</si>
  <si>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</si>
  <si>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</si>
  <si>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</si>
  <si>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</si>
  <si>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</si>
  <si>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</si>
  <si>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</si>
  <si>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</si>
  <si>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</si>
  <si>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</si>
  <si>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</si>
  <si>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</si>
  <si>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</si>
  <si>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</si>
  <si>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</si>
  <si>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</si>
  <si>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</si>
  <si>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</si>
  <si>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</si>
  <si>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</si>
  <si>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</si>
  <si>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</si>
  <si>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</si>
  <si>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</si>
  <si>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</si>
  <si>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</si>
  <si>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</si>
  <si>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</si>
  <si>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</si>
  <si>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</si>
  <si>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</si>
  <si>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</si>
  <si>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</si>
  <si>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</si>
  <si>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</si>
  <si>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</si>
  <si>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</si>
  <si>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</si>
  <si>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</si>
  <si>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</si>
  <si>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</si>
  <si>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</si>
  <si>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</si>
  <si>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</si>
  <si>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</si>
  <si>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</si>
  <si>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</si>
  <si>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</si>
  <si>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</si>
  <si>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</si>
  <si>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</si>
  <si>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</si>
  <si>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</si>
  <si>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</si>
  <si>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</si>
  <si>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</si>
  <si>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</si>
  <si>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</si>
  <si>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</si>
  <si>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</si>
  <si>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</si>
  <si>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</si>
  <si>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</si>
  <si>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</si>
  <si>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</si>
  <si>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</si>
  <si>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</si>
  <si>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</si>
  <si>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</si>
  <si>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</si>
  <si>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</si>
  <si>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</si>
  <si>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</si>
  <si>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</si>
  <si>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</si>
  <si>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</si>
  <si>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</si>
  <si>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</si>
  <si>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</si>
  <si>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</si>
  <si>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</si>
  <si>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</si>
  <si>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</si>
  <si>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</si>
  <si>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</si>
  <si>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</si>
  <si>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</si>
  <si>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</si>
  <si>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</si>
  <si>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</si>
  <si>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</si>
  <si>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</si>
  <si>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</si>
  <si>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</si>
  <si>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</si>
  <si>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</si>
  <si>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</si>
  <si>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</si>
  <si>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</si>
  <si>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</si>
  <si>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</si>
  <si>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</si>
  <si>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</si>
  <si>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</si>
  <si>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</si>
  <si>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</si>
  <si>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</si>
  <si>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</si>
  <si>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</si>
  <si>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</si>
  <si>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</si>
  <si>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</si>
  <si>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</si>
  <si>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</si>
  <si>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</si>
  <si>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</si>
  <si>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</si>
  <si>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</si>
  <si>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</si>
  <si>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</si>
  <si>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</si>
  <si>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</si>
  <si>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</si>
  <si>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</si>
  <si>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</si>
  <si>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</si>
  <si>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</si>
  <si>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</si>
  <si>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</si>
  <si>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</si>
  <si>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</si>
  <si>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</si>
  <si>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</si>
  <si>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</si>
  <si>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</si>
  <si>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</si>
  <si>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</si>
  <si>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</si>
  <si>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</si>
  <si>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</si>
  <si>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</si>
  <si>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</si>
  <si>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</si>
  <si>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</si>
  <si>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</si>
  <si>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</si>
  <si>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</si>
  <si>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</si>
  <si>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</si>
  <si>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</si>
  <si>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</si>
  <si>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</si>
  <si>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</si>
  <si>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</si>
  <si>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</si>
  <si>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</si>
  <si>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</si>
  <si>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</si>
  <si>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</si>
  <si>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</si>
  <si>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</si>
  <si>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</si>
  <si>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</si>
  <si>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</si>
  <si>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</si>
  <si>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</si>
  <si>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</si>
  <si>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</si>
  <si>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</si>
  <si>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</si>
  <si>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</si>
  <si>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</si>
  <si>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</si>
  <si>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</si>
  <si>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</si>
  <si>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</si>
  <si>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</si>
  <si>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</si>
  <si>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</si>
  <si>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</si>
  <si>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</si>
  <si>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</si>
  <si>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</si>
  <si>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</si>
  <si>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</si>
  <si>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</si>
  <si>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</si>
  <si>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</si>
  <si>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</si>
  <si>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</si>
  <si>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</si>
  <si>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</si>
  <si>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</si>
  <si>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</si>
  <si>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</si>
  <si>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</si>
  <si>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</si>
  <si>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</si>
  <si>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</si>
  <si>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</si>
  <si>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</si>
  <si>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</si>
  <si>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</si>
  <si>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</si>
  <si>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</si>
  <si>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</si>
  <si>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</si>
  <si>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</si>
  <si>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</si>
  <si>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</si>
  <si>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</si>
  <si>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</si>
  <si>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</si>
  <si>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</si>
  <si>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</si>
  <si>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</si>
  <si>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</si>
  <si>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</si>
  <si>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</si>
  <si>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</si>
  <si>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</si>
  <si>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</si>
  <si>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</si>
  <si>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</si>
  <si>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</si>
  <si>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</si>
  <si>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</si>
  <si>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</si>
  <si>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</si>
  <si>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</si>
  <si>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</si>
  <si>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</si>
  <si>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</si>
  <si>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</si>
  <si>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</si>
  <si>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</si>
  <si>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</si>
  <si>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</si>
  <si>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</si>
  <si>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</si>
  <si>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</si>
  <si>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</si>
  <si>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</si>
  <si>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</si>
  <si>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</si>
  <si>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</si>
  <si>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</si>
  <si>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</si>
  <si>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</si>
  <si>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</si>
  <si>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</si>
  <si>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</si>
  <si>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</si>
  <si>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</si>
  <si>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</si>
  <si>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</si>
  <si>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</si>
  <si>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</si>
  <si>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</si>
  <si>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</si>
  <si>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</si>
  <si>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</si>
  <si>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</si>
  <si>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</si>
  <si>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</si>
  <si>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</si>
  <si>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</si>
  <si>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</si>
  <si>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</si>
  <si>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</si>
  <si>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</si>
  <si>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</si>
  <si>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</si>
  <si>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</si>
  <si>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</si>
  <si>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</si>
  <si>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</si>
  <si>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</si>
  <si>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</si>
  <si>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</si>
  <si>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</si>
  <si>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</si>
  <si>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</si>
  <si>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</si>
  <si>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</si>
  <si>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</si>
  <si>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</si>
  <si>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</si>
  <si>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</si>
  <si>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</si>
  <si>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</si>
  <si>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</si>
  <si>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</si>
  <si>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</si>
  <si>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</si>
  <si>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</si>
  <si>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</si>
  <si>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</si>
  <si>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</si>
  <si>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</si>
  <si>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</si>
  <si>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</si>
  <si>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</si>
  <si>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</si>
  <si>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</si>
  <si>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</si>
  <si>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</si>
  <si>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</si>
  <si>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</si>
  <si>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</si>
  <si>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</si>
  <si>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</si>
  <si>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</si>
  <si>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</si>
  <si>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</si>
  <si>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</si>
  <si>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</si>
  <si>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</si>
  <si>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</si>
  <si>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</si>
  <si>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</si>
  <si>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</si>
  <si>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</si>
  <si>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</si>
  <si>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</si>
  <si>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</si>
  <si>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</si>
  <si>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</si>
  <si>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</si>
  <si>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</si>
  <si>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</si>
  <si>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</si>
  <si>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</si>
  <si>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</si>
  <si>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</si>
  <si>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</si>
  <si>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</si>
  <si>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</si>
  <si>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</si>
  <si>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</si>
  <si>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</si>
  <si>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</si>
  <si>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</si>
  <si>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</si>
  <si>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</si>
  <si>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</si>
  <si>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</si>
  <si>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</si>
  <si>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</si>
  <si>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</si>
  <si>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</si>
  <si>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</si>
  <si>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</si>
  <si>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</si>
  <si>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</si>
  <si>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</si>
  <si>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</si>
  <si>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</si>
  <si>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</si>
  <si>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</si>
  <si>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</si>
  <si>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</si>
  <si>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</si>
  <si>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</si>
  <si>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</si>
  <si>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</si>
  <si>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</si>
  <si>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</si>
  <si>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</si>
  <si>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</si>
  <si>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</si>
  <si>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</si>
  <si>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</si>
  <si>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</si>
  <si>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</si>
  <si>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</si>
  <si>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</si>
  <si>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</si>
  <si>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</si>
  <si>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</si>
  <si>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</si>
  <si>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</si>
  <si>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</si>
  <si>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</si>
  <si>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</si>
  <si>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</si>
  <si>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</si>
  <si>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</si>
  <si>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</si>
  <si>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</si>
  <si>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</si>
  <si>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</si>
  <si>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</si>
  <si>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</si>
  <si>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</si>
  <si>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</si>
  <si>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</si>
  <si>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</si>
  <si>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</si>
  <si>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</si>
  <si>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</si>
  <si>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</si>
  <si>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</si>
  <si>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</si>
  <si>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</si>
  <si>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</si>
  <si>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</si>
  <si>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</si>
  <si>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</si>
  <si>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</si>
  <si>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</si>
  <si>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</si>
  <si>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</si>
  <si>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</si>
  <si>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</si>
  <si>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</si>
  <si>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</si>
  <si>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</si>
  <si>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</si>
  <si>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</si>
  <si>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</si>
  <si>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</si>
  <si>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</si>
  <si>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</si>
  <si>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</si>
  <si>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</si>
  <si>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</si>
  <si>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</si>
  <si>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</si>
  <si>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</si>
  <si>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</si>
  <si>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</si>
  <si>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</si>
  <si>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</si>
  <si>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</si>
  <si>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</si>
  <si>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</si>
  <si>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</si>
  <si>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</si>
  <si>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</si>
  <si>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</si>
  <si>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</si>
  <si>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</si>
  <si>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</si>
  <si>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</si>
  <si>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</si>
  <si>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</si>
  <si>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</si>
  <si>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</si>
  <si>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</si>
  <si>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</si>
  <si>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</si>
  <si>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</si>
  <si>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</si>
  <si>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</si>
  <si>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</si>
  <si>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</si>
  <si>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</si>
  <si>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</si>
  <si>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</si>
  <si>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</si>
  <si>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</si>
  <si>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</si>
  <si>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</si>
  <si>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</si>
  <si>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</si>
  <si>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</si>
  <si>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</si>
  <si>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</si>
  <si>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</si>
  <si>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</si>
  <si>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</si>
  <si>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</si>
  <si>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</si>
  <si>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</si>
  <si>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</si>
  <si>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</si>
  <si>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</si>
  <si>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</si>
  <si>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</si>
  <si>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</si>
  <si>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</si>
  <si>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</si>
  <si>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</si>
  <si>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</si>
  <si>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</si>
  <si>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</si>
  <si>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</si>
  <si>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</si>
  <si>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</si>
  <si>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</si>
  <si>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</si>
  <si>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</si>
  <si>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</si>
  <si>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</si>
  <si>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</si>
  <si>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</si>
  <si>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</si>
  <si>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</si>
  <si>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</si>
  <si>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</si>
  <si>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</si>
  <si>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</si>
  <si>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</si>
  <si>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</si>
  <si>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</si>
  <si>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</si>
  <si>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</si>
  <si>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</si>
  <si>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</si>
  <si>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</si>
  <si>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</si>
  <si>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</si>
  <si>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</si>
  <si>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</si>
  <si>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</si>
  <si>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</si>
  <si>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</si>
  <si>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</si>
  <si>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</si>
  <si>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</si>
  <si>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</si>
  <si>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</si>
  <si>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</si>
  <si>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</si>
  <si>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</si>
  <si>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</si>
  <si>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</si>
  <si>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</si>
  <si>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</si>
  <si>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</si>
  <si>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</si>
  <si>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</si>
  <si>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</si>
  <si>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</si>
  <si>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</si>
  <si>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</si>
  <si>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</si>
  <si>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</si>
  <si>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</si>
  <si>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</si>
  <si>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</si>
  <si>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</si>
  <si>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</si>
  <si>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</si>
  <si>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</si>
  <si>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</si>
  <si>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</si>
  <si>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</si>
  <si>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</si>
  <si>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</si>
  <si>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</si>
  <si>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</si>
  <si>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</si>
  <si>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</si>
  <si>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</si>
  <si>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</si>
  <si>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</si>
  <si>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</si>
  <si>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</si>
  <si>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</si>
  <si>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</si>
  <si>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</si>
  <si>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</si>
  <si>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</si>
  <si>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</si>
  <si>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</si>
  <si>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</si>
  <si>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</si>
  <si>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</si>
  <si>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</si>
  <si>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</si>
  <si>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</si>
  <si>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</si>
  <si>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</si>
  <si>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</si>
  <si>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</si>
  <si>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</si>
  <si>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</si>
  <si>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</si>
  <si>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</si>
  <si>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</si>
  <si>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</si>
  <si>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</si>
  <si>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</si>
  <si>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</si>
  <si>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</si>
  <si>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</si>
  <si>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</si>
  <si>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</si>
  <si>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</si>
  <si>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</si>
  <si>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</si>
  <si>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</si>
  <si>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</si>
  <si>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</si>
  <si>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</si>
  <si>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</si>
  <si>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</si>
  <si>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</si>
  <si>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</si>
  <si>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</si>
  <si>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</si>
  <si>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</si>
  <si>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</si>
  <si>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</si>
  <si>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</si>
  <si>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</si>
  <si>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</si>
  <si>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</si>
  <si>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</si>
  <si>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</si>
  <si>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</si>
  <si>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</si>
  <si>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</si>
  <si>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</si>
  <si>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</si>
  <si>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</si>
  <si>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</si>
  <si>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</si>
  <si>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</si>
  <si>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</si>
  <si>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</si>
  <si>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</si>
  <si>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</si>
  <si>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</si>
  <si>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</si>
  <si>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</si>
  <si>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</si>
  <si>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</si>
  <si>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</si>
  <si>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</si>
  <si>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</si>
  <si>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</si>
  <si>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</si>
  <si>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</si>
  <si>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</si>
  <si>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</si>
  <si>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</si>
  <si>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</si>
  <si>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</si>
  <si>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</si>
  <si>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</si>
  <si>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</si>
  <si>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</si>
  <si>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</si>
  <si>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</si>
  <si>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</si>
  <si>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</si>
  <si>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</si>
  <si>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</si>
  <si>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</si>
  <si>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</si>
  <si>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</si>
  <si>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</si>
  <si>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</si>
  <si>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</si>
  <si>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</si>
  <si>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</si>
  <si>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</si>
  <si>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</si>
  <si>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</si>
  <si>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</si>
  <si>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</si>
  <si>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</si>
  <si>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</si>
  <si>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</si>
  <si>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</si>
  <si>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</si>
  <si>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</si>
  <si>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</si>
  <si>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</si>
  <si>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</si>
  <si>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</si>
  <si>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</si>
  <si>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</si>
  <si>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</si>
  <si>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</si>
  <si>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</si>
  <si>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</si>
  <si>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</si>
  <si>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</si>
  <si>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</si>
  <si>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</si>
  <si>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</si>
  <si>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</si>
  <si>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</si>
  <si>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</si>
  <si>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</si>
  <si>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</si>
  <si>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</si>
  <si>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</si>
  <si>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</si>
  <si>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</si>
  <si>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</si>
  <si>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</si>
  <si>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</si>
  <si>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</si>
  <si>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</si>
  <si>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</si>
  <si>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</si>
  <si>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</si>
  <si>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</si>
  <si>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</si>
  <si>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</si>
  <si>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</si>
  <si>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</si>
  <si>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</si>
  <si>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</si>
  <si>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</si>
  <si>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</si>
  <si>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</si>
  <si>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</si>
  <si>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</si>
  <si>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</si>
  <si>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</si>
  <si>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</si>
  <si>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</si>
  <si>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</si>
  <si>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</si>
  <si>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</si>
  <si>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</si>
  <si>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</si>
  <si>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</si>
  <si>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</si>
  <si>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</si>
  <si>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</si>
  <si>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</si>
  <si>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</si>
  <si>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</si>
  <si>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</si>
  <si>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</si>
  <si>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</si>
  <si>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</si>
  <si>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</si>
  <si>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</si>
  <si>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</si>
  <si>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</si>
  <si>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</si>
  <si>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</si>
  <si>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</si>
  <si>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</si>
  <si>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</si>
  <si>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</si>
  <si>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</si>
  <si>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</si>
  <si>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</si>
  <si>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</si>
  <si>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</si>
  <si>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</si>
  <si>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</si>
  <si>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</si>
  <si>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</si>
  <si>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</si>
  <si>
    <t>Direktorat za državni budžet</t>
  </si>
  <si>
    <t>Suficit/Deficit za period Januar -</t>
  </si>
  <si>
    <t>Surplus/Deficit for period January -</t>
  </si>
  <si>
    <t>Tekuća budžetska potrošnja</t>
  </si>
  <si>
    <t>Current Budgetary Consumption</t>
  </si>
  <si>
    <t>Directorate for State Budget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</si>
</sst>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68">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0" fillId="2" borderId="0" xfId="0" applyFill="1"/>
    <xf numFmtId="0" fontId="0" fillId="2" borderId="0" xfId="0" applyFill="1" applyAlignment="1">
      <alignment horizontal="right"/>
    </xf>
    <xf numFmtId="0" fontId="0" fillId="4" borderId="0" xfId="0" applyFill="1" applyAlignment="1">
      <alignment horizontal="right"/>
    </xf>
    <xf numFmtId="166" fontId="4" fillId="2" borderId="14" xfId="0" applyNumberFormat="1" applyFont="1" applyFill="1" applyBorder="1" applyAlignment="1" applyProtection="1">
      <alignment horizontal="center"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2065737120"/>
        <c:axId val="2065739840"/>
      </c:lineChart>
      <c:catAx>
        <c:axId val="2065737120"/>
        <c:scaling>
          <c:orientation val="minMax"/>
        </c:scaling>
        <c:delete val="0"/>
        <c:axPos val="b"/>
        <c:numFmt formatCode="General" sourceLinked="0"/>
        <c:majorTickMark val="out"/>
        <c:minorTickMark val="none"/>
        <c:tickLblPos val="nextTo"/>
        <c:txPr>
          <a:bodyPr/>
          <a:lstStyle/>
          <a:p>
            <a:pPr>
              <a:defRPr lang="en-US" sz="600"/>
            </a:pPr>
            <a:endParaRPr lang="en-US"/>
          </a:p>
        </c:txPr>
        <c:crossAx val="2065739840"/>
        <c:crosses val="autoZero"/>
        <c:auto val="1"/>
        <c:lblAlgn val="ctr"/>
        <c:lblOffset val="100"/>
        <c:tickLblSkip val="3"/>
        <c:noMultiLvlLbl val="0"/>
      </c:catAx>
      <c:valAx>
        <c:axId val="2065739840"/>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2065737120"/>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2121338416"/>
        <c:axId val="2121346032"/>
      </c:lineChart>
      <c:catAx>
        <c:axId val="2121338416"/>
        <c:scaling>
          <c:orientation val="minMax"/>
        </c:scaling>
        <c:delete val="0"/>
        <c:axPos val="b"/>
        <c:numFmt formatCode="General" sourceLinked="0"/>
        <c:majorTickMark val="out"/>
        <c:minorTickMark val="none"/>
        <c:tickLblPos val="low"/>
        <c:txPr>
          <a:bodyPr/>
          <a:lstStyle/>
          <a:p>
            <a:pPr>
              <a:defRPr lang="en-US" sz="600"/>
            </a:pPr>
            <a:endParaRPr lang="en-US"/>
          </a:p>
        </c:txPr>
        <c:crossAx val="2121346032"/>
        <c:crosses val="autoZero"/>
        <c:auto val="1"/>
        <c:lblAlgn val="ctr"/>
        <c:lblOffset val="100"/>
        <c:tickLblSkip val="3"/>
        <c:noMultiLvlLbl val="0"/>
      </c:catAx>
      <c:valAx>
        <c:axId val="2121346032"/>
        <c:scaling>
          <c:orientation val="minMax"/>
        </c:scaling>
        <c:delete val="0"/>
        <c:axPos val="l"/>
        <c:numFmt formatCode="###,000" sourceLinked="1"/>
        <c:majorTickMark val="out"/>
        <c:minorTickMark val="none"/>
        <c:tickLblPos val="nextTo"/>
        <c:txPr>
          <a:bodyPr/>
          <a:lstStyle/>
          <a:p>
            <a:pPr>
              <a:defRPr lang="en-US" sz="500"/>
            </a:pPr>
            <a:endParaRPr lang="en-US"/>
          </a:p>
        </c:txPr>
        <c:crossAx val="2121338416"/>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7019926"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solidFill>
                <a:schemeClr val="dk1"/>
              </a:solidFill>
              <a:effectLst/>
              <a:latin typeface="+mn-lt"/>
              <a:ea typeface="+mn-ea"/>
              <a:cs typeface="+mn-cs"/>
            </a:rPr>
            <a:t>PRESS</a:t>
          </a:r>
          <a:r>
            <a:rPr lang="sr-Latn-ME" sz="1100" baseline="0">
              <a:solidFill>
                <a:schemeClr val="dk1"/>
              </a:solidFill>
              <a:effectLst/>
              <a:latin typeface="+mn-lt"/>
              <a:ea typeface="+mn-ea"/>
              <a:cs typeface="+mn-cs"/>
            </a:rPr>
            <a:t> RELEASE:</a:t>
          </a:r>
          <a:endParaRPr lang="en-US">
            <a:effectLst/>
          </a:endParaRPr>
        </a:p>
        <a:p>
          <a:r>
            <a:rPr lang="en-US" sz="1100" b="1">
              <a:solidFill>
                <a:schemeClr val="dk1"/>
              </a:solidFill>
              <a:effectLst/>
              <a:latin typeface="+mn-lt"/>
              <a:ea typeface="+mn-ea"/>
              <a:cs typeface="+mn-cs"/>
            </a:rPr>
            <a:t>Budget revenues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-October</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amounted to </a:t>
          </a:r>
          <a:r>
            <a:rPr lang="sr-Latn-ME" sz="1100">
              <a:solidFill>
                <a:schemeClr val="dk1"/>
              </a:solidFill>
              <a:effectLst/>
              <a:latin typeface="+mn-lt"/>
              <a:ea typeface="+mn-ea"/>
              <a:cs typeface="+mn-cs"/>
            </a:rPr>
            <a:t>1.494,7</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a:t>
          </a:r>
          <a:r>
            <a:rPr lang="sr-Latn-ME" sz="1100">
              <a:solidFill>
                <a:schemeClr val="dk1"/>
              </a:solidFill>
              <a:effectLst/>
              <a:latin typeface="+mn-lt"/>
              <a:ea typeface="+mn-ea"/>
              <a:cs typeface="+mn-cs"/>
            </a:rPr>
            <a:t>or 31,0% of GDP </a:t>
          </a:r>
          <a:r>
            <a:rPr lang="en-US" sz="1100">
              <a:solidFill>
                <a:schemeClr val="dk1"/>
              </a:solidFill>
              <a:effectLst/>
              <a:latin typeface="+mn-lt"/>
              <a:ea typeface="+mn-ea"/>
              <a:cs typeface="+mn-cs"/>
            </a:rPr>
            <a:t>and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y </a:t>
          </a:r>
          <a:r>
            <a:rPr lang="en-US" sz="1100">
              <a:solidFill>
                <a:schemeClr val="dk1"/>
              </a:solidFill>
              <a:effectLst/>
              <a:latin typeface="+mn-lt"/>
              <a:ea typeface="+mn-ea"/>
              <a:cs typeface="+mn-cs"/>
            </a:rPr>
            <a:t>were by </a:t>
          </a:r>
          <a:r>
            <a:rPr lang="sr-Latn-ME" sz="1100">
              <a:solidFill>
                <a:schemeClr val="dk1"/>
              </a:solidFill>
              <a:effectLst/>
              <a:latin typeface="+mn-lt"/>
              <a:ea typeface="+mn-ea"/>
              <a:cs typeface="+mn-cs"/>
            </a:rPr>
            <a:t>2,8</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0,8</a:t>
          </a:r>
          <a:r>
            <a:rPr lang="en-US" sz="1100">
              <a:solidFill>
                <a:schemeClr val="dk1"/>
              </a:solidFill>
              <a:effectLst/>
              <a:latin typeface="+mn-lt"/>
              <a:ea typeface="+mn-ea"/>
              <a:cs typeface="+mn-cs"/>
            </a:rPr>
            <a:t>% higher than the plan.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revenues were higher by </a:t>
          </a:r>
          <a:r>
            <a:rPr lang="sr-Latn-ME" sz="1100">
              <a:solidFill>
                <a:schemeClr val="dk1"/>
              </a:solidFill>
              <a:effectLst/>
              <a:latin typeface="+mn-lt"/>
              <a:ea typeface="+mn-ea"/>
              <a:cs typeface="+mn-cs"/>
            </a:rPr>
            <a:t>76,0</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5,4</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Budget expenditures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-October</a:t>
          </a:r>
          <a:r>
            <a:rPr lang="en-US" sz="1100">
              <a:solidFill>
                <a:schemeClr val="dk1"/>
              </a:solidFill>
              <a:effectLst/>
              <a:latin typeface="+mn-lt"/>
              <a:ea typeface="+mn-ea"/>
              <a:cs typeface="+mn-cs"/>
            </a:rPr>
            <a:t> 2019 amounted to </a:t>
          </a:r>
          <a:r>
            <a:rPr lang="sr-Latn-ME" sz="1100">
              <a:solidFill>
                <a:schemeClr val="dk1"/>
              </a:solidFill>
              <a:effectLst/>
              <a:latin typeface="+mn-lt"/>
              <a:ea typeface="+mn-ea"/>
              <a:cs typeface="+mn-cs"/>
            </a:rPr>
            <a:t>1.530,1</a:t>
          </a:r>
          <a:r>
            <a:rPr lang="en-US" sz="1100">
              <a:solidFill>
                <a:schemeClr val="dk1"/>
              </a:solidFill>
              <a:effectLst/>
              <a:latin typeface="+mn-lt"/>
              <a:ea typeface="+mn-ea"/>
              <a:cs typeface="+mn-cs"/>
            </a:rPr>
            <a:t> million </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or </a:t>
          </a:r>
          <a:r>
            <a:rPr lang="sr-Latn-ME" sz="1100">
              <a:solidFill>
                <a:schemeClr val="dk1"/>
              </a:solidFill>
              <a:effectLst/>
              <a:latin typeface="+mn-lt"/>
              <a:ea typeface="+mn-ea"/>
              <a:cs typeface="+mn-cs"/>
            </a:rPr>
            <a:t>31,9</a:t>
          </a:r>
          <a:r>
            <a:rPr lang="en-US" sz="1100">
              <a:solidFill>
                <a:schemeClr val="dk1"/>
              </a:solidFill>
              <a:effectLst/>
              <a:latin typeface="+mn-lt"/>
              <a:ea typeface="+mn-ea"/>
              <a:cs typeface="+mn-cs"/>
            </a:rPr>
            <a:t>% of GDP and were higher by </a:t>
          </a:r>
          <a:r>
            <a:rPr lang="sr-Latn-ME" sz="1100">
              <a:solidFill>
                <a:schemeClr val="dk1"/>
              </a:solidFill>
              <a:effectLst/>
              <a:latin typeface="+mn-lt"/>
              <a:ea typeface="+mn-ea"/>
              <a:cs typeface="+mn-cs"/>
            </a:rPr>
            <a:t>58,4 </a:t>
          </a:r>
          <a:r>
            <a:rPr lang="en-US" sz="1100">
              <a:solidFill>
                <a:schemeClr val="dk1"/>
              </a:solidFill>
              <a:effectLst/>
              <a:latin typeface="+mn-lt"/>
              <a:ea typeface="+mn-ea"/>
              <a:cs typeface="+mn-cs"/>
            </a:rPr>
            <a:t>million</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4,0</a:t>
          </a:r>
          <a:r>
            <a:rPr lang="en-US" sz="1100">
              <a:solidFill>
                <a:schemeClr val="dk1"/>
              </a:solidFill>
              <a:effectLst/>
              <a:latin typeface="+mn-lt"/>
              <a:ea typeface="+mn-ea"/>
              <a:cs typeface="+mn-cs"/>
            </a:rPr>
            <a:t>%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Compared to the plan, expenditures were lower by </a:t>
          </a:r>
          <a:r>
            <a:rPr lang="sr-Latn-ME" sz="1100">
              <a:solidFill>
                <a:schemeClr val="dk1"/>
              </a:solidFill>
              <a:effectLst/>
              <a:latin typeface="+mn-lt"/>
              <a:ea typeface="+mn-ea"/>
              <a:cs typeface="+mn-cs"/>
            </a:rPr>
            <a:t>148,1</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8,8</a:t>
          </a:r>
          <a:r>
            <a:rPr lang="en-US" sz="1100">
              <a:solidFill>
                <a:schemeClr val="dk1"/>
              </a:solidFill>
              <a:effectLst/>
              <a:latin typeface="+mn-lt"/>
              <a:ea typeface="+mn-ea"/>
              <a:cs typeface="+mn-cs"/>
            </a:rPr>
            <a:t>%. In</a:t>
          </a:r>
          <a:r>
            <a:rPr lang="sr-Latn-ME" sz="1100">
              <a:solidFill>
                <a:schemeClr val="dk1"/>
              </a:solidFill>
              <a:effectLst/>
              <a:latin typeface="+mn-lt"/>
              <a:ea typeface="+mn-ea"/>
              <a:cs typeface="+mn-cs"/>
            </a:rPr>
            <a:t> the</a:t>
          </a:r>
          <a:r>
            <a:rPr lang="sr-Latn-ME" sz="1100" baseline="0">
              <a:solidFill>
                <a:schemeClr val="dk1"/>
              </a:solidFill>
              <a:effectLst/>
              <a:latin typeface="+mn-lt"/>
              <a:ea typeface="+mn-ea"/>
              <a:cs typeface="+mn-cs"/>
            </a:rPr>
            <a:t> period</a:t>
          </a:r>
          <a:r>
            <a:rPr lang="en-US" sz="1100">
              <a:solidFill>
                <a:schemeClr val="dk1"/>
              </a:solidFill>
              <a:effectLst/>
              <a:latin typeface="+mn-lt"/>
              <a:ea typeface="+mn-ea"/>
              <a:cs typeface="+mn-cs"/>
            </a:rPr>
            <a:t> January</a:t>
          </a:r>
          <a:r>
            <a:rPr lang="sr-Latn-ME" sz="1100">
              <a:solidFill>
                <a:schemeClr val="dk1"/>
              </a:solidFill>
              <a:effectLst/>
              <a:latin typeface="+mn-lt"/>
              <a:ea typeface="+mn-ea"/>
              <a:cs typeface="+mn-cs"/>
            </a:rPr>
            <a:t>-October</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the </a:t>
          </a:r>
          <a:r>
            <a:rPr lang="en-US" sz="1100" b="1">
              <a:solidFill>
                <a:schemeClr val="dk1"/>
              </a:solidFill>
              <a:effectLst/>
              <a:latin typeface="+mn-lt"/>
              <a:ea typeface="+mn-ea"/>
              <a:cs typeface="+mn-cs"/>
            </a:rPr>
            <a:t>budget deficit </a:t>
          </a:r>
          <a:r>
            <a:rPr lang="en-US" sz="1100">
              <a:solidFill>
                <a:schemeClr val="dk1"/>
              </a:solidFill>
              <a:effectLst/>
              <a:latin typeface="+mn-lt"/>
              <a:ea typeface="+mn-ea"/>
              <a:cs typeface="+mn-cs"/>
            </a:rPr>
            <a:t>amounted to </a:t>
          </a:r>
          <a:r>
            <a:rPr lang="sr-Latn-ME" sz="1100">
              <a:solidFill>
                <a:schemeClr val="dk1"/>
              </a:solidFill>
              <a:effectLst/>
              <a:latin typeface="+mn-lt"/>
              <a:ea typeface="+mn-ea"/>
              <a:cs typeface="+mn-cs"/>
            </a:rPr>
            <a:t>35,4</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0,7</a:t>
          </a:r>
          <a:r>
            <a:rPr lang="en-US" sz="1100">
              <a:solidFill>
                <a:schemeClr val="dk1"/>
              </a:solidFill>
              <a:effectLst/>
              <a:latin typeface="+mn-lt"/>
              <a:ea typeface="+mn-ea"/>
              <a:cs typeface="+mn-cs"/>
            </a:rPr>
            <a:t>% of the estimated GDP.</a:t>
          </a:r>
          <a:endParaRPr lang="en-US">
            <a:effectLst/>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Methodological </a:t>
          </a:r>
          <a:r>
            <a:rPr lang="sr-Latn-ME" sz="1100">
              <a:solidFill>
                <a:schemeClr val="dk1"/>
              </a:solidFill>
              <a:effectLst/>
              <a:latin typeface="+mn-lt"/>
              <a:ea typeface="+mn-ea"/>
              <a:cs typeface="+mn-cs"/>
            </a:rPr>
            <a:t>remarks</a:t>
          </a:r>
          <a:r>
            <a:rPr lang="en-US" sz="1100">
              <a:solidFill>
                <a:schemeClr val="dk1"/>
              </a:solidFill>
              <a:effectLst/>
              <a:latin typeface="+mn-lt"/>
              <a:ea typeface="+mn-ea"/>
              <a:cs typeface="+mn-cs"/>
            </a:rPr>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r>
            <a:rPr lang="sr-Latn-ME" sz="1100">
              <a:solidFill>
                <a:schemeClr val="dk1"/>
              </a:solidFill>
              <a:effectLst/>
              <a:latin typeface="+mn-lt"/>
              <a:ea typeface="+mn-ea"/>
              <a:cs typeface="+mn-cs"/>
            </a:rPr>
            <a:t>.</a:t>
          </a: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13</xdr:col>
      <xdr:colOff>581025</xdr:colOff>
      <xdr:row>2</xdr:row>
      <xdr:rowOff>123824</xdr:rowOff>
    </xdr:from>
    <xdr:to>
      <xdr:col>15</xdr:col>
      <xdr:colOff>352425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561975</xdr:colOff>
      <xdr:row>4</xdr:row>
      <xdr:rowOff>28574</xdr:rowOff>
    </xdr:from>
    <xdr:to>
      <xdr:col>15</xdr:col>
      <xdr:colOff>352424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295275</xdr:colOff>
      <xdr:row>1</xdr:row>
      <xdr:rowOff>38100</xdr:rowOff>
    </xdr:from>
    <xdr:to>
      <xdr:col>15</xdr:col>
      <xdr:colOff>656683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16</xdr:col>
      <xdr:colOff>600075</xdr:colOff>
      <xdr:row>1</xdr:row>
      <xdr:rowOff>47625</xdr:rowOff>
    </xdr:from>
    <xdr:to>
      <xdr:col>19</xdr:col>
      <xdr:colOff>271237</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16</xdr:col>
      <xdr:colOff>600075</xdr:colOff>
      <xdr:row>3</xdr:row>
      <xdr:rowOff>9525</xdr:rowOff>
    </xdr:from>
    <xdr:to>
      <xdr:col>19</xdr:col>
      <xdr:colOff>271237</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10</xdr:col>
      <xdr:colOff>123825</xdr:colOff>
      <xdr:row>2</xdr:row>
      <xdr:rowOff>95250</xdr:rowOff>
    </xdr:from>
    <xdr:to>
      <xdr:col>12</xdr:col>
      <xdr:colOff>591185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Directorate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2019-10</v>
      </c>
      <c r="O6" s="168" t="str">
        <f>+CONCATENATE(N6,"p")</f>
        <v>2019-10p</v>
      </c>
      <c r="P6" s="152"/>
      <c r="Q6" s="152"/>
      <c r="R6" s="168" t="str">
        <f>+IF(Master!B3-10&gt;=0,CONCATENATE(Master!B4-1,"-",Master!B3),CONCATENATE(Master!B4-1,"-0",Master!B3))</f>
        <v>2018-10</v>
      </c>
      <c r="S6" s="152"/>
      <c r="T6" s="152"/>
    </row>
    <row r="7" spans="1:20">
      <c r="A7" s="169"/>
      <c r="B7" s="458" t="s">
        <v>702</v>
      </c>
      <c r="C7" s="459"/>
      <c r="D7" s="459"/>
      <c r="E7" s="459"/>
      <c r="F7" s="459"/>
      <c r="G7" s="467" t="s">
        <v>700</v>
      </c>
      <c r="H7" s="468"/>
      <c r="I7" s="468"/>
      <c r="J7" s="468"/>
      <c r="K7" s="468"/>
      <c r="L7" s="468"/>
      <c r="M7" s="469"/>
      <c r="N7" s="470" t="str">
        <f>+Master!G242</f>
        <v>December</v>
      </c>
      <c r="O7" s="468"/>
      <c r="P7" s="468"/>
      <c r="Q7" s="468"/>
      <c r="R7" s="468"/>
      <c r="S7" s="468"/>
      <c r="T7" s="471"/>
    </row>
    <row r="8" spans="1:20">
      <c r="A8" s="169"/>
      <c r="B8" s="460"/>
      <c r="C8" s="461"/>
      <c r="D8" s="461"/>
      <c r="E8" s="461"/>
      <c r="F8" s="462"/>
      <c r="G8" s="170" t="str">
        <f>+Master!G23</f>
        <v>Execution</v>
      </c>
      <c r="H8" s="170" t="str">
        <f>+Master!G22</f>
        <v>Plan</v>
      </c>
      <c r="I8" s="454" t="str">
        <f>+Master!G260</f>
        <v>Deviation</v>
      </c>
      <c r="J8" s="454"/>
      <c r="K8" s="170" t="str">
        <f>+CONCATENATE(Master!G245," ",Master!B4-1)</f>
        <v>Jan - Oct 2018</v>
      </c>
      <c r="L8" s="454" t="str">
        <f>+I8</f>
        <v>Deviation</v>
      </c>
      <c r="M8" s="466"/>
      <c r="N8" s="171" t="str">
        <f>+G8</f>
        <v>Execution</v>
      </c>
      <c r="O8" s="170" t="str">
        <f>+H8</f>
        <v>Plan</v>
      </c>
      <c r="P8" s="454" t="str">
        <f>+I8</f>
        <v>Deviation</v>
      </c>
      <c r="Q8" s="454"/>
      <c r="R8" s="170" t="str">
        <f>+CONCATENATE(Master!G244," ",Master!B4-1)</f>
        <v>October 2018</v>
      </c>
      <c r="S8" s="454" t="str">
        <f>+P8</f>
        <v>Deviation</v>
      </c>
      <c r="T8" s="455"/>
    </row>
    <row r="9" spans="1:20" ht="15.75" thickBot="1">
      <c r="A9" s="169"/>
      <c r="B9" s="463"/>
      <c r="C9" s="464"/>
      <c r="D9" s="464"/>
      <c r="E9" s="464"/>
      <c r="F9" s="465"/>
      <c r="G9" s="162" t="s">
        <v>423</v>
      </c>
      <c r="H9" s="162" t="s">
        <v>423</v>
      </c>
      <c r="I9" s="162" t="s">
        <v>423</v>
      </c>
      <c r="J9" s="162" t="s">
        <v>688</v>
      </c>
      <c r="K9" s="162" t="s">
        <v>423</v>
      </c>
      <c r="L9" s="162" t="s">
        <v>423</v>
      </c>
      <c r="M9" s="172" t="s">
        <v>688</v>
      </c>
      <c r="N9" s="173" t="s">
        <v>423</v>
      </c>
      <c r="O9" s="162" t="s">
        <v>423</v>
      </c>
      <c r="P9" s="162" t="s">
        <v>423</v>
      </c>
      <c r="Q9" s="162" t="s">
        <v>688</v>
      </c>
      <c r="R9" s="162" t="s">
        <v>423</v>
      </c>
      <c r="S9" s="162" t="s">
        <v>423</v>
      </c>
      <c r="T9" s="174" t="s">
        <v>688</v>
      </c>
    </row>
    <row r="10" spans="1:20" ht="15.75" thickBot="1">
      <c r="A10" s="175">
        <v>7</v>
      </c>
      <c r="B10" s="500" t="str">
        <f>+VLOOKUP($A10,Master!$D$27:$G$225,4,FALSE)</f>
        <v>Total Revenues</v>
      </c>
      <c r="C10" s="501"/>
      <c r="D10" s="501"/>
      <c r="E10" s="501"/>
      <c r="F10" s="501"/>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502" t="str">
        <f>+VLOOKUP($A11,Master!$D$27:$G$225,4,FALSE)</f>
        <v>Taxes</v>
      </c>
      <c r="C11" s="503"/>
      <c r="D11" s="503"/>
      <c r="E11" s="503"/>
      <c r="F11" s="503"/>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88" t="str">
        <f>+VLOOKUP($A12,Master!$D$27:$G$225,4,FALSE)</f>
        <v>Personal Income Tax</v>
      </c>
      <c r="C12" s="489"/>
      <c r="D12" s="489"/>
      <c r="E12" s="489"/>
      <c r="F12" s="489"/>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88" t="str">
        <f>+VLOOKUP($A13,Master!$D$27:$G$225,4,FALSE)</f>
        <v>Corporate Income Tax</v>
      </c>
      <c r="C13" s="489"/>
      <c r="D13" s="489"/>
      <c r="E13" s="489"/>
      <c r="F13" s="489"/>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88" t="str">
        <f>+VLOOKUP($A14,Master!$D$27:$G$225,4,FALSE)</f>
        <v xml:space="preserve">Taxes on Sales of Property </v>
      </c>
      <c r="C14" s="489"/>
      <c r="D14" s="489"/>
      <c r="E14" s="489"/>
      <c r="F14" s="489"/>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88" t="str">
        <f>+VLOOKUP($A15,Master!$D$27:$G$225,4,FALSE)</f>
        <v>Value Added Tax</v>
      </c>
      <c r="C15" s="489"/>
      <c r="D15" s="489"/>
      <c r="E15" s="489"/>
      <c r="F15" s="489"/>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88" t="str">
        <f>+VLOOKUP($A16,Master!$D$27:$G$225,4,FALSE)</f>
        <v>Excises</v>
      </c>
      <c r="C16" s="489"/>
      <c r="D16" s="489"/>
      <c r="E16" s="489"/>
      <c r="F16" s="489"/>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88" t="str">
        <f>+VLOOKUP($A17,Master!$D$27:$G$225,4,FALSE)</f>
        <v>Tax on International Trade and Transactions</v>
      </c>
      <c r="C17" s="489"/>
      <c r="D17" s="489"/>
      <c r="E17" s="489"/>
      <c r="F17" s="489"/>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88" t="e">
        <f>+VLOOKUP($A18,Master!$D$27:$G$225,4,FALSE)</f>
        <v>#N/A</v>
      </c>
      <c r="C18" s="489"/>
      <c r="D18" s="489"/>
      <c r="E18" s="489"/>
      <c r="F18" s="489"/>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88" t="str">
        <f>+VLOOKUP($A19,Master!$D$27:$G$225,4,FALSE)</f>
        <v>Other Republic Taxes</v>
      </c>
      <c r="C19" s="489"/>
      <c r="D19" s="489"/>
      <c r="E19" s="489"/>
      <c r="F19" s="489"/>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98" t="str">
        <f>+VLOOKUP($A20,Master!$D$27:$G$225,4,FALSE)</f>
        <v>Contributions</v>
      </c>
      <c r="C20" s="499"/>
      <c r="D20" s="499"/>
      <c r="E20" s="499"/>
      <c r="F20" s="499"/>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88" t="str">
        <f>+VLOOKUP($A21,Master!$D$27:$G$225,4,FALSE)</f>
        <v>Contributions for Pension and Disability Insurance</v>
      </c>
      <c r="C21" s="489"/>
      <c r="D21" s="489"/>
      <c r="E21" s="489"/>
      <c r="F21" s="489"/>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88" t="str">
        <f>+VLOOKUP($A22,Master!$D$27:$G$225,4,FALSE)</f>
        <v>Contributions for Health Insurance</v>
      </c>
      <c r="C22" s="489"/>
      <c r="D22" s="489"/>
      <c r="E22" s="489"/>
      <c r="F22" s="489"/>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88" t="str">
        <f>+VLOOKUP($A23,Master!$D$27:$G$225,4,FALSE)</f>
        <v>Contributions for  Unemployment Insurance</v>
      </c>
      <c r="C23" s="489"/>
      <c r="D23" s="489"/>
      <c r="E23" s="489"/>
      <c r="F23" s="489"/>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88" t="str">
        <f>+VLOOKUP($A24,Master!$D$27:$G$225,4,FALSE)</f>
        <v>Other contributions</v>
      </c>
      <c r="C24" s="489"/>
      <c r="D24" s="489"/>
      <c r="E24" s="489"/>
      <c r="F24" s="489"/>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90" t="str">
        <f>+VLOOKUP($A25,Master!$D$27:$G$225,4,FALSE)</f>
        <v>Duties</v>
      </c>
      <c r="C25" s="491"/>
      <c r="D25" s="491"/>
      <c r="E25" s="491"/>
      <c r="F25" s="491"/>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90" t="str">
        <f>+VLOOKUP($A26,Master!$D$27:$G$225,4,FALSE)</f>
        <v>Fees</v>
      </c>
      <c r="C26" s="491"/>
      <c r="D26" s="491"/>
      <c r="E26" s="491"/>
      <c r="F26" s="491"/>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90" t="str">
        <f>+VLOOKUP($A27,Master!$D$27:$G$225,4,FALSE)</f>
        <v>Other revenues</v>
      </c>
      <c r="C27" s="491"/>
      <c r="D27" s="491"/>
      <c r="E27" s="491"/>
      <c r="F27" s="491"/>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90" t="str">
        <f>+VLOOKUP($A28,Master!$D$27:$G$225,4,FALSE)</f>
        <v>Receipts from Repayment of Loans and Funds Carried over from Previous Year</v>
      </c>
      <c r="C28" s="491"/>
      <c r="D28" s="491"/>
      <c r="E28" s="491"/>
      <c r="F28" s="491"/>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92" t="str">
        <f>+VLOOKUP($A29,Master!$D$27:$G$225,4,FALSE)</f>
        <v>Grants and Transfers</v>
      </c>
      <c r="C29" s="493"/>
      <c r="D29" s="493"/>
      <c r="E29" s="493"/>
      <c r="F29" s="493"/>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78" t="str">
        <f>+VLOOKUP($A30,Master!$D$27:$G$225,4,FALSE)</f>
        <v>Total Expenditures</v>
      </c>
      <c r="C30" s="479"/>
      <c r="D30" s="479"/>
      <c r="E30" s="479"/>
      <c r="F30" s="479"/>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94" t="str">
        <f>+VLOOKUP($A31,Master!$D$27:$G$225,4,FALSE)</f>
        <v>Current Expenditures</v>
      </c>
      <c r="C31" s="495"/>
      <c r="D31" s="495"/>
      <c r="E31" s="495"/>
      <c r="F31" s="495"/>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96" t="str">
        <f>+VLOOKUP($A32,Master!$D$27:$G$225,4,FALSE)</f>
        <v>Current Budgetary Consumption</v>
      </c>
      <c r="C32" s="497"/>
      <c r="D32" s="497"/>
      <c r="E32" s="497"/>
      <c r="F32" s="497"/>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88" t="str">
        <f>+VLOOKUP($A33,Master!$D$27:$G$225,4,FALSE)</f>
        <v>Gross Salaries and Contributions</v>
      </c>
      <c r="C33" s="489"/>
      <c r="D33" s="489"/>
      <c r="E33" s="489"/>
      <c r="F33" s="489"/>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88" t="str">
        <f>+VLOOKUP($A34,Master!$D$27:$G$225,4,FALSE)</f>
        <v>Other Personal Income</v>
      </c>
      <c r="C34" s="489"/>
      <c r="D34" s="489"/>
      <c r="E34" s="489"/>
      <c r="F34" s="489"/>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88" t="str">
        <f>+VLOOKUP($A35,Master!$D$27:$G$225,4,FALSE)</f>
        <v>Expenditures for Supplies</v>
      </c>
      <c r="C35" s="489"/>
      <c r="D35" s="489"/>
      <c r="E35" s="489"/>
      <c r="F35" s="489"/>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88" t="str">
        <f>+VLOOKUP($A36,Master!$D$27:$G$225,4,FALSE)</f>
        <v>Expenditures for Services</v>
      </c>
      <c r="C36" s="489"/>
      <c r="D36" s="489"/>
      <c r="E36" s="489"/>
      <c r="F36" s="489"/>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88" t="str">
        <f>+VLOOKUP($A37,Master!$D$27:$G$225,4,FALSE)</f>
        <v>Current Maintenance</v>
      </c>
      <c r="C37" s="489"/>
      <c r="D37" s="489"/>
      <c r="E37" s="489"/>
      <c r="F37" s="489"/>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88" t="str">
        <f>+VLOOKUP($A38,Master!$D$27:$G$225,4,FALSE)</f>
        <v>Interests</v>
      </c>
      <c r="C38" s="489"/>
      <c r="D38" s="489"/>
      <c r="E38" s="489"/>
      <c r="F38" s="489"/>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88" t="str">
        <f>+VLOOKUP($A39,Master!$D$27:$G$225,4,FALSE)</f>
        <v>Rent</v>
      </c>
      <c r="C39" s="489"/>
      <c r="D39" s="489"/>
      <c r="E39" s="489"/>
      <c r="F39" s="489"/>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88" t="str">
        <f>+VLOOKUP($A40,Master!$D$27:$G$225,4,FALSE)</f>
        <v>Subsidies</v>
      </c>
      <c r="C40" s="489"/>
      <c r="D40" s="489"/>
      <c r="E40" s="489"/>
      <c r="F40" s="489"/>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88" t="str">
        <f>+VLOOKUP($A41,Master!$D$27:$G$225,4,FALSE)</f>
        <v>Other expenditures</v>
      </c>
      <c r="C41" s="489"/>
      <c r="D41" s="489"/>
      <c r="E41" s="489"/>
      <c r="F41" s="489"/>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88" t="str">
        <f>+VLOOKUP($A42,Master!$D$27:$G$225,4,FALSE)</f>
        <v>Current Capital Expenditure</v>
      </c>
      <c r="C42" s="489"/>
      <c r="D42" s="489"/>
      <c r="E42" s="489"/>
      <c r="F42" s="489"/>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84" t="str">
        <f>+VLOOKUP($A43,Master!$D$27:$G$225,4,FALSE)</f>
        <v>Social Security Transfers</v>
      </c>
      <c r="C43" s="485"/>
      <c r="D43" s="485"/>
      <c r="E43" s="485"/>
      <c r="F43" s="485"/>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88" t="str">
        <f>+VLOOKUP($A44,Master!$D$27:$G$225,4,FALSE)</f>
        <v>Social Security</v>
      </c>
      <c r="C44" s="489"/>
      <c r="D44" s="489"/>
      <c r="E44" s="489"/>
      <c r="F44" s="489"/>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88" t="str">
        <f>+VLOOKUP($A45,Master!$D$27:$G$225,4,FALSE)</f>
        <v>Funds for redundant labor</v>
      </c>
      <c r="C45" s="489"/>
      <c r="D45" s="489"/>
      <c r="E45" s="489"/>
      <c r="F45" s="489"/>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88" t="str">
        <f>+VLOOKUP($A46,Master!$D$27:$G$225,4,FALSE)</f>
        <v>Pension and Disability Insurance</v>
      </c>
      <c r="C46" s="489"/>
      <c r="D46" s="489"/>
      <c r="E46" s="489"/>
      <c r="F46" s="489"/>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88" t="str">
        <f>+VLOOKUP($A47,Master!$D$27:$G$225,4,FALSE)</f>
        <v>Other Health Care Transfers</v>
      </c>
      <c r="C47" s="489"/>
      <c r="D47" s="489"/>
      <c r="E47" s="489"/>
      <c r="F47" s="489"/>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88" t="str">
        <f>+VLOOKUP($A48,Master!$D$27:$G$225,4,FALSE)</f>
        <v>Other Health Care Insurance</v>
      </c>
      <c r="C48" s="489"/>
      <c r="D48" s="489"/>
      <c r="E48" s="489"/>
      <c r="F48" s="489"/>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86" t="str">
        <f>+VLOOKUP($A49,Master!$D$27:$G$225,4,FALSE)</f>
        <v xml:space="preserve">Transfers to Institutions, Individuals, NGO and Public Sector </v>
      </c>
      <c r="C49" s="487"/>
      <c r="D49" s="487"/>
      <c r="E49" s="487"/>
      <c r="F49" s="487"/>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86" t="str">
        <f>+VLOOKUP($A50,Master!$D$27:$G$225,4,FALSE)</f>
        <v>Capital Expenditure</v>
      </c>
      <c r="C50" s="487"/>
      <c r="D50" s="487"/>
      <c r="E50" s="487"/>
      <c r="F50" s="487"/>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56" t="str">
        <f>+VLOOKUP($A51,Master!$D$27:$G$225,4,FALSE)</f>
        <v>Credits and Borrowings</v>
      </c>
      <c r="C51" s="457"/>
      <c r="D51" s="457"/>
      <c r="E51" s="457"/>
      <c r="F51" s="457"/>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56" t="str">
        <f>+VLOOKUP($A52,Master!$D$27:$G$225,4,FALSE)</f>
        <v>Reserves</v>
      </c>
      <c r="C52" s="457"/>
      <c r="D52" s="457"/>
      <c r="E52" s="457"/>
      <c r="F52" s="457"/>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4" t="str">
        <f>+VLOOKUP($A53,Master!$D$27:$G$225,4,FALSE)</f>
        <v>Repayment of Guarantees</v>
      </c>
      <c r="C53" s="475"/>
      <c r="D53" s="475"/>
      <c r="E53" s="475"/>
      <c r="F53" s="475"/>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4" t="str">
        <f>+VLOOKUP($A54,Master!$D$27:$G$225,4,FALSE)</f>
        <v>Repayments of Arrears</v>
      </c>
      <c r="C54" s="475"/>
      <c r="D54" s="475"/>
      <c r="E54" s="475"/>
      <c r="F54" s="475"/>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4" t="str">
        <f>+VLOOKUP($A55,Master!$D$27:$G$227,4,FALSE)</f>
        <v>Net increase of liabilities</v>
      </c>
      <c r="C55" s="475"/>
      <c r="D55" s="475"/>
      <c r="E55" s="475"/>
      <c r="F55" s="475"/>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80" t="str">
        <f>+VLOOKUP($A56,Master!$D$27:$G$225,4,FALSE)</f>
        <v>Surplus / deficit</v>
      </c>
      <c r="C56" s="481"/>
      <c r="D56" s="481"/>
      <c r="E56" s="481"/>
      <c r="F56" s="481"/>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82" t="str">
        <f>+VLOOKUP($A57,Master!$D$27:$G$225,4,FALSE)</f>
        <v>Primary balance</v>
      </c>
      <c r="C57" s="483"/>
      <c r="D57" s="483"/>
      <c r="E57" s="483"/>
      <c r="F57" s="483"/>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84" t="str">
        <f>+VLOOKUP($A58,Master!$D$27:$G$225,4,FALSE)</f>
        <v>Repayment of Debt</v>
      </c>
      <c r="C58" s="485"/>
      <c r="D58" s="485"/>
      <c r="E58" s="485"/>
      <c r="F58" s="485"/>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72" t="str">
        <f>+VLOOKUP($A59,Master!$D$27:$G$225,4,FALSE)</f>
        <v>Repayment of Domestic Debt</v>
      </c>
      <c r="C59" s="473"/>
      <c r="D59" s="473"/>
      <c r="E59" s="473"/>
      <c r="F59" s="473"/>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56" t="str">
        <f>+VLOOKUP($A60,Master!$D$27:$G$225,4,FALSE)</f>
        <v>Repayment of Foreign Debt</v>
      </c>
      <c r="C60" s="457"/>
      <c r="D60" s="457"/>
      <c r="E60" s="457"/>
      <c r="F60" s="457"/>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693</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76" t="str">
        <f>+VLOOKUP($A62,Master!$D$27:$G$225,4,FALSE)</f>
        <v>Financing needs</v>
      </c>
      <c r="C62" s="477"/>
      <c r="D62" s="477"/>
      <c r="E62" s="477"/>
      <c r="F62" s="477"/>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78" t="str">
        <f>+VLOOKUP($A63,Master!$D$27:$G$225,4,FALSE)</f>
        <v>Financing</v>
      </c>
      <c r="C63" s="479"/>
      <c r="D63" s="479"/>
      <c r="E63" s="479"/>
      <c r="F63" s="479"/>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72" t="str">
        <f>+VLOOKUP($A64,Master!$D$27:$G$225,4,FALSE)</f>
        <v>Domestic Loans and Borrowings</v>
      </c>
      <c r="C64" s="473"/>
      <c r="D64" s="473"/>
      <c r="E64" s="473"/>
      <c r="F64" s="473"/>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56" t="str">
        <f>+VLOOKUP($A65,Master!$D$27:$G$225,4,FALSE)</f>
        <v>Foreign Loans and Borrowings</v>
      </c>
      <c r="C65" s="457"/>
      <c r="D65" s="457"/>
      <c r="E65" s="457"/>
      <c r="F65" s="457"/>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56" t="str">
        <f>+VLOOKUP($A66,Master!$D$27:$G$225,4,FALSE)</f>
        <v>Revenues from Selling Assets</v>
      </c>
      <c r="C66" s="457"/>
      <c r="D66" s="457"/>
      <c r="E66" s="457"/>
      <c r="F66" s="457"/>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525</v>
      </c>
      <c r="H6" s="259" t="s">
        <v>526</v>
      </c>
      <c r="I6" s="259" t="s">
        <v>527</v>
      </c>
      <c r="J6" s="259" t="s">
        <v>528</v>
      </c>
      <c r="K6" s="259" t="s">
        <v>529</v>
      </c>
      <c r="L6" s="259" t="s">
        <v>530</v>
      </c>
      <c r="M6" s="259" t="s">
        <v>531</v>
      </c>
      <c r="N6" s="259" t="s">
        <v>532</v>
      </c>
      <c r="O6" s="259" t="s">
        <v>533</v>
      </c>
      <c r="P6" s="259" t="s">
        <v>534</v>
      </c>
      <c r="Q6" s="259" t="s">
        <v>535</v>
      </c>
      <c r="R6" s="259" t="s">
        <v>536</v>
      </c>
      <c r="S6" s="258"/>
      <c r="T6" s="258"/>
    </row>
    <row r="7" spans="1:20" ht="15" customHeight="1" thickBot="1">
      <c r="A7" s="169"/>
      <c r="B7" s="561" t="str">
        <f>+Master!G251</f>
        <v>Budget Execution</v>
      </c>
      <c r="C7" s="459"/>
      <c r="D7" s="459"/>
      <c r="E7" s="459"/>
      <c r="F7" s="459"/>
      <c r="G7" s="467">
        <v>2014</v>
      </c>
      <c r="H7" s="468"/>
      <c r="I7" s="468"/>
      <c r="J7" s="468"/>
      <c r="K7" s="468"/>
      <c r="L7" s="468"/>
      <c r="M7" s="468"/>
      <c r="N7" s="468"/>
      <c r="O7" s="468"/>
      <c r="P7" s="468"/>
      <c r="Q7" s="468"/>
      <c r="R7" s="471"/>
      <c r="S7" s="260" t="str">
        <f>+Master!G248</f>
        <v>GDP</v>
      </c>
      <c r="T7" s="261">
        <v>3457880000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
        <v>700</v>
      </c>
      <c r="T8" s="471"/>
    </row>
    <row r="9" spans="1:20" ht="13.5" thickBot="1">
      <c r="A9" s="169"/>
      <c r="B9" s="463"/>
      <c r="C9" s="464"/>
      <c r="D9" s="464"/>
      <c r="E9" s="464"/>
      <c r="F9" s="465"/>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0" t="str">
        <f>+VLOOKUP($A10,Master!$D$27:$G$225,4,FALSE)</f>
        <v>Total Revenues</v>
      </c>
      <c r="C10" s="501"/>
      <c r="D10" s="501"/>
      <c r="E10" s="501"/>
      <c r="F10" s="501"/>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502" t="str">
        <f>+VLOOKUP($A11,Master!$D$27:$G$225,4,FALSE)</f>
        <v>Taxes</v>
      </c>
      <c r="C11" s="503"/>
      <c r="D11" s="503"/>
      <c r="E11" s="503"/>
      <c r="F11" s="503"/>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88" t="str">
        <f>+VLOOKUP($A12,Master!$D$27:$G$225,4,FALSE)</f>
        <v>Personal Income Tax</v>
      </c>
      <c r="C12" s="489"/>
      <c r="D12" s="489"/>
      <c r="E12" s="489"/>
      <c r="F12" s="489"/>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88" t="str">
        <f>+VLOOKUP($A13,Master!$D$27:$G$225,4,FALSE)</f>
        <v>Corporate Income Tax</v>
      </c>
      <c r="C13" s="489"/>
      <c r="D13" s="489"/>
      <c r="E13" s="489"/>
      <c r="F13" s="489"/>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88" t="str">
        <f>+VLOOKUP($A14,Master!$D$27:$G$225,4,FALSE)</f>
        <v xml:space="preserve">Taxes on Sales of Property </v>
      </c>
      <c r="C14" s="489"/>
      <c r="D14" s="489"/>
      <c r="E14" s="489"/>
      <c r="F14" s="489"/>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88" t="str">
        <f>+VLOOKUP($A15,Master!$D$27:$G$225,4,FALSE)</f>
        <v>Value Added Tax</v>
      </c>
      <c r="C15" s="489"/>
      <c r="D15" s="489"/>
      <c r="E15" s="489"/>
      <c r="F15" s="489"/>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88" t="str">
        <f>+VLOOKUP($A16,Master!$D$27:$G$225,4,FALSE)</f>
        <v>Excises</v>
      </c>
      <c r="C16" s="489"/>
      <c r="D16" s="489"/>
      <c r="E16" s="489"/>
      <c r="F16" s="489"/>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88" t="str">
        <f>+VLOOKUP($A17,Master!$D$27:$G$225,4,FALSE)</f>
        <v>Tax on International Trade and Transactions</v>
      </c>
      <c r="C17" s="489"/>
      <c r="D17" s="489"/>
      <c r="E17" s="489"/>
      <c r="F17" s="489"/>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88" t="str">
        <f>+VLOOKUP($A18,Master!$D$27:$G$225,4,FALSE)</f>
        <v>Other Republic Taxes</v>
      </c>
      <c r="C18" s="489"/>
      <c r="D18" s="489"/>
      <c r="E18" s="489"/>
      <c r="F18" s="489"/>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98" t="str">
        <f>+VLOOKUP($A19,Master!$D$27:$G$225,4,FALSE)</f>
        <v>Contributions</v>
      </c>
      <c r="C19" s="499"/>
      <c r="D19" s="499"/>
      <c r="E19" s="499"/>
      <c r="F19" s="499"/>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88" t="str">
        <f>+VLOOKUP($A20,Master!$D$27:$G$225,4,FALSE)</f>
        <v>Contributions for Pension and Disability Insurance</v>
      </c>
      <c r="C20" s="489"/>
      <c r="D20" s="489"/>
      <c r="E20" s="489"/>
      <c r="F20" s="489"/>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88" t="str">
        <f>+VLOOKUP($A21,Master!$D$27:$G$225,4,FALSE)</f>
        <v>Contributions for Health Insurance</v>
      </c>
      <c r="C21" s="489"/>
      <c r="D21" s="489"/>
      <c r="E21" s="489"/>
      <c r="F21" s="489"/>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88" t="str">
        <f>+VLOOKUP($A22,Master!$D$27:$G$225,4,FALSE)</f>
        <v>Contributions for  Unemployment Insurance</v>
      </c>
      <c r="C22" s="489"/>
      <c r="D22" s="489"/>
      <c r="E22" s="489"/>
      <c r="F22" s="489"/>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88" t="str">
        <f>+VLOOKUP($A23,Master!$D$27:$G$225,4,FALSE)</f>
        <v>Other contributions</v>
      </c>
      <c r="C23" s="489"/>
      <c r="D23" s="489"/>
      <c r="E23" s="489"/>
      <c r="F23" s="489"/>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90" t="str">
        <f>+VLOOKUP($A24,Master!$D$27:$G$225,4,FALSE)</f>
        <v>Duties</v>
      </c>
      <c r="C24" s="491"/>
      <c r="D24" s="491"/>
      <c r="E24" s="491"/>
      <c r="F24" s="491"/>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90" t="str">
        <f>+VLOOKUP($A25,Master!$D$27:$G$225,4,FALSE)</f>
        <v>Fees</v>
      </c>
      <c r="C25" s="491"/>
      <c r="D25" s="491"/>
      <c r="E25" s="491"/>
      <c r="F25" s="491"/>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90" t="str">
        <f>+VLOOKUP($A26,Master!$D$27:$G$225,4,FALSE)</f>
        <v>Other revenues</v>
      </c>
      <c r="C26" s="491"/>
      <c r="D26" s="491"/>
      <c r="E26" s="491"/>
      <c r="F26" s="491"/>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90" t="str">
        <f>+VLOOKUP($A27,Master!$D$27:$G$225,4,FALSE)</f>
        <v>Receipts from Repayment of Loans and Funds Carried over from Previous Year</v>
      </c>
      <c r="C27" s="491"/>
      <c r="D27" s="491"/>
      <c r="E27" s="491"/>
      <c r="F27" s="491"/>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92" t="str">
        <f>+VLOOKUP($A28,Master!$D$27:$G$225,4,FALSE)</f>
        <v>Grants and Transfers</v>
      </c>
      <c r="C28" s="493"/>
      <c r="D28" s="493"/>
      <c r="E28" s="493"/>
      <c r="F28" s="493"/>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78" t="str">
        <f>+VLOOKUP($A29,Master!$D$27:$G$225,4,FALSE)</f>
        <v>Total Expenditures</v>
      </c>
      <c r="C29" s="479"/>
      <c r="D29" s="479"/>
      <c r="E29" s="479"/>
      <c r="F29" s="479"/>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94" t="str">
        <f>+VLOOKUP($A30,Master!$D$27:$G$225,4,FALSE)</f>
        <v>Current Expenditures</v>
      </c>
      <c r="C30" s="495"/>
      <c r="D30" s="495"/>
      <c r="E30" s="495"/>
      <c r="F30" s="495"/>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96" t="str">
        <f>+VLOOKUP($A31,Master!$D$27:$G$225,4,FALSE)</f>
        <v>Current Budgetary Consumption</v>
      </c>
      <c r="C31" s="497"/>
      <c r="D31" s="497"/>
      <c r="E31" s="497"/>
      <c r="F31" s="497"/>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88" t="str">
        <f>+VLOOKUP($A32,Master!$D$27:$G$225,4,FALSE)</f>
        <v>Gross Salaries and Contributions</v>
      </c>
      <c r="C32" s="489"/>
      <c r="D32" s="489"/>
      <c r="E32" s="489"/>
      <c r="F32" s="489"/>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88" t="str">
        <f>+VLOOKUP($A33,Master!$D$27:$G$225,4,FALSE)</f>
        <v>Other Personal Income</v>
      </c>
      <c r="C33" s="489"/>
      <c r="D33" s="489"/>
      <c r="E33" s="489"/>
      <c r="F33" s="489"/>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88" t="str">
        <f>+VLOOKUP($A34,Master!$D$27:$G$225,4,FALSE)</f>
        <v>Expenditures for Supplies</v>
      </c>
      <c r="C34" s="489"/>
      <c r="D34" s="489"/>
      <c r="E34" s="489"/>
      <c r="F34" s="489"/>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88" t="str">
        <f>+VLOOKUP($A35,Master!$D$27:$G$225,4,FALSE)</f>
        <v>Expenditures for Services</v>
      </c>
      <c r="C35" s="489"/>
      <c r="D35" s="489"/>
      <c r="E35" s="489"/>
      <c r="F35" s="489"/>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88" t="str">
        <f>+VLOOKUP($A36,Master!$D$27:$G$225,4,FALSE)</f>
        <v>Current Maintenance</v>
      </c>
      <c r="C36" s="489"/>
      <c r="D36" s="489"/>
      <c r="E36" s="489"/>
      <c r="F36" s="489"/>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88" t="str">
        <f>+VLOOKUP($A37,Master!$D$27:$G$225,4,FALSE)</f>
        <v>Interests</v>
      </c>
      <c r="C37" s="489"/>
      <c r="D37" s="489"/>
      <c r="E37" s="489"/>
      <c r="F37" s="489"/>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88" t="str">
        <f>+VLOOKUP($A38,Master!$D$27:$G$225,4,FALSE)</f>
        <v>Rent</v>
      </c>
      <c r="C38" s="489"/>
      <c r="D38" s="489"/>
      <c r="E38" s="489"/>
      <c r="F38" s="489"/>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88" t="str">
        <f>+VLOOKUP($A39,Master!$D$27:$G$225,4,FALSE)</f>
        <v>Subsidies</v>
      </c>
      <c r="C39" s="489"/>
      <c r="D39" s="489"/>
      <c r="E39" s="489"/>
      <c r="F39" s="489"/>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88" t="str">
        <f>+VLOOKUP($A40,Master!$D$27:$G$225,4,FALSE)</f>
        <v>Other expenditures</v>
      </c>
      <c r="C40" s="489"/>
      <c r="D40" s="489"/>
      <c r="E40" s="489"/>
      <c r="F40" s="489"/>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88" t="str">
        <f>+VLOOKUP($A41,Master!$D$27:$G$225,4,FALSE)</f>
        <v>Current Capital Expenditure</v>
      </c>
      <c r="C41" s="489"/>
      <c r="D41" s="489"/>
      <c r="E41" s="489"/>
      <c r="F41" s="489"/>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84" t="str">
        <f>+VLOOKUP($A42,Master!$D$27:$G$225,4,FALSE)</f>
        <v>Social Security Transfers</v>
      </c>
      <c r="C42" s="485"/>
      <c r="D42" s="485"/>
      <c r="E42" s="485"/>
      <c r="F42" s="485"/>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88" t="str">
        <f>+VLOOKUP($A43,Master!$D$27:$G$225,4,FALSE)</f>
        <v>Social Security</v>
      </c>
      <c r="C43" s="489"/>
      <c r="D43" s="489"/>
      <c r="E43" s="489"/>
      <c r="F43" s="489"/>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88" t="str">
        <f>+VLOOKUP($A44,Master!$D$27:$G$225,4,FALSE)</f>
        <v>Funds for redundant labor</v>
      </c>
      <c r="C44" s="489"/>
      <c r="D44" s="489"/>
      <c r="E44" s="489"/>
      <c r="F44" s="489"/>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88" t="str">
        <f>+VLOOKUP($A45,Master!$D$27:$G$225,4,FALSE)</f>
        <v>Pension and Disability Insurance</v>
      </c>
      <c r="C45" s="489"/>
      <c r="D45" s="489"/>
      <c r="E45" s="489"/>
      <c r="F45" s="489"/>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88" t="str">
        <f>+VLOOKUP($A46,Master!$D$27:$G$225,4,FALSE)</f>
        <v>Other Health Care Transfers</v>
      </c>
      <c r="C46" s="489"/>
      <c r="D46" s="489"/>
      <c r="E46" s="489"/>
      <c r="F46" s="489"/>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88" t="str">
        <f>+VLOOKUP($A47,Master!$D$27:$G$225,4,FALSE)</f>
        <v>Other Health Care Insurance</v>
      </c>
      <c r="C47" s="489"/>
      <c r="D47" s="489"/>
      <c r="E47" s="489"/>
      <c r="F47" s="489"/>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86" t="str">
        <f>+VLOOKUP($A48,Master!$D$27:$G$225,4,FALSE)</f>
        <v xml:space="preserve">Transfers to Institutions, Individuals, NGO and Public Sector </v>
      </c>
      <c r="C48" s="487"/>
      <c r="D48" s="487"/>
      <c r="E48" s="487"/>
      <c r="F48" s="487"/>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86" t="str">
        <f>+VLOOKUP($A49,Master!$D$27:$G$225,4,FALSE)</f>
        <v>Capital Expenditure</v>
      </c>
      <c r="C49" s="487"/>
      <c r="D49" s="487"/>
      <c r="E49" s="487"/>
      <c r="F49" s="487"/>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56" t="str">
        <f>+VLOOKUP($A50,Master!$D$27:$G$225,4,FALSE)</f>
        <v>Credits and Borrowings</v>
      </c>
      <c r="C50" s="457"/>
      <c r="D50" s="457"/>
      <c r="E50" s="457"/>
      <c r="F50" s="457"/>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56" t="str">
        <f>+VLOOKUP($A51,Master!$D$27:$G$225,4,FALSE)</f>
        <v>Reserves</v>
      </c>
      <c r="C51" s="457"/>
      <c r="D51" s="457"/>
      <c r="E51" s="457"/>
      <c r="F51" s="457"/>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4" t="str">
        <f>+VLOOKUP($A52,Master!$D$27:$G$225,4,FALSE)</f>
        <v>Repayment of Guarantees</v>
      </c>
      <c r="C52" s="475"/>
      <c r="D52" s="475"/>
      <c r="E52" s="475"/>
      <c r="F52" s="475"/>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4" t="str">
        <f>+VLOOKUP($A53,Master!$D$27:$G$225,4,TRUE)</f>
        <v>Repayments of Arrears</v>
      </c>
      <c r="C53" s="475"/>
      <c r="D53" s="475"/>
      <c r="E53" s="475"/>
      <c r="F53" s="475"/>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20" t="str">
        <f>+VLOOKUP($A54,Master!$D$27:$G$227,4,FALSE)</f>
        <v>Net increase of liabilities</v>
      </c>
      <c r="C54" s="521"/>
      <c r="D54" s="521"/>
      <c r="E54" s="521"/>
      <c r="F54" s="521"/>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62" t="str">
        <f>+VLOOKUP($A55,Master!$D$27:$G$225,4,FALSE)</f>
        <v>Surplus / deficit</v>
      </c>
      <c r="C55" s="563"/>
      <c r="D55" s="563"/>
      <c r="E55" s="563"/>
      <c r="F55" s="563"/>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82" t="str">
        <f>+VLOOKUP($A56,Master!$D$27:$G$225,4,FALSE)</f>
        <v>Primary balance</v>
      </c>
      <c r="C56" s="483"/>
      <c r="D56" s="483"/>
      <c r="E56" s="483"/>
      <c r="F56" s="483"/>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84" t="str">
        <f>+VLOOKUP($A57,Master!$D$27:$G$225,4,FALSE)</f>
        <v>Repayment of Debt</v>
      </c>
      <c r="C57" s="485"/>
      <c r="D57" s="485"/>
      <c r="E57" s="485"/>
      <c r="F57" s="485"/>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72" t="str">
        <f>+VLOOKUP($A58,Master!$D$27:$G$225,4,FALSE)</f>
        <v>Repayment of Domestic Debt</v>
      </c>
      <c r="C58" s="473"/>
      <c r="D58" s="473"/>
      <c r="E58" s="473"/>
      <c r="F58" s="473"/>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56" t="str">
        <f>+VLOOKUP($A59,Master!$D$27:$G$225,4,FALSE)</f>
        <v>Repayment of Foreign Debt</v>
      </c>
      <c r="C59" s="457"/>
      <c r="D59" s="457"/>
      <c r="E59" s="457"/>
      <c r="F59" s="457"/>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76" t="str">
        <f>+VLOOKUP($A60,Master!$D$27:$G$225,4,FALSE)</f>
        <v>Financing needs</v>
      </c>
      <c r="C60" s="477"/>
      <c r="D60" s="477"/>
      <c r="E60" s="477"/>
      <c r="F60" s="477"/>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78" t="str">
        <f>+VLOOKUP($A61,Master!$D$27:$G$225,4,FALSE)</f>
        <v>Financing</v>
      </c>
      <c r="C61" s="479"/>
      <c r="D61" s="479"/>
      <c r="E61" s="479"/>
      <c r="F61" s="479"/>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72" t="str">
        <f>+VLOOKUP($A62,Master!$D$27:$G$225,4,FALSE)</f>
        <v>Domestic Loans and Borrowings</v>
      </c>
      <c r="C62" s="473"/>
      <c r="D62" s="473"/>
      <c r="E62" s="473"/>
      <c r="F62" s="473"/>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56" t="str">
        <f>+VLOOKUP($A63,Master!$D$27:$G$225,4,FALSE)</f>
        <v>Foreign Loans and Borrowings</v>
      </c>
      <c r="C63" s="457"/>
      <c r="D63" s="457"/>
      <c r="E63" s="457"/>
      <c r="F63" s="457"/>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56" t="str">
        <f>+VLOOKUP($A64,Master!$D$27:$G$225,4,FALSE)</f>
        <v>Revenues from Selling Assets</v>
      </c>
      <c r="C64" s="457"/>
      <c r="D64" s="457"/>
      <c r="E64" s="457"/>
      <c r="F64" s="457"/>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43" t="str">
        <f>+Master!G252</f>
        <v>Planned Budget Execution</v>
      </c>
      <c r="C101" s="544"/>
      <c r="D101" s="544"/>
      <c r="E101" s="544"/>
      <c r="F101" s="544"/>
      <c r="G101" s="536">
        <v>2014</v>
      </c>
      <c r="H101" s="537"/>
      <c r="I101" s="537"/>
      <c r="J101" s="537"/>
      <c r="K101" s="537"/>
      <c r="L101" s="537"/>
      <c r="M101" s="537"/>
      <c r="N101" s="537"/>
      <c r="O101" s="537"/>
      <c r="P101" s="537"/>
      <c r="Q101" s="537"/>
      <c r="R101" s="538"/>
      <c r="S101" s="115" t="str">
        <f>+S7</f>
        <v>GDP</v>
      </c>
      <c r="T101" s="116">
        <v>3393200615</v>
      </c>
    </row>
    <row r="102" spans="1:21" ht="15.75" customHeight="1">
      <c r="B102" s="545"/>
      <c r="C102" s="546"/>
      <c r="D102" s="546"/>
      <c r="E102" s="546"/>
      <c r="F102" s="547"/>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36" t="str">
        <f>+Master!G246</f>
        <v>Jan - Dec</v>
      </c>
      <c r="T102" s="538">
        <f>+T8</f>
        <v>0</v>
      </c>
    </row>
    <row r="103" spans="1:21" ht="13.5" thickBot="1">
      <c r="B103" s="548"/>
      <c r="C103" s="549"/>
      <c r="D103" s="549"/>
      <c r="E103" s="549"/>
      <c r="F103" s="550"/>
      <c r="G103" s="68" t="s">
        <v>423</v>
      </c>
      <c r="H103" s="68" t="s">
        <v>423</v>
      </c>
      <c r="I103" s="68" t="s">
        <v>423</v>
      </c>
      <c r="J103" s="68" t="s">
        <v>423</v>
      </c>
      <c r="K103" s="68" t="s">
        <v>423</v>
      </c>
      <c r="L103" s="68" t="s">
        <v>423</v>
      </c>
      <c r="M103" s="68" t="s">
        <v>423</v>
      </c>
      <c r="N103" s="68" t="s">
        <v>423</v>
      </c>
      <c r="O103" s="68" t="s">
        <v>423</v>
      </c>
      <c r="P103" s="68" t="s">
        <v>423</v>
      </c>
      <c r="Q103" s="68" t="s">
        <v>423</v>
      </c>
      <c r="R103" s="68" t="s">
        <v>423</v>
      </c>
      <c r="S103" s="66" t="s">
        <v>423</v>
      </c>
      <c r="T103" s="67" t="str">
        <f>+T9</f>
        <v>% GDP</v>
      </c>
    </row>
    <row r="104" spans="1:21" ht="13.5" thickBot="1">
      <c r="A104" s="137" t="str">
        <f t="shared" ref="A104:A111" si="16">+CONCATENATE(A10,"p")</f>
        <v>7p</v>
      </c>
      <c r="B104" s="539" t="str">
        <f>+VLOOKUP(LEFT($A104,LEN(A104)-1)*1,Master!$D$27:$G$225,4,FALSE)</f>
        <v>Total Revenues</v>
      </c>
      <c r="C104" s="540"/>
      <c r="D104" s="540"/>
      <c r="E104" s="540"/>
      <c r="F104" s="540"/>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41" t="str">
        <f>+VLOOKUP(LEFT($A105,LEN(A105)-1)*1,Master!$D$27:$G$225,4,FALSE)</f>
        <v>Taxes</v>
      </c>
      <c r="C105" s="542"/>
      <c r="D105" s="542"/>
      <c r="E105" s="542"/>
      <c r="F105" s="542"/>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2" t="str">
        <f>+VLOOKUP(LEFT($A106,LEN(A106)-1)*1,Master!$D$27:$G$225,4,FALSE)</f>
        <v>Personal Income Tax</v>
      </c>
      <c r="C106" s="523"/>
      <c r="D106" s="523"/>
      <c r="E106" s="523"/>
      <c r="F106" s="523"/>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2" t="str">
        <f>+VLOOKUP(LEFT($A107,LEN(A107)-1)*1,Master!$D$27:$G$225,4,FALSE)</f>
        <v>Corporate Income Tax</v>
      </c>
      <c r="C107" s="523"/>
      <c r="D107" s="523"/>
      <c r="E107" s="523"/>
      <c r="F107" s="523"/>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2" t="str">
        <f>+VLOOKUP(LEFT($A108,LEN(A108)-1)*1,Master!$D$27:$G$225,4,FALSE)</f>
        <v xml:space="preserve">Taxes on Sales of Property </v>
      </c>
      <c r="C108" s="523"/>
      <c r="D108" s="523"/>
      <c r="E108" s="523"/>
      <c r="F108" s="523"/>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2" t="str">
        <f>+VLOOKUP(LEFT($A109,LEN(A109)-1)*1,Master!$D$27:$G$225,4,FALSE)</f>
        <v>Value Added Tax</v>
      </c>
      <c r="C109" s="523"/>
      <c r="D109" s="523"/>
      <c r="E109" s="523"/>
      <c r="F109" s="523"/>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2" t="str">
        <f>+VLOOKUP(LEFT($A110,LEN(A110)-1)*1,Master!$D$27:$G$225,4,FALSE)</f>
        <v>Excises</v>
      </c>
      <c r="C110" s="523"/>
      <c r="D110" s="523"/>
      <c r="E110" s="523"/>
      <c r="F110" s="523"/>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2" t="str">
        <f>+VLOOKUP(LEFT($A111,LEN(A111)-1)*1,Master!$D$27:$G$225,4,FALSE)</f>
        <v>Tax on International Trade and Transactions</v>
      </c>
      <c r="C111" s="523"/>
      <c r="D111" s="523"/>
      <c r="E111" s="523"/>
      <c r="F111" s="523"/>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2" t="e">
        <f>+VLOOKUP(LEFT($A112,LEN(A112)-1)*1,Master!$D$27:$G$225,4,FALSE)</f>
        <v>#REF!</v>
      </c>
      <c r="C112" s="523"/>
      <c r="D112" s="523"/>
      <c r="E112" s="523"/>
      <c r="F112" s="523"/>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2" t="str">
        <f>+VLOOKUP(LEFT($A113,LEN(A113)-1)*1,Master!$D$27:$G$225,4,FALSE)</f>
        <v>Other Republic Taxes</v>
      </c>
      <c r="C113" s="523"/>
      <c r="D113" s="523"/>
      <c r="E113" s="523"/>
      <c r="F113" s="523"/>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4" t="str">
        <f>+VLOOKUP(LEFT($A114,LEN(A114)-1)*1,Master!$D$27:$G$225,4,FALSE)</f>
        <v>Contributions</v>
      </c>
      <c r="C114" s="535"/>
      <c r="D114" s="535"/>
      <c r="E114" s="535"/>
      <c r="F114" s="535"/>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2" t="str">
        <f>+VLOOKUP(LEFT($A115,LEN(A115)-1)*1,Master!$D$27:$G$225,4,FALSE)</f>
        <v>Contributions for Pension and Disability Insurance</v>
      </c>
      <c r="C115" s="523"/>
      <c r="D115" s="523"/>
      <c r="E115" s="523"/>
      <c r="F115" s="523"/>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2" t="str">
        <f>+VLOOKUP(LEFT($A116,LEN(A116)-1)*1,Master!$D$27:$G$225,4,FALSE)</f>
        <v>Contributions for Health Insurance</v>
      </c>
      <c r="C116" s="523"/>
      <c r="D116" s="523"/>
      <c r="E116" s="523"/>
      <c r="F116" s="523"/>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2" t="str">
        <f>+VLOOKUP(LEFT($A117,LEN(A117)-1)*1,Master!$D$27:$G$225,4,FALSE)</f>
        <v>Contributions for  Unemployment Insurance</v>
      </c>
      <c r="C117" s="523"/>
      <c r="D117" s="523"/>
      <c r="E117" s="523"/>
      <c r="F117" s="523"/>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2" t="str">
        <f>+VLOOKUP(LEFT($A118,LEN(A118)-1)*1,Master!$D$27:$G$225,4,FALSE)</f>
        <v>Other contributions</v>
      </c>
      <c r="C118" s="523"/>
      <c r="D118" s="523"/>
      <c r="E118" s="523"/>
      <c r="F118" s="523"/>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26" t="str">
        <f>+VLOOKUP(LEFT($A119,LEN(A119)-1)*1,Master!$D$27:$G$225,4,FALSE)</f>
        <v>Duties</v>
      </c>
      <c r="C119" s="527"/>
      <c r="D119" s="527"/>
      <c r="E119" s="527"/>
      <c r="F119" s="527"/>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26" t="str">
        <f>+VLOOKUP(LEFT($A120,LEN(A120)-1)*1,Master!$D$27:$G$225,4,FALSE)</f>
        <v>Fees</v>
      </c>
      <c r="C120" s="527"/>
      <c r="D120" s="527"/>
      <c r="E120" s="527"/>
      <c r="F120" s="527"/>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26" t="str">
        <f>+VLOOKUP(LEFT($A121,LEN(A121)-1)*1,Master!$D$27:$G$225,4,FALSE)</f>
        <v>Other revenues</v>
      </c>
      <c r="C121" s="527"/>
      <c r="D121" s="527"/>
      <c r="E121" s="527"/>
      <c r="F121" s="527"/>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26" t="str">
        <f>+VLOOKUP(LEFT($A122,LEN(A122)-1)*1,Master!$D$27:$G$225,4,FALSE)</f>
        <v>Receipts from Repayment of Loans and Funds Carried over from Previous Year</v>
      </c>
      <c r="C122" s="527"/>
      <c r="D122" s="527"/>
      <c r="E122" s="527"/>
      <c r="F122" s="527"/>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28" t="str">
        <f>+VLOOKUP(LEFT($A123,LEN(A123)-1)*1,Master!$D$27:$G$225,4,FALSE)</f>
        <v>Grants and Transfers</v>
      </c>
      <c r="C123" s="529"/>
      <c r="D123" s="529"/>
      <c r="E123" s="529"/>
      <c r="F123" s="529"/>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12" t="str">
        <f>+VLOOKUP(LEFT($A124,LEN(A124)-1)*1,Master!$D$27:$G$225,4,FALSE)</f>
        <v>Total Expenditures</v>
      </c>
      <c r="C124" s="513"/>
      <c r="D124" s="513"/>
      <c r="E124" s="513"/>
      <c r="F124" s="513"/>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30" t="str">
        <f>+VLOOKUP(LEFT($A125,LEN(A125)-1)*1,Master!$D$27:$G$225,4,FALSE)</f>
        <v>Current Expenditures</v>
      </c>
      <c r="C125" s="531"/>
      <c r="D125" s="531"/>
      <c r="E125" s="531"/>
      <c r="F125" s="531"/>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32" t="str">
        <f>+VLOOKUP(LEFT($A126,LEN(A126)-1)*1,Master!$D$27:$G$225,4,FALSE)</f>
        <v>Current Budgetary Consumption</v>
      </c>
      <c r="C126" s="533"/>
      <c r="D126" s="533"/>
      <c r="E126" s="533"/>
      <c r="F126" s="533"/>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2" t="str">
        <f>+VLOOKUP(LEFT($A127,LEN(A127)-1)*1,Master!$D$27:$G$225,4,FALSE)</f>
        <v>Gross Salaries and Contributions</v>
      </c>
      <c r="C127" s="523"/>
      <c r="D127" s="523"/>
      <c r="E127" s="523"/>
      <c r="F127" s="523"/>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2" t="str">
        <f>+VLOOKUP(LEFT($A128,LEN(A128)-1)*1,Master!$D$27:$G$225,4,FALSE)</f>
        <v>Other Personal Income</v>
      </c>
      <c r="C128" s="523"/>
      <c r="D128" s="523"/>
      <c r="E128" s="523"/>
      <c r="F128" s="523"/>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2" t="str">
        <f>+VLOOKUP(LEFT($A129,LEN(A129)-1)*1,Master!$D$27:$G$225,4,FALSE)</f>
        <v>Expenditures for Supplies</v>
      </c>
      <c r="C129" s="523"/>
      <c r="D129" s="523"/>
      <c r="E129" s="523"/>
      <c r="F129" s="523"/>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2" t="str">
        <f>+VLOOKUP(LEFT($A130,LEN(A130)-1)*1,Master!$D$27:$G$225,4,FALSE)</f>
        <v>Expenditures for Services</v>
      </c>
      <c r="C130" s="523"/>
      <c r="D130" s="523"/>
      <c r="E130" s="523"/>
      <c r="F130" s="523"/>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2" t="str">
        <f>+VLOOKUP(LEFT($A131,LEN(A131)-1)*1,Master!$D$27:$G$225,4,FALSE)</f>
        <v>Current Maintenance</v>
      </c>
      <c r="C131" s="523"/>
      <c r="D131" s="523"/>
      <c r="E131" s="523"/>
      <c r="F131" s="523"/>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2" t="str">
        <f>+VLOOKUP(LEFT($A132,LEN(A132)-1)*1,Master!$D$27:$G$225,4,FALSE)</f>
        <v>Interests</v>
      </c>
      <c r="C132" s="523"/>
      <c r="D132" s="523"/>
      <c r="E132" s="523"/>
      <c r="F132" s="523"/>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2" t="str">
        <f>+VLOOKUP(LEFT($A133,LEN(A133)-1)*1,Master!$D$27:$G$225,4,FALSE)</f>
        <v>Rent</v>
      </c>
      <c r="C133" s="523"/>
      <c r="D133" s="523"/>
      <c r="E133" s="523"/>
      <c r="F133" s="523"/>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2" t="str">
        <f>+VLOOKUP(LEFT($A134,LEN(A134)-1)*1,Master!$D$27:$G$225,4,FALSE)</f>
        <v>Subsidies</v>
      </c>
      <c r="C134" s="523"/>
      <c r="D134" s="523"/>
      <c r="E134" s="523"/>
      <c r="F134" s="523"/>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2" t="str">
        <f>+VLOOKUP(LEFT($A135,LEN(A135)-1)*1,Master!$D$27:$G$225,4,FALSE)</f>
        <v>Other expenditures</v>
      </c>
      <c r="C135" s="523"/>
      <c r="D135" s="523"/>
      <c r="E135" s="523"/>
      <c r="F135" s="523"/>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2" t="str">
        <f>+VLOOKUP(LEFT($A136,LEN(A136)-1)*1,Master!$D$27:$G$225,4,FALSE)</f>
        <v>Current Capital Expenditure</v>
      </c>
      <c r="C136" s="523"/>
      <c r="D136" s="523"/>
      <c r="E136" s="523"/>
      <c r="F136" s="523"/>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18" t="str">
        <f>+VLOOKUP(LEFT($A137,LEN(A137)-1)*1,Master!$D$27:$G$225,4,FALSE)</f>
        <v>Social Security Transfers</v>
      </c>
      <c r="C137" s="519"/>
      <c r="D137" s="519"/>
      <c r="E137" s="519"/>
      <c r="F137" s="519"/>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2" t="str">
        <f>+VLOOKUP(LEFT($A138,LEN(A138)-1)*1,Master!$D$27:$G$225,4,FALSE)</f>
        <v>Social Security</v>
      </c>
      <c r="C138" s="523"/>
      <c r="D138" s="523"/>
      <c r="E138" s="523"/>
      <c r="F138" s="523"/>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2" t="str">
        <f>+VLOOKUP(LEFT($A139,LEN(A139)-1)*1,Master!$D$27:$G$225,4,FALSE)</f>
        <v>Funds for redundant labor</v>
      </c>
      <c r="C139" s="523"/>
      <c r="D139" s="523"/>
      <c r="E139" s="523"/>
      <c r="F139" s="523"/>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2" t="str">
        <f>+VLOOKUP(LEFT($A140,LEN(A140)-1)*1,Master!$D$27:$G$225,4,FALSE)</f>
        <v>Pension and Disability Insurance</v>
      </c>
      <c r="C140" s="523"/>
      <c r="D140" s="523"/>
      <c r="E140" s="523"/>
      <c r="F140" s="523"/>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2" t="str">
        <f>+VLOOKUP(LEFT($A141,LEN(A141)-1)*1,Master!$D$27:$G$225,4,FALSE)</f>
        <v>Other Health Care Transfers</v>
      </c>
      <c r="C141" s="523"/>
      <c r="D141" s="523"/>
      <c r="E141" s="523"/>
      <c r="F141" s="523"/>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2" t="str">
        <f>+VLOOKUP(LEFT($A142,LEN(A142)-1)*1,Master!$D$27:$G$225,4,FALSE)</f>
        <v>Other Health Care Insurance</v>
      </c>
      <c r="C142" s="523"/>
      <c r="D142" s="523"/>
      <c r="E142" s="523"/>
      <c r="F142" s="523"/>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24" t="str">
        <f>+VLOOKUP(LEFT($A143,LEN(A143)-1)*1,Master!$D$27:$G$225,4,FALSE)</f>
        <v xml:space="preserve">Transfers to Institutions, Individuals, NGO and Public Sector </v>
      </c>
      <c r="C143" s="525"/>
      <c r="D143" s="525"/>
      <c r="E143" s="525"/>
      <c r="F143" s="525"/>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24" t="str">
        <f>+VLOOKUP(LEFT($A144,LEN(A144)-1)*1,Master!$D$27:$G$225,4,FALSE)</f>
        <v>Capital Expenditure</v>
      </c>
      <c r="C144" s="525"/>
      <c r="D144" s="525"/>
      <c r="E144" s="525"/>
      <c r="F144" s="525"/>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06" t="str">
        <f>+VLOOKUP(LEFT($A145,LEN(A145)-1)*1,Master!$D$27:$G$225,4,FALSE)</f>
        <v>Credits and Borrowings</v>
      </c>
      <c r="C145" s="507"/>
      <c r="D145" s="507"/>
      <c r="E145" s="507"/>
      <c r="F145" s="507"/>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06" t="str">
        <f>+VLOOKUP(LEFT($A146,LEN(A146)-1)*1,Master!$D$27:$G$225,4,FALSE)</f>
        <v>Reserves</v>
      </c>
      <c r="C146" s="507"/>
      <c r="D146" s="507"/>
      <c r="E146" s="507"/>
      <c r="F146" s="507"/>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20" t="str">
        <f>+VLOOKUP(LEFT($A147,LEN(A147)-1)*1,Master!$D$27:$G$225,4,FALSE)</f>
        <v>Repayment of Guarantees</v>
      </c>
      <c r="C147" s="521"/>
      <c r="D147" s="521"/>
      <c r="E147" s="521"/>
      <c r="F147" s="521"/>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14" t="str">
        <f>+VLOOKUP(LEFT($A148,LEN(A148)-1)*1,Master!$D$27:$G$225,4,FALSE)</f>
        <v>Surplus / deficit</v>
      </c>
      <c r="C148" s="515"/>
      <c r="D148" s="515"/>
      <c r="E148" s="515"/>
      <c r="F148" s="515"/>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16" t="str">
        <f>+VLOOKUP(LEFT($A149,LEN(A149)-1)*1,Master!$D$27:$G$225,4,FALSE)</f>
        <v>Primary balance</v>
      </c>
      <c r="C149" s="517"/>
      <c r="D149" s="517"/>
      <c r="E149" s="517"/>
      <c r="F149" s="517"/>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18" t="str">
        <f>+VLOOKUP(LEFT($A150,LEN(A150)-1)*1,Master!$D$27:$G$225,4,FALSE)</f>
        <v>Repayment of Debt</v>
      </c>
      <c r="C150" s="519"/>
      <c r="D150" s="519"/>
      <c r="E150" s="519"/>
      <c r="F150" s="519"/>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08" t="str">
        <f>+VLOOKUP(LEFT($A151,LEN(A151)-1)*1,Master!$D$27:$G$225,4,FALSE)</f>
        <v>Repayment of Domestic Debt</v>
      </c>
      <c r="C151" s="509"/>
      <c r="D151" s="509"/>
      <c r="E151" s="509"/>
      <c r="F151" s="509"/>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06" t="str">
        <f>+VLOOKUP(LEFT($A152,LEN(A152)-1)*1,Master!$D$27:$G$225,4,FALSE)</f>
        <v>Repayment of Foreign Debt</v>
      </c>
      <c r="C152" s="507"/>
      <c r="D152" s="507"/>
      <c r="E152" s="507"/>
      <c r="F152" s="507"/>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20" t="str">
        <f>+VLOOKUP(LEFT($A153,LEN(A153)-1)*1,Master!$D$27:$G$225,4,FALSE)</f>
        <v>Repayments of Arrears</v>
      </c>
      <c r="C153" s="521"/>
      <c r="D153" s="521"/>
      <c r="E153" s="521"/>
      <c r="F153" s="521"/>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10" t="str">
        <f>+VLOOKUP(LEFT($A154,LEN(A154)-1)*1,Master!$D$27:$G$225,4,FALSE)</f>
        <v>Financing needs</v>
      </c>
      <c r="C154" s="511"/>
      <c r="D154" s="511"/>
      <c r="E154" s="511"/>
      <c r="F154" s="511"/>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12" t="str">
        <f>+VLOOKUP(LEFT($A155,LEN(A155)-1)*1,Master!$D$27:$G$225,4,FALSE)</f>
        <v>Financing</v>
      </c>
      <c r="C155" s="513"/>
      <c r="D155" s="513"/>
      <c r="E155" s="513"/>
      <c r="F155" s="513"/>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08" t="str">
        <f>+VLOOKUP(LEFT($A156,LEN(A156)-1)*1,Master!$D$27:$G$225,4,FALSE)</f>
        <v>Domestic Loans and Borrowings</v>
      </c>
      <c r="C156" s="509"/>
      <c r="D156" s="509"/>
      <c r="E156" s="509"/>
      <c r="F156" s="509"/>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06" t="str">
        <f>+VLOOKUP(LEFT($A157,LEN(A157)-1)*1,Master!$D$27:$G$225,4,FALSE)</f>
        <v>Foreign Loans and Borrowings</v>
      </c>
      <c r="C157" s="507"/>
      <c r="D157" s="507"/>
      <c r="E157" s="507"/>
      <c r="F157" s="507"/>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06" t="str">
        <f>+VLOOKUP(LEFT($A158,LEN(A158)-1)*1,Master!$D$27:$G$225,4,FALSE)</f>
        <v>Revenues from Selling Assets</v>
      </c>
      <c r="C158" s="507"/>
      <c r="D158" s="507"/>
      <c r="E158" s="507"/>
      <c r="F158" s="507"/>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S102:T102"/>
    <mergeCell ref="B104:F104"/>
    <mergeCell ref="B105:F105"/>
    <mergeCell ref="B106:F106"/>
    <mergeCell ref="B107:F107"/>
    <mergeCell ref="B62:F62"/>
    <mergeCell ref="B63:F63"/>
    <mergeCell ref="B64:F64"/>
    <mergeCell ref="B101:F103"/>
    <mergeCell ref="G101:R101"/>
    <mergeCell ref="B113:F113"/>
    <mergeCell ref="B114:F114"/>
    <mergeCell ref="B115:F115"/>
    <mergeCell ref="B116:F116"/>
    <mergeCell ref="B117:F117"/>
    <mergeCell ref="B108:F108"/>
    <mergeCell ref="B109:F109"/>
    <mergeCell ref="B110:F110"/>
    <mergeCell ref="B111:F111"/>
    <mergeCell ref="B112:F112"/>
    <mergeCell ref="B123:F123"/>
    <mergeCell ref="B124:F124"/>
    <mergeCell ref="B125:F125"/>
    <mergeCell ref="B126:F126"/>
    <mergeCell ref="B127:F127"/>
    <mergeCell ref="B118:F118"/>
    <mergeCell ref="B119:F119"/>
    <mergeCell ref="B120:F120"/>
    <mergeCell ref="B121:F121"/>
    <mergeCell ref="B122:F122"/>
    <mergeCell ref="B133:F133"/>
    <mergeCell ref="B134:F134"/>
    <mergeCell ref="B135:F135"/>
    <mergeCell ref="B136:F136"/>
    <mergeCell ref="B137:F137"/>
    <mergeCell ref="B128:F128"/>
    <mergeCell ref="B129:F129"/>
    <mergeCell ref="B130:F130"/>
    <mergeCell ref="B131:F131"/>
    <mergeCell ref="B132:F132"/>
    <mergeCell ref="B143:F143"/>
    <mergeCell ref="B144:F144"/>
    <mergeCell ref="B145:F145"/>
    <mergeCell ref="B146:F146"/>
    <mergeCell ref="B147:F147"/>
    <mergeCell ref="B138:F138"/>
    <mergeCell ref="B139:F139"/>
    <mergeCell ref="B140:F140"/>
    <mergeCell ref="B141:F141"/>
    <mergeCell ref="B142:F142"/>
    <mergeCell ref="B158:F158"/>
    <mergeCell ref="B153:F153"/>
    <mergeCell ref="B154:F154"/>
    <mergeCell ref="B155:F155"/>
    <mergeCell ref="B156:F156"/>
    <mergeCell ref="B157:F157"/>
    <mergeCell ref="B148:F148"/>
    <mergeCell ref="B149:F149"/>
    <mergeCell ref="B150:F150"/>
    <mergeCell ref="B151:F151"/>
    <mergeCell ref="B152:F152"/>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Directorate for State Budget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513</v>
      </c>
      <c r="H6" s="69" t="s">
        <v>514</v>
      </c>
      <c r="I6" s="69" t="s">
        <v>515</v>
      </c>
      <c r="J6" s="69"/>
      <c r="K6" s="69" t="s">
        <v>516</v>
      </c>
      <c r="L6" s="69" t="s">
        <v>517</v>
      </c>
      <c r="M6" s="69" t="s">
        <v>518</v>
      </c>
      <c r="N6" s="69"/>
      <c r="O6" s="69" t="s">
        <v>519</v>
      </c>
      <c r="P6" s="69" t="s">
        <v>520</v>
      </c>
      <c r="Q6" s="69" t="s">
        <v>521</v>
      </c>
      <c r="R6" s="69"/>
      <c r="S6" s="69" t="s">
        <v>522</v>
      </c>
      <c r="T6" s="69" t="s">
        <v>523</v>
      </c>
      <c r="U6" s="69" t="s">
        <v>524</v>
      </c>
      <c r="V6" s="69"/>
    </row>
    <row r="7" spans="1:24" ht="15" customHeight="1" thickBot="1">
      <c r="B7" s="543" t="str">
        <f>+Master!G251</f>
        <v>Budget Execution</v>
      </c>
      <c r="C7" s="544"/>
      <c r="D7" s="544"/>
      <c r="E7" s="544"/>
      <c r="F7" s="544"/>
      <c r="G7" s="536">
        <v>2013</v>
      </c>
      <c r="H7" s="537"/>
      <c r="I7" s="537"/>
      <c r="J7" s="537"/>
      <c r="K7" s="537"/>
      <c r="L7" s="537"/>
      <c r="M7" s="537"/>
      <c r="N7" s="537"/>
      <c r="O7" s="537"/>
      <c r="P7" s="537"/>
      <c r="Q7" s="537"/>
      <c r="R7" s="537"/>
      <c r="S7" s="537"/>
      <c r="T7" s="537"/>
      <c r="U7" s="538"/>
      <c r="V7" s="360"/>
      <c r="W7" s="115" t="str">
        <f>+Master!G248</f>
        <v>GDP</v>
      </c>
      <c r="X7" s="116">
        <v>3327000000</v>
      </c>
    </row>
    <row r="8" spans="1:24" ht="16.5" customHeight="1">
      <c r="B8" s="545"/>
      <c r="C8" s="546"/>
      <c r="D8" s="546"/>
      <c r="E8" s="546"/>
      <c r="F8" s="547"/>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36" t="s">
        <v>701</v>
      </c>
      <c r="X8" s="538"/>
    </row>
    <row r="9" spans="1:24" ht="13.5" thickBot="1">
      <c r="B9" s="548"/>
      <c r="C9" s="549"/>
      <c r="D9" s="549"/>
      <c r="E9" s="549"/>
      <c r="F9" s="550"/>
      <c r="G9" s="68" t="s">
        <v>423</v>
      </c>
      <c r="H9" s="68" t="s">
        <v>423</v>
      </c>
      <c r="I9" s="68" t="s">
        <v>423</v>
      </c>
      <c r="J9" s="68"/>
      <c r="K9" s="68" t="s">
        <v>423</v>
      </c>
      <c r="L9" s="68" t="s">
        <v>423</v>
      </c>
      <c r="M9" s="68" t="s">
        <v>423</v>
      </c>
      <c r="N9" s="68"/>
      <c r="O9" s="68" t="s">
        <v>423</v>
      </c>
      <c r="P9" s="68" t="s">
        <v>423</v>
      </c>
      <c r="Q9" s="68" t="s">
        <v>423</v>
      </c>
      <c r="R9" s="68"/>
      <c r="S9" s="68" t="s">
        <v>423</v>
      </c>
      <c r="T9" s="68" t="s">
        <v>423</v>
      </c>
      <c r="U9" s="68" t="s">
        <v>423</v>
      </c>
      <c r="V9" s="68"/>
      <c r="W9" s="66" t="s">
        <v>423</v>
      </c>
      <c r="X9" s="67" t="str">
        <f>+Master!G249</f>
        <v>% GDP</v>
      </c>
    </row>
    <row r="10" spans="1:24" ht="13.5" thickBot="1">
      <c r="A10" s="72">
        <v>7</v>
      </c>
      <c r="B10" s="539" t="str">
        <f>+VLOOKUP($A10,Master!$D$27:$G$225,4,FALSE)</f>
        <v>Total Revenues</v>
      </c>
      <c r="C10" s="540"/>
      <c r="D10" s="540"/>
      <c r="E10" s="540"/>
      <c r="F10" s="540"/>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41" t="str">
        <f>+VLOOKUP($A11,Master!$D$27:$G$225,4,FALSE)</f>
        <v>Taxes</v>
      </c>
      <c r="C11" s="542"/>
      <c r="D11" s="542"/>
      <c r="E11" s="542"/>
      <c r="F11" s="542"/>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2" t="str">
        <f>+VLOOKUP($A12,Master!$D$27:$G$225,4,FALSE)</f>
        <v>Personal Income Tax</v>
      </c>
      <c r="C12" s="523"/>
      <c r="D12" s="523"/>
      <c r="E12" s="523"/>
      <c r="F12" s="523"/>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2" t="str">
        <f>+VLOOKUP($A13,Master!$D$27:$G$225,4,FALSE)</f>
        <v>Corporate Income Tax</v>
      </c>
      <c r="C13" s="523"/>
      <c r="D13" s="523"/>
      <c r="E13" s="523"/>
      <c r="F13" s="523"/>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2" t="str">
        <f>+VLOOKUP($A14,Master!$D$27:$G$225,4,FALSE)</f>
        <v xml:space="preserve">Taxes on Sales of Property </v>
      </c>
      <c r="C14" s="523"/>
      <c r="D14" s="523"/>
      <c r="E14" s="523"/>
      <c r="F14" s="523"/>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2" t="str">
        <f>+VLOOKUP($A15,Master!$D$27:$G$225,4,FALSE)</f>
        <v>Value Added Tax</v>
      </c>
      <c r="C15" s="523"/>
      <c r="D15" s="523"/>
      <c r="E15" s="523"/>
      <c r="F15" s="523"/>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2" t="str">
        <f>+VLOOKUP($A16,Master!$D$27:$G$225,4,FALSE)</f>
        <v>Excises</v>
      </c>
      <c r="C16" s="523"/>
      <c r="D16" s="523"/>
      <c r="E16" s="523"/>
      <c r="F16" s="523"/>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2" t="str">
        <f>+VLOOKUP($A17,Master!$D$27:$G$225,4,FALSE)</f>
        <v>Tax on International Trade and Transactions</v>
      </c>
      <c r="C17" s="523"/>
      <c r="D17" s="523"/>
      <c r="E17" s="523"/>
      <c r="F17" s="523"/>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2" t="e">
        <f>+VLOOKUP($A18,Master!$D$27:$G$225,4,FALSE)</f>
        <v>#N/A</v>
      </c>
      <c r="C18" s="523"/>
      <c r="D18" s="523"/>
      <c r="E18" s="523"/>
      <c r="F18" s="523"/>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2" t="str">
        <f>+VLOOKUP($A19,Master!$D$27:$G$225,4,FALSE)</f>
        <v>Other Republic Taxes</v>
      </c>
      <c r="C19" s="523"/>
      <c r="D19" s="523"/>
      <c r="E19" s="523"/>
      <c r="F19" s="523"/>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4" t="str">
        <f>+VLOOKUP($A20,Master!$D$27:$G$225,4,FALSE)</f>
        <v>Contributions</v>
      </c>
      <c r="C20" s="535"/>
      <c r="D20" s="535"/>
      <c r="E20" s="535"/>
      <c r="F20" s="535"/>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2" t="str">
        <f>+VLOOKUP($A21,Master!$D$27:$G$225,4,FALSE)</f>
        <v>Contributions for Pension and Disability Insurance</v>
      </c>
      <c r="C21" s="523"/>
      <c r="D21" s="523"/>
      <c r="E21" s="523"/>
      <c r="F21" s="523"/>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2" t="str">
        <f>+VLOOKUP($A22,Master!$D$27:$G$225,4,FALSE)</f>
        <v>Contributions for Health Insurance</v>
      </c>
      <c r="C22" s="523"/>
      <c r="D22" s="523"/>
      <c r="E22" s="523"/>
      <c r="F22" s="523"/>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2" t="str">
        <f>+VLOOKUP($A23,Master!$D$27:$G$225,4,FALSE)</f>
        <v>Contributions for  Unemployment Insurance</v>
      </c>
      <c r="C23" s="523"/>
      <c r="D23" s="523"/>
      <c r="E23" s="523"/>
      <c r="F23" s="523"/>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2" t="str">
        <f>+VLOOKUP($A24,Master!$D$27:$G$225,4,FALSE)</f>
        <v>Other contributions</v>
      </c>
      <c r="C24" s="523"/>
      <c r="D24" s="523"/>
      <c r="E24" s="523"/>
      <c r="F24" s="523"/>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26" t="str">
        <f>+VLOOKUP($A25,Master!$D$27:$G$225,4,FALSE)</f>
        <v>Duties</v>
      </c>
      <c r="C25" s="527"/>
      <c r="D25" s="527"/>
      <c r="E25" s="527"/>
      <c r="F25" s="527"/>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26" t="str">
        <f>+VLOOKUP($A26,Master!$D$27:$G$225,4,FALSE)</f>
        <v>Fees</v>
      </c>
      <c r="C26" s="527"/>
      <c r="D26" s="527"/>
      <c r="E26" s="527"/>
      <c r="F26" s="527"/>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26" t="str">
        <f>+VLOOKUP($A27,Master!$D$27:$G$225,4,FALSE)</f>
        <v>Other revenues</v>
      </c>
      <c r="C27" s="527"/>
      <c r="D27" s="527"/>
      <c r="E27" s="527"/>
      <c r="F27" s="527"/>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26" t="str">
        <f>+VLOOKUP($A28,Master!$D$27:$G$225,4,FALSE)</f>
        <v>Receipts from Repayment of Loans and Funds Carried over from Previous Year</v>
      </c>
      <c r="C28" s="527"/>
      <c r="D28" s="527"/>
      <c r="E28" s="527"/>
      <c r="F28" s="527"/>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28" t="str">
        <f>+VLOOKUP($A29,Master!$D$27:$G$225,4,FALSE)</f>
        <v>Grants and Transfers</v>
      </c>
      <c r="C29" s="529"/>
      <c r="D29" s="529"/>
      <c r="E29" s="529"/>
      <c r="F29" s="529"/>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12" t="str">
        <f>+VLOOKUP($A30,Master!$D$27:$G$225,4,FALSE)</f>
        <v>Total Expenditures</v>
      </c>
      <c r="C30" s="513"/>
      <c r="D30" s="513"/>
      <c r="E30" s="513"/>
      <c r="F30" s="513"/>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30" t="str">
        <f>+VLOOKUP($A31,Master!$D$27:$G$225,4,FALSE)</f>
        <v>Current Expenditures</v>
      </c>
      <c r="C31" s="531"/>
      <c r="D31" s="531"/>
      <c r="E31" s="531"/>
      <c r="F31" s="531"/>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32" t="str">
        <f>+VLOOKUP($A32,Master!$D$27:$G$225,4,FALSE)</f>
        <v>Current Budgetary Consumption</v>
      </c>
      <c r="C32" s="533"/>
      <c r="D32" s="533"/>
      <c r="E32" s="533"/>
      <c r="F32" s="533"/>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2" t="str">
        <f>+VLOOKUP($A33,Master!$D$27:$G$225,4,FALSE)</f>
        <v>Gross Salaries and Contributions</v>
      </c>
      <c r="C33" s="523"/>
      <c r="D33" s="523"/>
      <c r="E33" s="523"/>
      <c r="F33" s="523"/>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2" t="str">
        <f>+VLOOKUP($A34,Master!$D$27:$G$225,4,FALSE)</f>
        <v>Other Personal Income</v>
      </c>
      <c r="C34" s="523"/>
      <c r="D34" s="523"/>
      <c r="E34" s="523"/>
      <c r="F34" s="523"/>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2" t="str">
        <f>+VLOOKUP($A35,Master!$D$27:$G$225,4,FALSE)</f>
        <v>Expenditures for Supplies</v>
      </c>
      <c r="C35" s="523"/>
      <c r="D35" s="523"/>
      <c r="E35" s="523"/>
      <c r="F35" s="523"/>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2" t="str">
        <f>+VLOOKUP($A36,Master!$D$27:$G$225,4,FALSE)</f>
        <v>Expenditures for Services</v>
      </c>
      <c r="C36" s="523"/>
      <c r="D36" s="523"/>
      <c r="E36" s="523"/>
      <c r="F36" s="523"/>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2" t="str">
        <f>+VLOOKUP($A37,Master!$D$27:$G$225,4,FALSE)</f>
        <v>Current Maintenance</v>
      </c>
      <c r="C37" s="523"/>
      <c r="D37" s="523"/>
      <c r="E37" s="523"/>
      <c r="F37" s="523"/>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2" t="str">
        <f>+VLOOKUP($A38,Master!$D$27:$G$225,4,FALSE)</f>
        <v>Interests</v>
      </c>
      <c r="C38" s="523"/>
      <c r="D38" s="523"/>
      <c r="E38" s="523"/>
      <c r="F38" s="523"/>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2" t="str">
        <f>+VLOOKUP($A39,Master!$D$27:$G$225,4,FALSE)</f>
        <v>Rent</v>
      </c>
      <c r="C39" s="523"/>
      <c r="D39" s="523"/>
      <c r="E39" s="523"/>
      <c r="F39" s="523"/>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2" t="str">
        <f>+VLOOKUP($A40,Master!$D$27:$G$225,4,FALSE)</f>
        <v>Subsidies</v>
      </c>
      <c r="C40" s="523"/>
      <c r="D40" s="523"/>
      <c r="E40" s="523"/>
      <c r="F40" s="523"/>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2" t="str">
        <f>+VLOOKUP($A41,Master!$D$27:$G$225,4,FALSE)</f>
        <v>Other expenditures</v>
      </c>
      <c r="C41" s="523"/>
      <c r="D41" s="523"/>
      <c r="E41" s="523"/>
      <c r="F41" s="523"/>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2" t="str">
        <f>+VLOOKUP($A42,Master!$D$27:$G$225,4,FALSE)</f>
        <v>Current Capital Expenditure</v>
      </c>
      <c r="C42" s="523"/>
      <c r="D42" s="523"/>
      <c r="E42" s="523"/>
      <c r="F42" s="523"/>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18" t="str">
        <f>+VLOOKUP($A43,Master!$D$27:$G$225,4,FALSE)</f>
        <v>Social Security Transfers</v>
      </c>
      <c r="C43" s="519"/>
      <c r="D43" s="519"/>
      <c r="E43" s="519"/>
      <c r="F43" s="519"/>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2" t="str">
        <f>+VLOOKUP($A44,Master!$D$27:$G$225,4,FALSE)</f>
        <v>Social Security</v>
      </c>
      <c r="C44" s="523"/>
      <c r="D44" s="523"/>
      <c r="E44" s="523"/>
      <c r="F44" s="523"/>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2" t="str">
        <f>+VLOOKUP($A45,Master!$D$27:$G$225,4,FALSE)</f>
        <v>Funds for redundant labor</v>
      </c>
      <c r="C45" s="523"/>
      <c r="D45" s="523"/>
      <c r="E45" s="523"/>
      <c r="F45" s="523"/>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2" t="str">
        <f>+VLOOKUP($A46,Master!$D$27:$G$225,4,FALSE)</f>
        <v>Pension and Disability Insurance</v>
      </c>
      <c r="C46" s="523"/>
      <c r="D46" s="523"/>
      <c r="E46" s="523"/>
      <c r="F46" s="523"/>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2" t="str">
        <f>+VLOOKUP($A47,Master!$D$27:$G$225,4,FALSE)</f>
        <v>Other Health Care Transfers</v>
      </c>
      <c r="C47" s="523"/>
      <c r="D47" s="523"/>
      <c r="E47" s="523"/>
      <c r="F47" s="523"/>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2" t="str">
        <f>+VLOOKUP($A48,Master!$D$27:$G$225,4,FALSE)</f>
        <v>Other Health Care Insurance</v>
      </c>
      <c r="C48" s="523"/>
      <c r="D48" s="523"/>
      <c r="E48" s="523"/>
      <c r="F48" s="523"/>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24" t="str">
        <f>+VLOOKUP($A49,Master!$D$27:$G$225,4,FALSE)</f>
        <v xml:space="preserve">Transfers to Institutions, Individuals, NGO and Public Sector </v>
      </c>
      <c r="C49" s="525"/>
      <c r="D49" s="525"/>
      <c r="E49" s="525"/>
      <c r="F49" s="525"/>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24" t="str">
        <f>+VLOOKUP($A50,Master!$D$27:$G$225,4,FALSE)</f>
        <v>Capital Expenditure</v>
      </c>
      <c r="C50" s="525"/>
      <c r="D50" s="525"/>
      <c r="E50" s="525"/>
      <c r="F50" s="525"/>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06" t="str">
        <f>+VLOOKUP($A51,Master!$D$27:$G$225,4,FALSE)</f>
        <v>Credits and Borrowings</v>
      </c>
      <c r="C51" s="507"/>
      <c r="D51" s="507"/>
      <c r="E51" s="507"/>
      <c r="F51" s="507"/>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06" t="str">
        <f>+VLOOKUP($A52,Master!$D$27:$G$225,4,FALSE)</f>
        <v>Reserves</v>
      </c>
      <c r="C52" s="507"/>
      <c r="D52" s="507"/>
      <c r="E52" s="507"/>
      <c r="F52" s="507"/>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20" t="str">
        <f>+VLOOKUP($A53,Master!$D$27:$G$225,4,FALSE)</f>
        <v>Repayment of Guarantees</v>
      </c>
      <c r="C53" s="521"/>
      <c r="D53" s="521"/>
      <c r="E53" s="521"/>
      <c r="F53" s="521"/>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20" t="str">
        <f>+VLOOKUP($A54,Master!$D$27:$G$225,4,FALSE)</f>
        <v>Repayments of Arrears</v>
      </c>
      <c r="C54" s="521"/>
      <c r="D54" s="521"/>
      <c r="E54" s="521"/>
      <c r="F54" s="521"/>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20" t="str">
        <f>+VLOOKUP($A55,Master!$D$27:$G$227,4,FALSE)</f>
        <v>Net increase of liabilities</v>
      </c>
      <c r="C55" s="521"/>
      <c r="D55" s="521"/>
      <c r="E55" s="521"/>
      <c r="F55" s="521"/>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14" t="str">
        <f>+VLOOKUP($A56,Master!$D$27:$G$225,4,FALSE)</f>
        <v>Surplus / deficit</v>
      </c>
      <c r="C56" s="515"/>
      <c r="D56" s="515"/>
      <c r="E56" s="515"/>
      <c r="F56" s="515"/>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16" t="str">
        <f>+VLOOKUP($A57,Master!$D$27:$G$225,4,FALSE)</f>
        <v>Primary balance</v>
      </c>
      <c r="C57" s="517"/>
      <c r="D57" s="517"/>
      <c r="E57" s="517"/>
      <c r="F57" s="517"/>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18" t="str">
        <f>+VLOOKUP($A58,Master!$D$27:$G$225,4,FALSE)</f>
        <v>Repayment of Debt</v>
      </c>
      <c r="C58" s="519"/>
      <c r="D58" s="519"/>
      <c r="E58" s="519"/>
      <c r="F58" s="519"/>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08" t="str">
        <f>+VLOOKUP($A59,Master!$D$27:$G$225,4,FALSE)</f>
        <v>Repayment of Domestic Debt</v>
      </c>
      <c r="C59" s="509"/>
      <c r="D59" s="509"/>
      <c r="E59" s="509"/>
      <c r="F59" s="509"/>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06" t="str">
        <f>+VLOOKUP($A60,Master!$D$27:$G$225,4,FALSE)</f>
        <v>Repayment of Foreign Debt</v>
      </c>
      <c r="C60" s="507"/>
      <c r="D60" s="507"/>
      <c r="E60" s="507"/>
      <c r="F60" s="507"/>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10" t="str">
        <f>+VLOOKUP($A61,Master!$D$27:$G$225,4,FALSE)</f>
        <v>Financing needs</v>
      </c>
      <c r="C61" s="511"/>
      <c r="D61" s="511"/>
      <c r="E61" s="511"/>
      <c r="F61" s="511"/>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12" t="str">
        <f>+VLOOKUP($A62,Master!$D$27:$G$225,4,FALSE)</f>
        <v>Financing</v>
      </c>
      <c r="C62" s="513"/>
      <c r="D62" s="513"/>
      <c r="E62" s="513"/>
      <c r="F62" s="513"/>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08" t="str">
        <f>+VLOOKUP($A63,Master!$D$27:$G$225,4,FALSE)</f>
        <v>Domestic Loans and Borrowings</v>
      </c>
      <c r="C63" s="509"/>
      <c r="D63" s="509"/>
      <c r="E63" s="509"/>
      <c r="F63" s="509"/>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06" t="str">
        <f>+VLOOKUP($A64,Master!$D$27:$G$225,4,FALSE)</f>
        <v>Foreign Loans and Borrowings</v>
      </c>
      <c r="C64" s="507"/>
      <c r="D64" s="507"/>
      <c r="E64" s="507"/>
      <c r="F64" s="507"/>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06" t="str">
        <f>+VLOOKUP($A65,Master!$D$27:$G$225,4,FALSE)</f>
        <v>Revenues from Selling Assets</v>
      </c>
      <c r="C65" s="507"/>
      <c r="D65" s="507"/>
      <c r="E65" s="507"/>
      <c r="F65" s="507"/>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61" t="str">
        <f>+Master!G252</f>
        <v>Planned Budget Execution</v>
      </c>
      <c r="C102" s="459"/>
      <c r="D102" s="459"/>
      <c r="E102" s="459"/>
      <c r="F102" s="459"/>
      <c r="G102" s="467">
        <v>2013</v>
      </c>
      <c r="H102" s="468"/>
      <c r="I102" s="468"/>
      <c r="J102" s="468"/>
      <c r="K102" s="468"/>
      <c r="L102" s="468"/>
      <c r="M102" s="468"/>
      <c r="N102" s="468"/>
      <c r="O102" s="468"/>
      <c r="P102" s="468"/>
      <c r="Q102" s="468"/>
      <c r="R102" s="468"/>
      <c r="S102" s="468"/>
      <c r="T102" s="468"/>
      <c r="U102" s="471"/>
      <c r="V102" s="363"/>
      <c r="W102" s="260" t="str">
        <f>+W7</f>
        <v>GDP</v>
      </c>
      <c r="X102" s="261">
        <v>3393200615</v>
      </c>
    </row>
    <row r="103" spans="1:24" ht="15.75" customHeight="1">
      <c r="A103" s="169"/>
      <c r="B103" s="460"/>
      <c r="C103" s="461"/>
      <c r="D103" s="461"/>
      <c r="E103" s="461"/>
      <c r="F103" s="462"/>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67" t="str">
        <f>+Master!G246</f>
        <v>Jan - Dec</v>
      </c>
      <c r="X103" s="471">
        <f>+X8</f>
        <v>0</v>
      </c>
    </row>
    <row r="104" spans="1:24" ht="13.5" thickBot="1">
      <c r="A104" s="169"/>
      <c r="B104" s="463"/>
      <c r="C104" s="464"/>
      <c r="D104" s="464"/>
      <c r="E104" s="464"/>
      <c r="F104" s="465"/>
      <c r="G104" s="162" t="s">
        <v>423</v>
      </c>
      <c r="H104" s="162" t="s">
        <v>423</v>
      </c>
      <c r="I104" s="162" t="s">
        <v>423</v>
      </c>
      <c r="J104" s="162"/>
      <c r="K104" s="162" t="s">
        <v>423</v>
      </c>
      <c r="L104" s="162" t="s">
        <v>423</v>
      </c>
      <c r="M104" s="162" t="s">
        <v>423</v>
      </c>
      <c r="N104" s="162"/>
      <c r="O104" s="162" t="s">
        <v>423</v>
      </c>
      <c r="P104" s="162" t="s">
        <v>423</v>
      </c>
      <c r="Q104" s="162" t="s">
        <v>423</v>
      </c>
      <c r="R104" s="162"/>
      <c r="S104" s="162" t="s">
        <v>423</v>
      </c>
      <c r="T104" s="162" t="s">
        <v>423</v>
      </c>
      <c r="U104" s="162" t="s">
        <v>423</v>
      </c>
      <c r="V104" s="162"/>
      <c r="W104" s="262" t="s">
        <v>423</v>
      </c>
      <c r="X104" s="263" t="str">
        <f>+X9</f>
        <v>% GDP</v>
      </c>
    </row>
    <row r="105" spans="1:24" ht="13.5" thickBot="1">
      <c r="A105" s="297" t="str">
        <f t="shared" ref="A105:A148" si="21">+CONCATENATE(A10,"p")</f>
        <v>7p</v>
      </c>
      <c r="B105" s="500" t="str">
        <f>+VLOOKUP(LEFT($A105,LEN(A105)-1)*1,Master!$D$27:$G$225,4,FALSE)</f>
        <v>Total Revenues</v>
      </c>
      <c r="C105" s="501"/>
      <c r="D105" s="501"/>
      <c r="E105" s="501"/>
      <c r="F105" s="501"/>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502" t="str">
        <f>+VLOOKUP(LEFT($A106,LEN(A106)-1)*1,Master!$D$27:$G$225,4,FALSE)</f>
        <v>Taxes</v>
      </c>
      <c r="C106" s="503"/>
      <c r="D106" s="503"/>
      <c r="E106" s="503"/>
      <c r="F106" s="503"/>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88" t="str">
        <f>+VLOOKUP(LEFT($A107,LEN(A107)-1)*1,Master!$D$27:$G$225,4,FALSE)</f>
        <v>Personal Income Tax</v>
      </c>
      <c r="C107" s="489"/>
      <c r="D107" s="489"/>
      <c r="E107" s="489"/>
      <c r="F107" s="489"/>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88" t="str">
        <f>+VLOOKUP(LEFT($A108,LEN(A108)-1)*1,Master!$D$27:$G$225,4,FALSE)</f>
        <v>Corporate Income Tax</v>
      </c>
      <c r="C108" s="489"/>
      <c r="D108" s="489"/>
      <c r="E108" s="489"/>
      <c r="F108" s="489"/>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88" t="str">
        <f>+VLOOKUP(LEFT($A109,LEN(A109)-1)*1,Master!$D$27:$G$225,4,FALSE)</f>
        <v xml:space="preserve">Taxes on Sales of Property </v>
      </c>
      <c r="C109" s="489"/>
      <c r="D109" s="489"/>
      <c r="E109" s="489"/>
      <c r="F109" s="489"/>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88" t="str">
        <f>+VLOOKUP(LEFT($A110,LEN(A110)-1)*1,Master!$D$27:$G$225,4,FALSE)</f>
        <v>Value Added Tax</v>
      </c>
      <c r="C110" s="489"/>
      <c r="D110" s="489"/>
      <c r="E110" s="489"/>
      <c r="F110" s="489"/>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88" t="str">
        <f>+VLOOKUP(LEFT($A111,LEN(A111)-1)*1,Master!$D$27:$G$225,4,FALSE)</f>
        <v>Excises</v>
      </c>
      <c r="C111" s="489"/>
      <c r="D111" s="489"/>
      <c r="E111" s="489"/>
      <c r="F111" s="489"/>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88" t="str">
        <f>+VLOOKUP(LEFT($A112,LEN(A112)-1)*1,Master!$D$27:$G$225,4,FALSE)</f>
        <v>Tax on International Trade and Transactions</v>
      </c>
      <c r="C112" s="489"/>
      <c r="D112" s="489"/>
      <c r="E112" s="489"/>
      <c r="F112" s="489"/>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88" t="e">
        <f>+VLOOKUP(LEFT($A113,LEN(A113)-1)*1,Master!$D$27:$G$225,4,FALSE)</f>
        <v>#N/A</v>
      </c>
      <c r="C113" s="489"/>
      <c r="D113" s="489"/>
      <c r="E113" s="489"/>
      <c r="F113" s="489"/>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88" t="str">
        <f>+VLOOKUP(LEFT($A114,LEN(A114)-1)*1,Master!$D$27:$G$225,4,FALSE)</f>
        <v>Other Republic Taxes</v>
      </c>
      <c r="C114" s="489"/>
      <c r="D114" s="489"/>
      <c r="E114" s="489"/>
      <c r="F114" s="489"/>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98" t="str">
        <f>+VLOOKUP(LEFT($A115,LEN(A115)-1)*1,Master!$D$27:$G$225,4,FALSE)</f>
        <v>Contributions</v>
      </c>
      <c r="C115" s="499"/>
      <c r="D115" s="499"/>
      <c r="E115" s="499"/>
      <c r="F115" s="499"/>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88" t="str">
        <f>+VLOOKUP(LEFT($A116,LEN(A116)-1)*1,Master!$D$27:$G$225,4,FALSE)</f>
        <v>Contributions for Pension and Disability Insurance</v>
      </c>
      <c r="C116" s="489"/>
      <c r="D116" s="489"/>
      <c r="E116" s="489"/>
      <c r="F116" s="489"/>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88" t="str">
        <f>+VLOOKUP(LEFT($A117,LEN(A117)-1)*1,Master!$D$27:$G$225,4,FALSE)</f>
        <v>Contributions for Health Insurance</v>
      </c>
      <c r="C117" s="489"/>
      <c r="D117" s="489"/>
      <c r="E117" s="489"/>
      <c r="F117" s="489"/>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88" t="str">
        <f>+VLOOKUP(LEFT($A118,LEN(A118)-1)*1,Master!$D$27:$G$225,4,FALSE)</f>
        <v>Contributions for  Unemployment Insurance</v>
      </c>
      <c r="C118" s="489"/>
      <c r="D118" s="489"/>
      <c r="E118" s="489"/>
      <c r="F118" s="489"/>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88" t="str">
        <f>+VLOOKUP(LEFT($A119,LEN(A119)-1)*1,Master!$D$27:$G$225,4,FALSE)</f>
        <v>Other contributions</v>
      </c>
      <c r="C119" s="489"/>
      <c r="D119" s="489"/>
      <c r="E119" s="489"/>
      <c r="F119" s="489"/>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90" t="str">
        <f>+VLOOKUP(LEFT($A120,LEN(A120)-1)*1,Master!$D$27:$G$225,4,FALSE)</f>
        <v>Duties</v>
      </c>
      <c r="C120" s="491"/>
      <c r="D120" s="491"/>
      <c r="E120" s="491"/>
      <c r="F120" s="491"/>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90" t="str">
        <f>+VLOOKUP(LEFT($A121,LEN(A121)-1)*1,Master!$D$27:$G$225,4,FALSE)</f>
        <v>Fees</v>
      </c>
      <c r="C121" s="491"/>
      <c r="D121" s="491"/>
      <c r="E121" s="491"/>
      <c r="F121" s="491"/>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90" t="str">
        <f>+VLOOKUP(LEFT($A122,LEN(A122)-1)*1,Master!$D$27:$G$225,4,FALSE)</f>
        <v>Other revenues</v>
      </c>
      <c r="C122" s="491"/>
      <c r="D122" s="491"/>
      <c r="E122" s="491"/>
      <c r="F122" s="491"/>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90" t="str">
        <f>+VLOOKUP(LEFT($A123,LEN(A123)-1)*1,Master!$D$27:$G$225,4,FALSE)</f>
        <v>Receipts from Repayment of Loans and Funds Carried over from Previous Year</v>
      </c>
      <c r="C123" s="491"/>
      <c r="D123" s="491"/>
      <c r="E123" s="491"/>
      <c r="F123" s="491"/>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92" t="str">
        <f>+VLOOKUP(LEFT($A124,LEN(A124)-1)*1,Master!$D$27:$G$225,4,FALSE)</f>
        <v>Grants and Transfers</v>
      </c>
      <c r="C124" s="493"/>
      <c r="D124" s="493"/>
      <c r="E124" s="493"/>
      <c r="F124" s="493"/>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78" t="str">
        <f>+VLOOKUP(LEFT($A125,LEN(A125)-1)*1,Master!$D$27:$G$225,4,FALSE)</f>
        <v>Total Expenditures</v>
      </c>
      <c r="C125" s="479"/>
      <c r="D125" s="479"/>
      <c r="E125" s="479"/>
      <c r="F125" s="479"/>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94" t="str">
        <f>+VLOOKUP(LEFT($A126,LEN(A126)-1)*1,Master!$D$27:$G$225,4,FALSE)</f>
        <v>Current Expenditures</v>
      </c>
      <c r="C126" s="495"/>
      <c r="D126" s="495"/>
      <c r="E126" s="495"/>
      <c r="F126" s="495"/>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96" t="str">
        <f>+VLOOKUP(LEFT($A127,LEN(A127)-1)*1,Master!$D$27:$G$225,4,FALSE)</f>
        <v>Current Budgetary Consumption</v>
      </c>
      <c r="C127" s="497"/>
      <c r="D127" s="497"/>
      <c r="E127" s="497"/>
      <c r="F127" s="497"/>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88" t="str">
        <f>+VLOOKUP(LEFT($A128,LEN(A128)-1)*1,Master!$D$27:$G$225,4,FALSE)</f>
        <v>Gross Salaries and Contributions</v>
      </c>
      <c r="C128" s="489"/>
      <c r="D128" s="489"/>
      <c r="E128" s="489"/>
      <c r="F128" s="489"/>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88" t="str">
        <f>+VLOOKUP(LEFT($A129,LEN(A129)-1)*1,Master!$D$27:$G$225,4,FALSE)</f>
        <v>Other Personal Income</v>
      </c>
      <c r="C129" s="489"/>
      <c r="D129" s="489"/>
      <c r="E129" s="489"/>
      <c r="F129" s="489"/>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88" t="str">
        <f>+VLOOKUP(LEFT($A130,LEN(A130)-1)*1,Master!$D$27:$G$225,4,FALSE)</f>
        <v>Expenditures for Supplies</v>
      </c>
      <c r="C130" s="489"/>
      <c r="D130" s="489"/>
      <c r="E130" s="489"/>
      <c r="F130" s="489"/>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88" t="str">
        <f>+VLOOKUP(LEFT($A131,LEN(A131)-1)*1,Master!$D$27:$G$225,4,FALSE)</f>
        <v>Expenditures for Services</v>
      </c>
      <c r="C131" s="489"/>
      <c r="D131" s="489"/>
      <c r="E131" s="489"/>
      <c r="F131" s="489"/>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88" t="str">
        <f>+VLOOKUP(LEFT($A132,LEN(A132)-1)*1,Master!$D$27:$G$225,4,FALSE)</f>
        <v>Current Maintenance</v>
      </c>
      <c r="C132" s="489"/>
      <c r="D132" s="489"/>
      <c r="E132" s="489"/>
      <c r="F132" s="489"/>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88" t="str">
        <f>+VLOOKUP(LEFT($A133,LEN(A133)-1)*1,Master!$D$27:$G$225,4,FALSE)</f>
        <v>Interests</v>
      </c>
      <c r="C133" s="489"/>
      <c r="D133" s="489"/>
      <c r="E133" s="489"/>
      <c r="F133" s="489"/>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88" t="str">
        <f>+VLOOKUP(LEFT($A134,LEN(A134)-1)*1,Master!$D$27:$G$225,4,FALSE)</f>
        <v>Rent</v>
      </c>
      <c r="C134" s="489"/>
      <c r="D134" s="489"/>
      <c r="E134" s="489"/>
      <c r="F134" s="489"/>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88" t="str">
        <f>+VLOOKUP(LEFT($A135,LEN(A135)-1)*1,Master!$D$27:$G$225,4,FALSE)</f>
        <v>Subsidies</v>
      </c>
      <c r="C135" s="489"/>
      <c r="D135" s="489"/>
      <c r="E135" s="489"/>
      <c r="F135" s="489"/>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88" t="str">
        <f>+VLOOKUP(LEFT($A136,LEN(A136)-1)*1,Master!$D$27:$G$225,4,FALSE)</f>
        <v>Other expenditures</v>
      </c>
      <c r="C136" s="489"/>
      <c r="D136" s="489"/>
      <c r="E136" s="489"/>
      <c r="F136" s="489"/>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88" t="str">
        <f>+VLOOKUP(LEFT($A137,LEN(A137)-1)*1,Master!$D$27:$G$225,4,FALSE)</f>
        <v>Current Capital Expenditure</v>
      </c>
      <c r="C137" s="489"/>
      <c r="D137" s="489"/>
      <c r="E137" s="489"/>
      <c r="F137" s="489"/>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84" t="str">
        <f>+VLOOKUP(LEFT($A138,LEN(A138)-1)*1,Master!$D$27:$G$225,4,FALSE)</f>
        <v>Social Security Transfers</v>
      </c>
      <c r="C138" s="485"/>
      <c r="D138" s="485"/>
      <c r="E138" s="485"/>
      <c r="F138" s="485"/>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88" t="str">
        <f>+VLOOKUP(LEFT($A139,LEN(A139)-1)*1,Master!$D$27:$G$225,4,FALSE)</f>
        <v>Social Security</v>
      </c>
      <c r="C139" s="489"/>
      <c r="D139" s="489"/>
      <c r="E139" s="489"/>
      <c r="F139" s="489"/>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88" t="str">
        <f>+VLOOKUP(LEFT($A140,LEN(A140)-1)*1,Master!$D$27:$G$225,4,FALSE)</f>
        <v>Funds for redundant labor</v>
      </c>
      <c r="C140" s="489"/>
      <c r="D140" s="489"/>
      <c r="E140" s="489"/>
      <c r="F140" s="489"/>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88" t="str">
        <f>+VLOOKUP(LEFT($A141,LEN(A141)-1)*1,Master!$D$27:$G$225,4,FALSE)</f>
        <v>Pension and Disability Insurance</v>
      </c>
      <c r="C141" s="489"/>
      <c r="D141" s="489"/>
      <c r="E141" s="489"/>
      <c r="F141" s="489"/>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88" t="str">
        <f>+VLOOKUP(LEFT($A142,LEN(A142)-1)*1,Master!$D$27:$G$225,4,FALSE)</f>
        <v>Other Health Care Transfers</v>
      </c>
      <c r="C142" s="489"/>
      <c r="D142" s="489"/>
      <c r="E142" s="489"/>
      <c r="F142" s="489"/>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88" t="str">
        <f>+VLOOKUP(LEFT($A143,LEN(A143)-1)*1,Master!$D$27:$G$225,4,FALSE)</f>
        <v>Other Health Care Insurance</v>
      </c>
      <c r="C143" s="489"/>
      <c r="D143" s="489"/>
      <c r="E143" s="489"/>
      <c r="F143" s="489"/>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86" t="str">
        <f>+VLOOKUP(LEFT($A144,LEN(A144)-1)*1,Master!$D$27:$G$225,4,FALSE)</f>
        <v xml:space="preserve">Transfers to Institutions, Individuals, NGO and Public Sector </v>
      </c>
      <c r="C144" s="487"/>
      <c r="D144" s="487"/>
      <c r="E144" s="487"/>
      <c r="F144" s="487"/>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86" t="str">
        <f>+VLOOKUP(LEFT($A145,LEN(A145)-1)*1,Master!$D$27:$G$225,4,FALSE)</f>
        <v>Capital Expenditure</v>
      </c>
      <c r="C145" s="487"/>
      <c r="D145" s="487"/>
      <c r="E145" s="487"/>
      <c r="F145" s="487"/>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56" t="str">
        <f>+VLOOKUP(LEFT($A146,LEN(A146)-1)*1,Master!$D$27:$G$225,4,FALSE)</f>
        <v>Credits and Borrowings</v>
      </c>
      <c r="C146" s="457"/>
      <c r="D146" s="457"/>
      <c r="E146" s="457"/>
      <c r="F146" s="457"/>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56" t="str">
        <f>+VLOOKUP(LEFT($A147,LEN(A147)-1)*1,Master!$D$27:$G$225,4,FALSE)</f>
        <v>Reserves</v>
      </c>
      <c r="C147" s="457"/>
      <c r="D147" s="457"/>
      <c r="E147" s="457"/>
      <c r="F147" s="457"/>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4" t="str">
        <f>+VLOOKUP(LEFT($A148,LEN(A148)-1)*1,Master!$D$27:$G$225,4,FALSE)</f>
        <v>Repayment of Guarantees</v>
      </c>
      <c r="C148" s="475"/>
      <c r="D148" s="475"/>
      <c r="E148" s="475"/>
      <c r="F148" s="475"/>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80" t="str">
        <f>+VLOOKUP(LEFT($A149,LEN(A149)-1)*1,Master!$D$27:$G$225,4,FALSE)</f>
        <v>Surplus / deficit</v>
      </c>
      <c r="C149" s="481"/>
      <c r="D149" s="481"/>
      <c r="E149" s="481"/>
      <c r="F149" s="481"/>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82" t="str">
        <f>+VLOOKUP(LEFT($A150,LEN(A150)-1)*1,Master!$D$27:$G$225,4,FALSE)</f>
        <v>Primary balance</v>
      </c>
      <c r="C150" s="483"/>
      <c r="D150" s="483"/>
      <c r="E150" s="483"/>
      <c r="F150" s="483"/>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84" t="str">
        <f>+VLOOKUP(LEFT($A151,LEN(A151)-1)*1,Master!$D$27:$G$225,4,FALSE)</f>
        <v>Repayment of Debt</v>
      </c>
      <c r="C151" s="485"/>
      <c r="D151" s="485"/>
      <c r="E151" s="485"/>
      <c r="F151" s="485"/>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72" t="str">
        <f>+VLOOKUP(LEFT($A152,LEN(A152)-1)*1,Master!$D$27:$G$225,4,FALSE)</f>
        <v>Repayment of Domestic Debt</v>
      </c>
      <c r="C152" s="473"/>
      <c r="D152" s="473"/>
      <c r="E152" s="473"/>
      <c r="F152" s="473"/>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56" t="str">
        <f>+VLOOKUP(LEFT($A153,LEN(A153)-1)*1,Master!$D$27:$G$225,4,FALSE)</f>
        <v>Repayment of Foreign Debt</v>
      </c>
      <c r="C153" s="457"/>
      <c r="D153" s="457"/>
      <c r="E153" s="457"/>
      <c r="F153" s="457"/>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4" t="str">
        <f>+VLOOKUP(LEFT($A154,LEN(A154)-1)*1,Master!$D$27:$G$225,4,FALSE)</f>
        <v>Repayments of Arrears</v>
      </c>
      <c r="C154" s="475"/>
      <c r="D154" s="475"/>
      <c r="E154" s="475"/>
      <c r="F154" s="475"/>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76" t="str">
        <f>+VLOOKUP(LEFT($A155,LEN(A155)-1)*1,Master!$D$27:$G$225,4,FALSE)</f>
        <v>Financing needs</v>
      </c>
      <c r="C155" s="477"/>
      <c r="D155" s="477"/>
      <c r="E155" s="477"/>
      <c r="F155" s="477"/>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78" t="str">
        <f>+VLOOKUP(LEFT($A156,LEN(A156)-1)*1,Master!$D$27:$G$225,4,FALSE)</f>
        <v>Financing</v>
      </c>
      <c r="C156" s="479"/>
      <c r="D156" s="479"/>
      <c r="E156" s="479"/>
      <c r="F156" s="479"/>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72" t="str">
        <f>+VLOOKUP(LEFT($A157,LEN(A157)-1)*1,Master!$D$27:$G$225,4,FALSE)</f>
        <v>Domestic Loans and Borrowings</v>
      </c>
      <c r="C157" s="473"/>
      <c r="D157" s="473"/>
      <c r="E157" s="473"/>
      <c r="F157" s="473"/>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56" t="str">
        <f>+VLOOKUP(LEFT($A158,LEN(A158)-1)*1,Master!$D$27:$G$225,4,FALSE)</f>
        <v>Foreign Loans and Borrowings</v>
      </c>
      <c r="C158" s="457"/>
      <c r="D158" s="457"/>
      <c r="E158" s="457"/>
      <c r="F158" s="457"/>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56" t="str">
        <f>+VLOOKUP(LEFT($A159,LEN(A159)-1)*1,Master!$D$27:$G$225,4,FALSE)</f>
        <v>Revenues from Selling Assets</v>
      </c>
      <c r="C159" s="457"/>
      <c r="D159" s="457"/>
      <c r="E159" s="457"/>
      <c r="F159" s="457"/>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7:F9"/>
    <mergeCell ref="G7:U7"/>
    <mergeCell ref="W8:X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7:F57"/>
    <mergeCell ref="B58:F58"/>
    <mergeCell ref="B59:F59"/>
    <mergeCell ref="B60:F60"/>
    <mergeCell ref="B54:F54"/>
    <mergeCell ref="B61:F61"/>
    <mergeCell ref="B49:F49"/>
    <mergeCell ref="B50:F50"/>
    <mergeCell ref="B51:F51"/>
    <mergeCell ref="B52:F52"/>
    <mergeCell ref="B53:F53"/>
    <mergeCell ref="B56:F56"/>
    <mergeCell ref="B55:F55"/>
    <mergeCell ref="W103:X103"/>
    <mergeCell ref="B105:F105"/>
    <mergeCell ref="B106:F106"/>
    <mergeCell ref="B107:F107"/>
    <mergeCell ref="B108:F108"/>
    <mergeCell ref="B109:F109"/>
    <mergeCell ref="B62:F62"/>
    <mergeCell ref="B63:F63"/>
    <mergeCell ref="B64:F64"/>
    <mergeCell ref="B65:F65"/>
    <mergeCell ref="B102:F104"/>
    <mergeCell ref="G102:U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Directorate for State Budget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513</v>
      </c>
      <c r="H6" s="69" t="s">
        <v>514</v>
      </c>
      <c r="I6" s="69" t="s">
        <v>515</v>
      </c>
      <c r="J6" s="69" t="s">
        <v>516</v>
      </c>
      <c r="K6" s="69" t="s">
        <v>517</v>
      </c>
      <c r="L6" s="69" t="s">
        <v>518</v>
      </c>
      <c r="M6" s="69" t="s">
        <v>519</v>
      </c>
      <c r="N6" s="69" t="s">
        <v>520</v>
      </c>
      <c r="O6" s="69" t="s">
        <v>521</v>
      </c>
      <c r="P6" s="69" t="s">
        <v>522</v>
      </c>
      <c r="Q6" s="69" t="s">
        <v>523</v>
      </c>
      <c r="R6" s="69" t="s">
        <v>524</v>
      </c>
    </row>
    <row r="7" spans="1:20" ht="15" customHeight="1" thickBot="1">
      <c r="B7" s="543" t="str">
        <f>+Master!G251</f>
        <v>Budget Execution</v>
      </c>
      <c r="C7" s="544"/>
      <c r="D7" s="544"/>
      <c r="E7" s="544"/>
      <c r="F7" s="544"/>
      <c r="G7" s="536">
        <v>2013</v>
      </c>
      <c r="H7" s="537"/>
      <c r="I7" s="537"/>
      <c r="J7" s="537"/>
      <c r="K7" s="537"/>
      <c r="L7" s="537"/>
      <c r="M7" s="537"/>
      <c r="N7" s="537"/>
      <c r="O7" s="537"/>
      <c r="P7" s="537"/>
      <c r="Q7" s="537"/>
      <c r="R7" s="538"/>
      <c r="S7" s="115" t="str">
        <f>+Master!G248</f>
        <v>GDP</v>
      </c>
      <c r="T7" s="116">
        <v>3393200615</v>
      </c>
    </row>
    <row r="8" spans="1:20" ht="16.5" customHeight="1">
      <c r="B8" s="545"/>
      <c r="C8" s="546"/>
      <c r="D8" s="546"/>
      <c r="E8" s="546"/>
      <c r="F8" s="547"/>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36" t="str">
        <f>+Master!G245</f>
        <v>Jan - Oct</v>
      </c>
      <c r="T8" s="538"/>
    </row>
    <row r="9" spans="1:20" ht="13.5" thickBot="1">
      <c r="B9" s="548"/>
      <c r="C9" s="549"/>
      <c r="D9" s="549"/>
      <c r="E9" s="549"/>
      <c r="F9" s="550"/>
      <c r="G9" s="68" t="s">
        <v>423</v>
      </c>
      <c r="H9" s="68" t="s">
        <v>423</v>
      </c>
      <c r="I9" s="68" t="s">
        <v>423</v>
      </c>
      <c r="J9" s="68" t="s">
        <v>423</v>
      </c>
      <c r="K9" s="68" t="s">
        <v>423</v>
      </c>
      <c r="L9" s="68" t="s">
        <v>423</v>
      </c>
      <c r="M9" s="68" t="s">
        <v>423</v>
      </c>
      <c r="N9" s="68" t="s">
        <v>423</v>
      </c>
      <c r="O9" s="68" t="s">
        <v>423</v>
      </c>
      <c r="P9" s="68" t="s">
        <v>423</v>
      </c>
      <c r="Q9" s="68" t="s">
        <v>423</v>
      </c>
      <c r="R9" s="68" t="s">
        <v>423</v>
      </c>
      <c r="S9" s="66" t="s">
        <v>423</v>
      </c>
      <c r="T9" s="67" t="str">
        <f>+Master!G249</f>
        <v>% GDP</v>
      </c>
    </row>
    <row r="10" spans="1:20" ht="13.5" thickBot="1">
      <c r="A10" s="72">
        <v>7</v>
      </c>
      <c r="B10" s="539" t="str">
        <f>+VLOOKUP($A10,Master!$D$27:$G$225,4,FALSE)</f>
        <v>Total Revenues</v>
      </c>
      <c r="C10" s="540"/>
      <c r="D10" s="540"/>
      <c r="E10" s="540"/>
      <c r="F10" s="540"/>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41" t="str">
        <f>+VLOOKUP($A11,Master!$D$27:$G$225,4,FALSE)</f>
        <v>Taxes</v>
      </c>
      <c r="C11" s="542"/>
      <c r="D11" s="542"/>
      <c r="E11" s="542"/>
      <c r="F11" s="542"/>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2" t="str">
        <f>+VLOOKUP($A12,Master!$D$27:$G$225,4,FALSE)</f>
        <v>Personal Income Tax</v>
      </c>
      <c r="C12" s="523"/>
      <c r="D12" s="523"/>
      <c r="E12" s="523"/>
      <c r="F12" s="523"/>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2" t="str">
        <f>+VLOOKUP($A13,Master!$D$27:$G$225,4,FALSE)</f>
        <v>Corporate Income Tax</v>
      </c>
      <c r="C13" s="523"/>
      <c r="D13" s="523"/>
      <c r="E13" s="523"/>
      <c r="F13" s="523"/>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2" t="str">
        <f>+VLOOKUP($A14,Master!$D$27:$G$225,4,FALSE)</f>
        <v xml:space="preserve">Taxes on Sales of Property </v>
      </c>
      <c r="C14" s="523"/>
      <c r="D14" s="523"/>
      <c r="E14" s="523"/>
      <c r="F14" s="523"/>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2" t="str">
        <f>+VLOOKUP($A15,Master!$D$27:$G$225,4,FALSE)</f>
        <v>Value Added Tax</v>
      </c>
      <c r="C15" s="523"/>
      <c r="D15" s="523"/>
      <c r="E15" s="523"/>
      <c r="F15" s="523"/>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2" t="str">
        <f>+VLOOKUP($A16,Master!$D$27:$G$225,4,FALSE)</f>
        <v>Excises</v>
      </c>
      <c r="C16" s="523"/>
      <c r="D16" s="523"/>
      <c r="E16" s="523"/>
      <c r="F16" s="523"/>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2" t="str">
        <f>+VLOOKUP($A17,Master!$D$27:$G$225,4,FALSE)</f>
        <v>Tax on International Trade and Transactions</v>
      </c>
      <c r="C17" s="523"/>
      <c r="D17" s="523"/>
      <c r="E17" s="523"/>
      <c r="F17" s="523"/>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2" t="e">
        <f>+VLOOKUP($A18,Master!$D$27:$G$225,4,FALSE)</f>
        <v>#N/A</v>
      </c>
      <c r="C18" s="523"/>
      <c r="D18" s="523"/>
      <c r="E18" s="523"/>
      <c r="F18" s="523"/>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2" t="str">
        <f>+VLOOKUP($A19,Master!$D$27:$G$225,4,FALSE)</f>
        <v>Other Republic Taxes</v>
      </c>
      <c r="C19" s="523"/>
      <c r="D19" s="523"/>
      <c r="E19" s="523"/>
      <c r="F19" s="523"/>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4" t="str">
        <f>+VLOOKUP($A20,Master!$D$27:$G$225,4,FALSE)</f>
        <v>Contributions</v>
      </c>
      <c r="C20" s="535"/>
      <c r="D20" s="535"/>
      <c r="E20" s="535"/>
      <c r="F20" s="535"/>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2" t="str">
        <f>+VLOOKUP($A21,Master!$D$27:$G$225,4,FALSE)</f>
        <v>Contributions for Pension and Disability Insurance</v>
      </c>
      <c r="C21" s="523"/>
      <c r="D21" s="523"/>
      <c r="E21" s="523"/>
      <c r="F21" s="523"/>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2" t="str">
        <f>+VLOOKUP($A22,Master!$D$27:$G$225,4,FALSE)</f>
        <v>Contributions for Health Insurance</v>
      </c>
      <c r="C22" s="523"/>
      <c r="D22" s="523"/>
      <c r="E22" s="523"/>
      <c r="F22" s="523"/>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2" t="str">
        <f>+VLOOKUP($A23,Master!$D$27:$G$225,4,FALSE)</f>
        <v>Contributions for  Unemployment Insurance</v>
      </c>
      <c r="C23" s="523"/>
      <c r="D23" s="523"/>
      <c r="E23" s="523"/>
      <c r="F23" s="523"/>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2" t="str">
        <f>+VLOOKUP($A24,Master!$D$27:$G$225,4,FALSE)</f>
        <v>Other contributions</v>
      </c>
      <c r="C24" s="523"/>
      <c r="D24" s="523"/>
      <c r="E24" s="523"/>
      <c r="F24" s="523"/>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26" t="str">
        <f>+VLOOKUP($A25,Master!$D$27:$G$225,4,FALSE)</f>
        <v>Duties</v>
      </c>
      <c r="C25" s="527"/>
      <c r="D25" s="527"/>
      <c r="E25" s="527"/>
      <c r="F25" s="527"/>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26" t="str">
        <f>+VLOOKUP($A26,Master!$D$27:$G$225,4,FALSE)</f>
        <v>Fees</v>
      </c>
      <c r="C26" s="527"/>
      <c r="D26" s="527"/>
      <c r="E26" s="527"/>
      <c r="F26" s="527"/>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26" t="str">
        <f>+VLOOKUP($A27,Master!$D$27:$G$225,4,FALSE)</f>
        <v>Other revenues</v>
      </c>
      <c r="C27" s="527"/>
      <c r="D27" s="527"/>
      <c r="E27" s="527"/>
      <c r="F27" s="527"/>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26" t="str">
        <f>+VLOOKUP($A28,Master!$D$27:$G$225,4,FALSE)</f>
        <v>Receipts from Repayment of Loans and Funds Carried over from Previous Year</v>
      </c>
      <c r="C28" s="527"/>
      <c r="D28" s="527"/>
      <c r="E28" s="527"/>
      <c r="F28" s="527"/>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28" t="str">
        <f>+VLOOKUP($A29,Master!$D$27:$G$225,4,FALSE)</f>
        <v>Grants and Transfers</v>
      </c>
      <c r="C29" s="529"/>
      <c r="D29" s="529"/>
      <c r="E29" s="529"/>
      <c r="F29" s="529"/>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12" t="str">
        <f>+VLOOKUP($A30,Master!$D$27:$G$225,4,FALSE)</f>
        <v>Total Expenditures</v>
      </c>
      <c r="C30" s="513"/>
      <c r="D30" s="513"/>
      <c r="E30" s="513"/>
      <c r="F30" s="513"/>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30" t="str">
        <f>+VLOOKUP($A31,Master!$D$27:$G$225,4,FALSE)</f>
        <v>Current Expenditures</v>
      </c>
      <c r="C31" s="531"/>
      <c r="D31" s="531"/>
      <c r="E31" s="531"/>
      <c r="F31" s="531"/>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32" t="str">
        <f>+VLOOKUP($A32,Master!$D$27:$G$225,4,FALSE)</f>
        <v>Current Budgetary Consumption</v>
      </c>
      <c r="C32" s="533"/>
      <c r="D32" s="533"/>
      <c r="E32" s="533"/>
      <c r="F32" s="533"/>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2" t="str">
        <f>+VLOOKUP($A33,Master!$D$27:$G$225,4,FALSE)</f>
        <v>Gross Salaries and Contributions</v>
      </c>
      <c r="C33" s="523"/>
      <c r="D33" s="523"/>
      <c r="E33" s="523"/>
      <c r="F33" s="523"/>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2" t="str">
        <f>+VLOOKUP($A34,Master!$D$27:$G$225,4,FALSE)</f>
        <v>Other Personal Income</v>
      </c>
      <c r="C34" s="523"/>
      <c r="D34" s="523"/>
      <c r="E34" s="523"/>
      <c r="F34" s="523"/>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2" t="str">
        <f>+VLOOKUP($A35,Master!$D$27:$G$225,4,FALSE)</f>
        <v>Expenditures for Supplies</v>
      </c>
      <c r="C35" s="523"/>
      <c r="D35" s="523"/>
      <c r="E35" s="523"/>
      <c r="F35" s="523"/>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2" t="str">
        <f>+VLOOKUP($A36,Master!$D$27:$G$225,4,FALSE)</f>
        <v>Expenditures for Services</v>
      </c>
      <c r="C36" s="523"/>
      <c r="D36" s="523"/>
      <c r="E36" s="523"/>
      <c r="F36" s="523"/>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2" t="str">
        <f>+VLOOKUP($A37,Master!$D$27:$G$225,4,FALSE)</f>
        <v>Current Maintenance</v>
      </c>
      <c r="C37" s="523"/>
      <c r="D37" s="523"/>
      <c r="E37" s="523"/>
      <c r="F37" s="523"/>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2" t="str">
        <f>+VLOOKUP($A38,Master!$D$27:$G$225,4,FALSE)</f>
        <v>Interests</v>
      </c>
      <c r="C38" s="523"/>
      <c r="D38" s="523"/>
      <c r="E38" s="523"/>
      <c r="F38" s="523"/>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2" t="str">
        <f>+VLOOKUP($A39,Master!$D$27:$G$225,4,FALSE)</f>
        <v>Rent</v>
      </c>
      <c r="C39" s="523"/>
      <c r="D39" s="523"/>
      <c r="E39" s="523"/>
      <c r="F39" s="523"/>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2" t="str">
        <f>+VLOOKUP($A40,Master!$D$27:$G$225,4,FALSE)</f>
        <v>Subsidies</v>
      </c>
      <c r="C40" s="523"/>
      <c r="D40" s="523"/>
      <c r="E40" s="523"/>
      <c r="F40" s="523"/>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2" t="str">
        <f>+VLOOKUP($A41,Master!$D$27:$G$225,4,FALSE)</f>
        <v>Other expenditures</v>
      </c>
      <c r="C41" s="523"/>
      <c r="D41" s="523"/>
      <c r="E41" s="523"/>
      <c r="F41" s="523"/>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2" t="str">
        <f>+VLOOKUP($A42,Master!$D$27:$G$225,4,FALSE)</f>
        <v>Current Capital Expenditure</v>
      </c>
      <c r="C42" s="523"/>
      <c r="D42" s="523"/>
      <c r="E42" s="523"/>
      <c r="F42" s="523"/>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18" t="str">
        <f>+VLOOKUP($A43,Master!$D$27:$G$225,4,FALSE)</f>
        <v>Social Security Transfers</v>
      </c>
      <c r="C43" s="519"/>
      <c r="D43" s="519"/>
      <c r="E43" s="519"/>
      <c r="F43" s="519"/>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2" t="str">
        <f>+VLOOKUP($A44,Master!$D$27:$G$225,4,FALSE)</f>
        <v>Social Security</v>
      </c>
      <c r="C44" s="523"/>
      <c r="D44" s="523"/>
      <c r="E44" s="523"/>
      <c r="F44" s="523"/>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2" t="str">
        <f>+VLOOKUP($A45,Master!$D$27:$G$225,4,FALSE)</f>
        <v>Funds for redundant labor</v>
      </c>
      <c r="C45" s="523"/>
      <c r="D45" s="523"/>
      <c r="E45" s="523"/>
      <c r="F45" s="523"/>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2" t="str">
        <f>+VLOOKUP($A46,Master!$D$27:$G$225,4,FALSE)</f>
        <v>Pension and Disability Insurance</v>
      </c>
      <c r="C46" s="523"/>
      <c r="D46" s="523"/>
      <c r="E46" s="523"/>
      <c r="F46" s="523"/>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2" t="str">
        <f>+VLOOKUP($A47,Master!$D$27:$G$225,4,FALSE)</f>
        <v>Other Health Care Transfers</v>
      </c>
      <c r="C47" s="523"/>
      <c r="D47" s="523"/>
      <c r="E47" s="523"/>
      <c r="F47" s="523"/>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2" t="str">
        <f>+VLOOKUP($A48,Master!$D$27:$G$225,4,FALSE)</f>
        <v>Other Health Care Insurance</v>
      </c>
      <c r="C48" s="523"/>
      <c r="D48" s="523"/>
      <c r="E48" s="523"/>
      <c r="F48" s="523"/>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24" t="str">
        <f>+VLOOKUP($A49,Master!$D$27:$G$225,4,FALSE)</f>
        <v xml:space="preserve">Transfers to Institutions, Individuals, NGO and Public Sector </v>
      </c>
      <c r="C49" s="525"/>
      <c r="D49" s="525"/>
      <c r="E49" s="525"/>
      <c r="F49" s="525"/>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24" t="str">
        <f>+VLOOKUP($A50,Master!$D$27:$G$225,4,FALSE)</f>
        <v>Capital Expenditure</v>
      </c>
      <c r="C50" s="525"/>
      <c r="D50" s="525"/>
      <c r="E50" s="525"/>
      <c r="F50" s="525"/>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06" t="str">
        <f>+VLOOKUP($A51,Master!$D$27:$G$225,4,FALSE)</f>
        <v>Credits and Borrowings</v>
      </c>
      <c r="C51" s="507"/>
      <c r="D51" s="507"/>
      <c r="E51" s="507"/>
      <c r="F51" s="507"/>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06" t="str">
        <f>+VLOOKUP($A52,Master!$D$27:$G$225,4,FALSE)</f>
        <v>Reserves</v>
      </c>
      <c r="C52" s="507"/>
      <c r="D52" s="507"/>
      <c r="E52" s="507"/>
      <c r="F52" s="507"/>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20" t="str">
        <f>+VLOOKUP($A53,Master!$D$27:$G$225,4,FALSE)</f>
        <v>Repayment of Guarantees</v>
      </c>
      <c r="C53" s="521"/>
      <c r="D53" s="521"/>
      <c r="E53" s="521"/>
      <c r="F53" s="521"/>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14" t="str">
        <f>+VLOOKUP($A54,Master!$D$27:$G$225,4,FALSE)</f>
        <v>Surplus / deficit</v>
      </c>
      <c r="C54" s="515"/>
      <c r="D54" s="515"/>
      <c r="E54" s="515"/>
      <c r="F54" s="515"/>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16" t="str">
        <f>+VLOOKUP($A55,Master!$D$27:$G$225,4,FALSE)</f>
        <v>Primary balance</v>
      </c>
      <c r="C55" s="517"/>
      <c r="D55" s="517"/>
      <c r="E55" s="517"/>
      <c r="F55" s="517"/>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18" t="str">
        <f>+VLOOKUP($A56,Master!$D$27:$G$225,4,FALSE)</f>
        <v>Repayment of Debt</v>
      </c>
      <c r="C56" s="519"/>
      <c r="D56" s="519"/>
      <c r="E56" s="519"/>
      <c r="F56" s="519"/>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08" t="str">
        <f>+VLOOKUP($A57,Master!$D$27:$G$225,4,FALSE)</f>
        <v>Repayment of Domestic Debt</v>
      </c>
      <c r="C57" s="509"/>
      <c r="D57" s="509"/>
      <c r="E57" s="509"/>
      <c r="F57" s="509"/>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06" t="str">
        <f>+VLOOKUP($A58,Master!$D$27:$G$225,4,FALSE)</f>
        <v>Repayment of Foreign Debt</v>
      </c>
      <c r="C58" s="507"/>
      <c r="D58" s="507"/>
      <c r="E58" s="507"/>
      <c r="F58" s="507"/>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20" t="str">
        <f>+VLOOKUP($A59,Master!$D$27:$G$225,4,FALSE)</f>
        <v>Repayments of Arrears</v>
      </c>
      <c r="C59" s="521"/>
      <c r="D59" s="521"/>
      <c r="E59" s="521"/>
      <c r="F59" s="521"/>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10" t="str">
        <f>+VLOOKUP($A60,Master!$D$27:$G$225,4,FALSE)</f>
        <v>Financing needs</v>
      </c>
      <c r="C60" s="511"/>
      <c r="D60" s="511"/>
      <c r="E60" s="511"/>
      <c r="F60" s="511"/>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12" t="str">
        <f>+VLOOKUP($A61,Master!$D$27:$G$225,4,FALSE)</f>
        <v>Financing</v>
      </c>
      <c r="C61" s="513"/>
      <c r="D61" s="513"/>
      <c r="E61" s="513"/>
      <c r="F61" s="513"/>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08" t="str">
        <f>+VLOOKUP($A62,Master!$D$27:$G$225,4,FALSE)</f>
        <v>Domestic Loans and Borrowings</v>
      </c>
      <c r="C62" s="509"/>
      <c r="D62" s="509"/>
      <c r="E62" s="509"/>
      <c r="F62" s="509"/>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06" t="str">
        <f>+VLOOKUP($A63,Master!$D$27:$G$225,4,FALSE)</f>
        <v>Foreign Loans and Borrowings</v>
      </c>
      <c r="C63" s="507"/>
      <c r="D63" s="507"/>
      <c r="E63" s="507"/>
      <c r="F63" s="507"/>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06" t="str">
        <f>+VLOOKUP($A64,Master!$D$27:$G$225,4,FALSE)</f>
        <v>Revenues from Selling Assets</v>
      </c>
      <c r="C64" s="507"/>
      <c r="D64" s="507"/>
      <c r="E64" s="507"/>
      <c r="F64" s="507"/>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61" t="str">
        <f>+Master!G252</f>
        <v>Planned Budget Execution</v>
      </c>
      <c r="C101" s="459"/>
      <c r="D101" s="459"/>
      <c r="E101" s="459"/>
      <c r="F101" s="459"/>
      <c r="G101" s="467">
        <v>2014</v>
      </c>
      <c r="H101" s="468"/>
      <c r="I101" s="468"/>
      <c r="J101" s="468"/>
      <c r="K101" s="468"/>
      <c r="L101" s="468"/>
      <c r="M101" s="468"/>
      <c r="N101" s="468"/>
      <c r="O101" s="468"/>
      <c r="P101" s="468"/>
      <c r="Q101" s="468"/>
      <c r="R101" s="471"/>
      <c r="S101" s="260" t="str">
        <f>+S7</f>
        <v>GDP</v>
      </c>
      <c r="T101" s="261">
        <v>3393200615</v>
      </c>
    </row>
    <row r="102" spans="1:20" ht="15.75" customHeight="1">
      <c r="A102" s="169"/>
      <c r="B102" s="460"/>
      <c r="C102" s="461"/>
      <c r="D102" s="461"/>
      <c r="E102" s="461"/>
      <c r="F102" s="462"/>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67" t="str">
        <f>+Master!G246</f>
        <v>Jan - Dec</v>
      </c>
      <c r="T102" s="471">
        <f t="shared" si="16"/>
        <v>0</v>
      </c>
    </row>
    <row r="103" spans="1:20" ht="13.5" thickBot="1">
      <c r="A103" s="169"/>
      <c r="B103" s="463"/>
      <c r="C103" s="464"/>
      <c r="D103" s="464"/>
      <c r="E103" s="464"/>
      <c r="F103" s="465"/>
      <c r="G103" s="162" t="s">
        <v>423</v>
      </c>
      <c r="H103" s="162" t="s">
        <v>423</v>
      </c>
      <c r="I103" s="162" t="s">
        <v>423</v>
      </c>
      <c r="J103" s="162" t="s">
        <v>423</v>
      </c>
      <c r="K103" s="162" t="s">
        <v>423</v>
      </c>
      <c r="L103" s="162" t="s">
        <v>423</v>
      </c>
      <c r="M103" s="162" t="s">
        <v>423</v>
      </c>
      <c r="N103" s="162" t="s">
        <v>423</v>
      </c>
      <c r="O103" s="162" t="s">
        <v>423</v>
      </c>
      <c r="P103" s="162" t="s">
        <v>423</v>
      </c>
      <c r="Q103" s="162" t="s">
        <v>423</v>
      </c>
      <c r="R103" s="162" t="s">
        <v>423</v>
      </c>
      <c r="S103" s="262" t="s">
        <v>423</v>
      </c>
      <c r="T103" s="263" t="str">
        <f>+T9</f>
        <v>% GDP</v>
      </c>
    </row>
    <row r="104" spans="1:20" ht="13.5" thickBot="1">
      <c r="A104" s="297" t="str">
        <f>+CONCATENATE(A10,"p")</f>
        <v>7p</v>
      </c>
      <c r="B104" s="500" t="str">
        <f>+VLOOKUP(LEFT($A104,LEN(A104)-1)*1,Master!$D$27:$G$225,4,FALSE)</f>
        <v>Total Revenues</v>
      </c>
      <c r="C104" s="501"/>
      <c r="D104" s="501"/>
      <c r="E104" s="501"/>
      <c r="F104" s="501"/>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502" t="str">
        <f>+VLOOKUP(LEFT($A105,LEN(A105)-1)*1,Master!$D$27:$G$225,4,FALSE)</f>
        <v>Taxes</v>
      </c>
      <c r="C105" s="503"/>
      <c r="D105" s="503"/>
      <c r="E105" s="503"/>
      <c r="F105" s="503"/>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88" t="str">
        <f>+VLOOKUP(LEFT($A106,LEN(A106)-1)*1,Master!$D$27:$G$225,4,FALSE)</f>
        <v>Personal Income Tax</v>
      </c>
      <c r="C106" s="489"/>
      <c r="D106" s="489"/>
      <c r="E106" s="489"/>
      <c r="F106" s="489"/>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88" t="str">
        <f>+VLOOKUP(LEFT($A107,LEN(A107)-1)*1,Master!$D$27:$G$225,4,FALSE)</f>
        <v>Corporate Income Tax</v>
      </c>
      <c r="C107" s="489"/>
      <c r="D107" s="489"/>
      <c r="E107" s="489"/>
      <c r="F107" s="489"/>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88" t="str">
        <f>+VLOOKUP(LEFT($A108,LEN(A108)-1)*1,Master!$D$27:$G$225,4,FALSE)</f>
        <v xml:space="preserve">Taxes on Sales of Property </v>
      </c>
      <c r="C108" s="489"/>
      <c r="D108" s="489"/>
      <c r="E108" s="489"/>
      <c r="F108" s="489"/>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88" t="str">
        <f>+VLOOKUP(LEFT($A109,LEN(A109)-1)*1,Master!$D$27:$G$225,4,FALSE)</f>
        <v>Value Added Tax</v>
      </c>
      <c r="C109" s="489"/>
      <c r="D109" s="489"/>
      <c r="E109" s="489"/>
      <c r="F109" s="489"/>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88" t="str">
        <f>+VLOOKUP(LEFT($A110,LEN(A110)-1)*1,Master!$D$27:$G$225,4,FALSE)</f>
        <v>Excises</v>
      </c>
      <c r="C110" s="489"/>
      <c r="D110" s="489"/>
      <c r="E110" s="489"/>
      <c r="F110" s="489"/>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88" t="str">
        <f>+VLOOKUP(LEFT($A111,LEN(A111)-1)*1,Master!$D$27:$G$225,4,FALSE)</f>
        <v>Tax on International Trade and Transactions</v>
      </c>
      <c r="C111" s="489"/>
      <c r="D111" s="489"/>
      <c r="E111" s="489"/>
      <c r="F111" s="489"/>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88" t="e">
        <f>+VLOOKUP(LEFT($A112,LEN(A112)-1)*1,Master!$D$27:$G$225,4,FALSE)</f>
        <v>#N/A</v>
      </c>
      <c r="C112" s="489"/>
      <c r="D112" s="489"/>
      <c r="E112" s="489"/>
      <c r="F112" s="489"/>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88" t="str">
        <f>+VLOOKUP(LEFT($A113,LEN(A113)-1)*1,Master!$D$27:$G$225,4,FALSE)</f>
        <v>Other Republic Taxes</v>
      </c>
      <c r="C113" s="489"/>
      <c r="D113" s="489"/>
      <c r="E113" s="489"/>
      <c r="F113" s="489"/>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98" t="str">
        <f>+VLOOKUP(LEFT($A114,LEN(A114)-1)*1,Master!$D$27:$G$225,4,FALSE)</f>
        <v>Contributions</v>
      </c>
      <c r="C114" s="499"/>
      <c r="D114" s="499"/>
      <c r="E114" s="499"/>
      <c r="F114" s="499"/>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88" t="str">
        <f>+VLOOKUP(LEFT($A115,LEN(A115)-1)*1,Master!$D$27:$G$225,4,FALSE)</f>
        <v>Contributions for Pension and Disability Insurance</v>
      </c>
      <c r="C115" s="489"/>
      <c r="D115" s="489"/>
      <c r="E115" s="489"/>
      <c r="F115" s="489"/>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88" t="str">
        <f>+VLOOKUP(LEFT($A116,LEN(A116)-1)*1,Master!$D$27:$G$225,4,FALSE)</f>
        <v>Contributions for Health Insurance</v>
      </c>
      <c r="C116" s="489"/>
      <c r="D116" s="489"/>
      <c r="E116" s="489"/>
      <c r="F116" s="489"/>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88" t="str">
        <f>+VLOOKUP(LEFT($A117,LEN(A117)-1)*1,Master!$D$27:$G$225,4,FALSE)</f>
        <v>Contributions for  Unemployment Insurance</v>
      </c>
      <c r="C117" s="489"/>
      <c r="D117" s="489"/>
      <c r="E117" s="489"/>
      <c r="F117" s="489"/>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88" t="str">
        <f>+VLOOKUP(LEFT($A118,LEN(A118)-1)*1,Master!$D$27:$G$225,4,FALSE)</f>
        <v>Other contributions</v>
      </c>
      <c r="C118" s="489"/>
      <c r="D118" s="489"/>
      <c r="E118" s="489"/>
      <c r="F118" s="489"/>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90" t="str">
        <f>+VLOOKUP(LEFT($A119,LEN(A119)-1)*1,Master!$D$27:$G$225,4,FALSE)</f>
        <v>Duties</v>
      </c>
      <c r="C119" s="491"/>
      <c r="D119" s="491"/>
      <c r="E119" s="491"/>
      <c r="F119" s="491"/>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90" t="str">
        <f>+VLOOKUP(LEFT($A120,LEN(A120)-1)*1,Master!$D$27:$G$225,4,FALSE)</f>
        <v>Fees</v>
      </c>
      <c r="C120" s="491"/>
      <c r="D120" s="491"/>
      <c r="E120" s="491"/>
      <c r="F120" s="491"/>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90" t="str">
        <f>+VLOOKUP(LEFT($A121,LEN(A121)-1)*1,Master!$D$27:$G$225,4,FALSE)</f>
        <v>Other revenues</v>
      </c>
      <c r="C121" s="491"/>
      <c r="D121" s="491"/>
      <c r="E121" s="491"/>
      <c r="F121" s="491"/>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90" t="str">
        <f>+VLOOKUP(LEFT($A122,LEN(A122)-1)*1,Master!$D$27:$G$225,4,FALSE)</f>
        <v>Receipts from Repayment of Loans and Funds Carried over from Previous Year</v>
      </c>
      <c r="C122" s="491"/>
      <c r="D122" s="491"/>
      <c r="E122" s="491"/>
      <c r="F122" s="491"/>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92" t="str">
        <f>+VLOOKUP(LEFT($A123,LEN(A123)-1)*1,Master!$D$27:$G$225,4,FALSE)</f>
        <v>Grants and Transfers</v>
      </c>
      <c r="C123" s="493"/>
      <c r="D123" s="493"/>
      <c r="E123" s="493"/>
      <c r="F123" s="493"/>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78" t="str">
        <f>+VLOOKUP(LEFT($A124,LEN(A124)-1)*1,Master!$D$27:$G$225,4,FALSE)</f>
        <v>Total Expenditures</v>
      </c>
      <c r="C124" s="479"/>
      <c r="D124" s="479"/>
      <c r="E124" s="479"/>
      <c r="F124" s="479"/>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94" t="str">
        <f>+VLOOKUP(LEFT($A125,LEN(A125)-1)*1,Master!$D$27:$G$225,4,FALSE)</f>
        <v>Current Expenditures</v>
      </c>
      <c r="C125" s="495"/>
      <c r="D125" s="495"/>
      <c r="E125" s="495"/>
      <c r="F125" s="495"/>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96" t="str">
        <f>+VLOOKUP(LEFT($A126,LEN(A126)-1)*1,Master!$D$27:$G$225,4,FALSE)</f>
        <v>Current Budgetary Consumption</v>
      </c>
      <c r="C126" s="497"/>
      <c r="D126" s="497"/>
      <c r="E126" s="497"/>
      <c r="F126" s="497"/>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88" t="str">
        <f>+VLOOKUP(LEFT($A127,LEN(A127)-1)*1,Master!$D$27:$G$225,4,FALSE)</f>
        <v>Gross Salaries and Contributions</v>
      </c>
      <c r="C127" s="489"/>
      <c r="D127" s="489"/>
      <c r="E127" s="489"/>
      <c r="F127" s="489"/>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88" t="str">
        <f>+VLOOKUP(LEFT($A128,LEN(A128)-1)*1,Master!$D$27:$G$225,4,FALSE)</f>
        <v>Other Personal Income</v>
      </c>
      <c r="C128" s="489"/>
      <c r="D128" s="489"/>
      <c r="E128" s="489"/>
      <c r="F128" s="489"/>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88" t="str">
        <f>+VLOOKUP(LEFT($A129,LEN(A129)-1)*1,Master!$D$27:$G$225,4,FALSE)</f>
        <v>Expenditures for Supplies</v>
      </c>
      <c r="C129" s="489"/>
      <c r="D129" s="489"/>
      <c r="E129" s="489"/>
      <c r="F129" s="489"/>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88" t="str">
        <f>+VLOOKUP(LEFT($A130,LEN(A130)-1)*1,Master!$D$27:$G$225,4,FALSE)</f>
        <v>Expenditures for Services</v>
      </c>
      <c r="C130" s="489"/>
      <c r="D130" s="489"/>
      <c r="E130" s="489"/>
      <c r="F130" s="489"/>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88" t="str">
        <f>+VLOOKUP(LEFT($A131,LEN(A131)-1)*1,Master!$D$27:$G$225,4,FALSE)</f>
        <v>Current Maintenance</v>
      </c>
      <c r="C131" s="489"/>
      <c r="D131" s="489"/>
      <c r="E131" s="489"/>
      <c r="F131" s="489"/>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88" t="str">
        <f>+VLOOKUP(LEFT($A132,LEN(A132)-1)*1,Master!$D$27:$G$225,4,FALSE)</f>
        <v>Interests</v>
      </c>
      <c r="C132" s="489"/>
      <c r="D132" s="489"/>
      <c r="E132" s="489"/>
      <c r="F132" s="489"/>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88" t="str">
        <f>+VLOOKUP(LEFT($A133,LEN(A133)-1)*1,Master!$D$27:$G$225,4,FALSE)</f>
        <v>Rent</v>
      </c>
      <c r="C133" s="489"/>
      <c r="D133" s="489"/>
      <c r="E133" s="489"/>
      <c r="F133" s="489"/>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88" t="str">
        <f>+VLOOKUP(LEFT($A134,LEN(A134)-1)*1,Master!$D$27:$G$225,4,FALSE)</f>
        <v>Subsidies</v>
      </c>
      <c r="C134" s="489"/>
      <c r="D134" s="489"/>
      <c r="E134" s="489"/>
      <c r="F134" s="489"/>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88" t="str">
        <f>+VLOOKUP(LEFT($A135,LEN(A135)-1)*1,Master!$D$27:$G$225,4,FALSE)</f>
        <v>Other expenditures</v>
      </c>
      <c r="C135" s="489"/>
      <c r="D135" s="489"/>
      <c r="E135" s="489"/>
      <c r="F135" s="489"/>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88" t="str">
        <f>+VLOOKUP(LEFT($A136,LEN(A136)-1)*1,Master!$D$27:$G$225,4,FALSE)</f>
        <v>Current Capital Expenditure</v>
      </c>
      <c r="C136" s="489"/>
      <c r="D136" s="489"/>
      <c r="E136" s="489"/>
      <c r="F136" s="489"/>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84" t="str">
        <f>+VLOOKUP(LEFT($A137,LEN(A137)-1)*1,Master!$D$27:$G$225,4,FALSE)</f>
        <v>Social Security Transfers</v>
      </c>
      <c r="C137" s="485"/>
      <c r="D137" s="485"/>
      <c r="E137" s="485"/>
      <c r="F137" s="485"/>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88" t="str">
        <f>+VLOOKUP(LEFT($A138,LEN(A138)-1)*1,Master!$D$27:$G$225,4,FALSE)</f>
        <v>Social Security</v>
      </c>
      <c r="C138" s="489"/>
      <c r="D138" s="489"/>
      <c r="E138" s="489"/>
      <c r="F138" s="489"/>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88" t="str">
        <f>+VLOOKUP(LEFT($A139,LEN(A139)-1)*1,Master!$D$27:$G$225,4,FALSE)</f>
        <v>Funds for redundant labor</v>
      </c>
      <c r="C139" s="489"/>
      <c r="D139" s="489"/>
      <c r="E139" s="489"/>
      <c r="F139" s="489"/>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88" t="str">
        <f>+VLOOKUP(LEFT($A140,LEN(A140)-1)*1,Master!$D$27:$G$225,4,FALSE)</f>
        <v>Pension and Disability Insurance</v>
      </c>
      <c r="C140" s="489"/>
      <c r="D140" s="489"/>
      <c r="E140" s="489"/>
      <c r="F140" s="489"/>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88" t="str">
        <f>+VLOOKUP(LEFT($A141,LEN(A141)-1)*1,Master!$D$27:$G$225,4,FALSE)</f>
        <v>Other Health Care Transfers</v>
      </c>
      <c r="C141" s="489"/>
      <c r="D141" s="489"/>
      <c r="E141" s="489"/>
      <c r="F141" s="489"/>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88" t="str">
        <f>+VLOOKUP(LEFT($A142,LEN(A142)-1)*1,Master!$D$27:$G$225,4,FALSE)</f>
        <v>Other Health Care Insurance</v>
      </c>
      <c r="C142" s="489"/>
      <c r="D142" s="489"/>
      <c r="E142" s="489"/>
      <c r="F142" s="489"/>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86" t="str">
        <f>+VLOOKUP(LEFT($A143,LEN(A143)-1)*1,Master!$D$27:$G$225,4,FALSE)</f>
        <v xml:space="preserve">Transfers to Institutions, Individuals, NGO and Public Sector </v>
      </c>
      <c r="C143" s="487"/>
      <c r="D143" s="487"/>
      <c r="E143" s="487"/>
      <c r="F143" s="487"/>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86" t="str">
        <f>+VLOOKUP(LEFT($A144,LEN(A144)-1)*1,Master!$D$27:$G$225,4,FALSE)</f>
        <v>Capital Expenditure</v>
      </c>
      <c r="C144" s="487"/>
      <c r="D144" s="487"/>
      <c r="E144" s="487"/>
      <c r="F144" s="487"/>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56" t="str">
        <f>+VLOOKUP(LEFT($A145,LEN(A145)-1)*1,Master!$D$27:$G$225,4,FALSE)</f>
        <v>Credits and Borrowings</v>
      </c>
      <c r="C145" s="457"/>
      <c r="D145" s="457"/>
      <c r="E145" s="457"/>
      <c r="F145" s="457"/>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56" t="str">
        <f>+VLOOKUP(LEFT($A146,LEN(A146)-1)*1,Master!$D$27:$G$225,4,FALSE)</f>
        <v>Reserves</v>
      </c>
      <c r="C146" s="457"/>
      <c r="D146" s="457"/>
      <c r="E146" s="457"/>
      <c r="F146" s="457"/>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4" t="str">
        <f>+VLOOKUP(LEFT($A147,LEN(A147)-1)*1,Master!$D$27:$G$225,4,FALSE)</f>
        <v>Repayment of Guarantees</v>
      </c>
      <c r="C147" s="475"/>
      <c r="D147" s="475"/>
      <c r="E147" s="475"/>
      <c r="F147" s="475"/>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80" t="str">
        <f>+VLOOKUP(LEFT($A148,LEN(A148)-1)*1,Master!$D$27:$G$225,4,FALSE)</f>
        <v>Surplus / deficit</v>
      </c>
      <c r="C148" s="481"/>
      <c r="D148" s="481"/>
      <c r="E148" s="481"/>
      <c r="F148" s="481"/>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82" t="str">
        <f>+VLOOKUP(LEFT($A149,LEN(A149)-1)*1,Master!$D$27:$G$225,4,FALSE)</f>
        <v>Primary balance</v>
      </c>
      <c r="C149" s="483"/>
      <c r="D149" s="483"/>
      <c r="E149" s="483"/>
      <c r="F149" s="483"/>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84" t="str">
        <f>+VLOOKUP(LEFT($A150,LEN(A150)-1)*1,Master!$D$27:$G$225,4,FALSE)</f>
        <v>Repayment of Debt</v>
      </c>
      <c r="C150" s="485"/>
      <c r="D150" s="485"/>
      <c r="E150" s="485"/>
      <c r="F150" s="485"/>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72" t="str">
        <f>+VLOOKUP(LEFT($A151,LEN(A151)-1)*1,Master!$D$27:$G$225,4,FALSE)</f>
        <v>Repayment of Domestic Debt</v>
      </c>
      <c r="C151" s="473"/>
      <c r="D151" s="473"/>
      <c r="E151" s="473"/>
      <c r="F151" s="473"/>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56" t="str">
        <f>+VLOOKUP(LEFT($A152,LEN(A152)-1)*1,Master!$D$27:$G$225,4,FALSE)</f>
        <v>Repayment of Foreign Debt</v>
      </c>
      <c r="C152" s="457"/>
      <c r="D152" s="457"/>
      <c r="E152" s="457"/>
      <c r="F152" s="457"/>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4" t="str">
        <f>+VLOOKUP(LEFT($A153,LEN(A153)-1)*1,Master!$D$27:$G$225,4,FALSE)</f>
        <v>Repayments of Arrears</v>
      </c>
      <c r="C153" s="475"/>
      <c r="D153" s="475"/>
      <c r="E153" s="475"/>
      <c r="F153" s="475"/>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76" t="str">
        <f>+VLOOKUP(LEFT($A154,LEN(A154)-1)*1,Master!$D$27:$G$225,4,FALSE)</f>
        <v>Financing needs</v>
      </c>
      <c r="C154" s="477"/>
      <c r="D154" s="477"/>
      <c r="E154" s="477"/>
      <c r="F154" s="477"/>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78" t="str">
        <f>+VLOOKUP(LEFT($A155,LEN(A155)-1)*1,Master!$D$27:$G$225,4,FALSE)</f>
        <v>Financing</v>
      </c>
      <c r="C155" s="479"/>
      <c r="D155" s="479"/>
      <c r="E155" s="479"/>
      <c r="F155" s="479"/>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72" t="str">
        <f>+VLOOKUP(LEFT($A156,LEN(A156)-1)*1,Master!$D$27:$G$225,4,FALSE)</f>
        <v>Domestic Loans and Borrowings</v>
      </c>
      <c r="C156" s="473"/>
      <c r="D156" s="473"/>
      <c r="E156" s="473"/>
      <c r="F156" s="473"/>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56" t="str">
        <f>+VLOOKUP(LEFT($A157,LEN(A157)-1)*1,Master!$D$27:$G$225,4,FALSE)</f>
        <v>Foreign Loans and Borrowings</v>
      </c>
      <c r="C157" s="457"/>
      <c r="D157" s="457"/>
      <c r="E157" s="457"/>
      <c r="F157" s="457"/>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56" t="str">
        <f>+VLOOKUP(LEFT($A158,LEN(A158)-1)*1,Master!$D$27:$G$225,4,FALSE)</f>
        <v>Revenues from Selling Assets</v>
      </c>
      <c r="C158" s="457"/>
      <c r="D158" s="457"/>
      <c r="E158" s="457"/>
      <c r="F158" s="457"/>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S102:T102"/>
    <mergeCell ref="B104:F104"/>
    <mergeCell ref="B105:F105"/>
    <mergeCell ref="B106:F106"/>
    <mergeCell ref="B107:F107"/>
    <mergeCell ref="B108:F108"/>
    <mergeCell ref="B61:F61"/>
    <mergeCell ref="B62:F62"/>
    <mergeCell ref="B63:F63"/>
    <mergeCell ref="B64:F64"/>
    <mergeCell ref="B101:F103"/>
    <mergeCell ref="G101:R101"/>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F8" activePane="bottomRight" state="frozen"/>
      <selection pane="topRight" activeCell="F1" sqref="F1"/>
      <selection pane="bottomLeft" activeCell="A8" sqref="A8"/>
      <selection pane="bottomRight" activeCell="FI20" sqref="FI20"/>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7" t="s">
        <v>564</v>
      </c>
      <c r="F6" s="564">
        <v>2006</v>
      </c>
      <c r="G6" s="565"/>
      <c r="H6" s="565"/>
      <c r="I6" s="565"/>
      <c r="J6" s="565"/>
      <c r="K6" s="565"/>
      <c r="L6" s="565"/>
      <c r="M6" s="565"/>
      <c r="N6" s="565"/>
      <c r="O6" s="565"/>
      <c r="P6" s="565"/>
      <c r="Q6" s="566"/>
      <c r="R6" s="564">
        <v>2007</v>
      </c>
      <c r="S6" s="565"/>
      <c r="T6" s="565"/>
      <c r="U6" s="565"/>
      <c r="V6" s="565"/>
      <c r="W6" s="565"/>
      <c r="X6" s="565"/>
      <c r="Y6" s="565"/>
      <c r="Z6" s="565"/>
      <c r="AA6" s="565"/>
      <c r="AB6" s="565"/>
      <c r="AC6" s="566"/>
      <c r="AD6" s="564">
        <v>2008</v>
      </c>
      <c r="AE6" s="565"/>
      <c r="AF6" s="565"/>
      <c r="AG6" s="565"/>
      <c r="AH6" s="565"/>
      <c r="AI6" s="565"/>
      <c r="AJ6" s="565"/>
      <c r="AK6" s="565"/>
      <c r="AL6" s="565"/>
      <c r="AM6" s="565"/>
      <c r="AN6" s="565"/>
      <c r="AO6" s="566"/>
      <c r="AP6" s="564">
        <v>2009</v>
      </c>
      <c r="AQ6" s="565"/>
      <c r="AR6" s="565"/>
      <c r="AS6" s="565"/>
      <c r="AT6" s="565"/>
      <c r="AU6" s="565"/>
      <c r="AV6" s="565"/>
      <c r="AW6" s="565"/>
      <c r="AX6" s="565"/>
      <c r="AY6" s="565"/>
      <c r="AZ6" s="565"/>
      <c r="BA6" s="566"/>
      <c r="BB6" s="564">
        <v>2010</v>
      </c>
      <c r="BC6" s="565"/>
      <c r="BD6" s="565"/>
      <c r="BE6" s="565"/>
      <c r="BF6" s="565"/>
      <c r="BG6" s="565"/>
      <c r="BH6" s="565"/>
      <c r="BI6" s="565"/>
      <c r="BJ6" s="565"/>
      <c r="BK6" s="565"/>
      <c r="BL6" s="565"/>
      <c r="BM6" s="566"/>
      <c r="BN6" s="564">
        <v>2011</v>
      </c>
      <c r="BO6" s="565"/>
      <c r="BP6" s="565"/>
      <c r="BQ6" s="565"/>
      <c r="BR6" s="565"/>
      <c r="BS6" s="565"/>
      <c r="BT6" s="565"/>
      <c r="BU6" s="565"/>
      <c r="BV6" s="565"/>
      <c r="BW6" s="565"/>
      <c r="BX6" s="565"/>
      <c r="BY6" s="566"/>
      <c r="BZ6" s="565">
        <v>2012</v>
      </c>
      <c r="CA6" s="565"/>
      <c r="CB6" s="565"/>
      <c r="CC6" s="565"/>
      <c r="CD6" s="565"/>
      <c r="CE6" s="565"/>
      <c r="CF6" s="565"/>
      <c r="CG6" s="565"/>
      <c r="CH6" s="565"/>
      <c r="CI6" s="565"/>
      <c r="CJ6" s="565"/>
      <c r="CK6" s="565"/>
      <c r="CL6" s="564">
        <v>2013</v>
      </c>
      <c r="CM6" s="565"/>
      <c r="CN6" s="565"/>
      <c r="CO6" s="565"/>
      <c r="CP6" s="565"/>
      <c r="CQ6" s="565"/>
      <c r="CR6" s="565"/>
      <c r="CS6" s="565"/>
      <c r="CT6" s="565"/>
      <c r="CU6" s="565"/>
      <c r="CV6" s="565"/>
      <c r="CW6" s="566"/>
      <c r="CX6" s="564">
        <v>2014</v>
      </c>
      <c r="CY6" s="565"/>
      <c r="CZ6" s="565"/>
      <c r="DA6" s="565"/>
      <c r="DB6" s="565"/>
      <c r="DC6" s="565"/>
      <c r="DD6" s="565"/>
      <c r="DE6" s="565"/>
      <c r="DF6" s="565"/>
      <c r="DG6" s="565"/>
      <c r="DH6" s="565"/>
      <c r="DI6" s="566"/>
      <c r="DJ6" s="564">
        <v>2015</v>
      </c>
      <c r="DK6" s="565"/>
      <c r="DL6" s="565"/>
      <c r="DM6" s="565"/>
      <c r="DN6" s="565"/>
      <c r="DO6" s="565"/>
      <c r="DP6" s="565"/>
      <c r="DQ6" s="565"/>
      <c r="DR6" s="565"/>
      <c r="DS6" s="565"/>
      <c r="DT6" s="565"/>
      <c r="DU6" s="566"/>
    </row>
    <row r="7" spans="1:321">
      <c r="E7" s="567"/>
      <c r="F7" s="75" t="s">
        <v>429</v>
      </c>
      <c r="G7" s="76" t="s">
        <v>430</v>
      </c>
      <c r="H7" s="76" t="s">
        <v>431</v>
      </c>
      <c r="I7" s="76" t="s">
        <v>432</v>
      </c>
      <c r="J7" s="76" t="s">
        <v>433</v>
      </c>
      <c r="K7" s="76" t="s">
        <v>434</v>
      </c>
      <c r="L7" s="76" t="s">
        <v>435</v>
      </c>
      <c r="M7" s="76" t="s">
        <v>436</v>
      </c>
      <c r="N7" s="76" t="s">
        <v>437</v>
      </c>
      <c r="O7" s="76" t="s">
        <v>438</v>
      </c>
      <c r="P7" s="76" t="s">
        <v>439</v>
      </c>
      <c r="Q7" s="77" t="s">
        <v>440</v>
      </c>
      <c r="R7" s="75" t="s">
        <v>441</v>
      </c>
      <c r="S7" s="76" t="s">
        <v>442</v>
      </c>
      <c r="T7" s="76" t="s">
        <v>443</v>
      </c>
      <c r="U7" s="76" t="s">
        <v>444</v>
      </c>
      <c r="V7" s="76" t="s">
        <v>445</v>
      </c>
      <c r="W7" s="76" t="s">
        <v>446</v>
      </c>
      <c r="X7" s="76" t="s">
        <v>447</v>
      </c>
      <c r="Y7" s="76" t="s">
        <v>448</v>
      </c>
      <c r="Z7" s="76" t="s">
        <v>449</v>
      </c>
      <c r="AA7" s="76" t="s">
        <v>450</v>
      </c>
      <c r="AB7" s="76" t="s">
        <v>451</v>
      </c>
      <c r="AC7" s="77" t="s">
        <v>452</v>
      </c>
      <c r="AD7" s="75" t="s">
        <v>454</v>
      </c>
      <c r="AE7" s="76" t="s">
        <v>455</v>
      </c>
      <c r="AF7" s="76" t="s">
        <v>456</v>
      </c>
      <c r="AG7" s="76" t="s">
        <v>457</v>
      </c>
      <c r="AH7" s="76" t="s">
        <v>458</v>
      </c>
      <c r="AI7" s="76" t="s">
        <v>459</v>
      </c>
      <c r="AJ7" s="76" t="s">
        <v>460</v>
      </c>
      <c r="AK7" s="76" t="s">
        <v>461</v>
      </c>
      <c r="AL7" s="76" t="s">
        <v>462</v>
      </c>
      <c r="AM7" s="76" t="s">
        <v>463</v>
      </c>
      <c r="AN7" s="76" t="s">
        <v>464</v>
      </c>
      <c r="AO7" s="77" t="s">
        <v>453</v>
      </c>
      <c r="AP7" s="75" t="s">
        <v>465</v>
      </c>
      <c r="AQ7" s="76" t="s">
        <v>466</v>
      </c>
      <c r="AR7" s="76" t="s">
        <v>467</v>
      </c>
      <c r="AS7" s="76" t="s">
        <v>468</v>
      </c>
      <c r="AT7" s="76" t="s">
        <v>469</v>
      </c>
      <c r="AU7" s="76" t="s">
        <v>470</v>
      </c>
      <c r="AV7" s="76" t="s">
        <v>471</v>
      </c>
      <c r="AW7" s="76" t="s">
        <v>472</v>
      </c>
      <c r="AX7" s="76" t="s">
        <v>473</v>
      </c>
      <c r="AY7" s="76" t="s">
        <v>474</v>
      </c>
      <c r="AZ7" s="76" t="s">
        <v>475</v>
      </c>
      <c r="BA7" s="77" t="s">
        <v>476</v>
      </c>
      <c r="BB7" s="75" t="s">
        <v>477</v>
      </c>
      <c r="BC7" s="76" t="s">
        <v>478</v>
      </c>
      <c r="BD7" s="76" t="s">
        <v>479</v>
      </c>
      <c r="BE7" s="76" t="s">
        <v>480</v>
      </c>
      <c r="BF7" s="76" t="s">
        <v>481</v>
      </c>
      <c r="BG7" s="76" t="s">
        <v>482</v>
      </c>
      <c r="BH7" s="76" t="s">
        <v>483</v>
      </c>
      <c r="BI7" s="76" t="s">
        <v>484</v>
      </c>
      <c r="BJ7" s="76" t="s">
        <v>485</v>
      </c>
      <c r="BK7" s="76" t="s">
        <v>486</v>
      </c>
      <c r="BL7" s="76" t="s">
        <v>487</v>
      </c>
      <c r="BM7" s="77" t="s">
        <v>488</v>
      </c>
      <c r="BN7" s="75" t="s">
        <v>489</v>
      </c>
      <c r="BO7" s="76" t="s">
        <v>490</v>
      </c>
      <c r="BP7" s="76" t="s">
        <v>491</v>
      </c>
      <c r="BQ7" s="76" t="s">
        <v>492</v>
      </c>
      <c r="BR7" s="76" t="s">
        <v>493</v>
      </c>
      <c r="BS7" s="76" t="s">
        <v>494</v>
      </c>
      <c r="BT7" s="76" t="s">
        <v>495</v>
      </c>
      <c r="BU7" s="76" t="s">
        <v>496</v>
      </c>
      <c r="BV7" s="76" t="s">
        <v>497</v>
      </c>
      <c r="BW7" s="76" t="s">
        <v>498</v>
      </c>
      <c r="BX7" s="76" t="s">
        <v>499</v>
      </c>
      <c r="BY7" s="77" t="s">
        <v>500</v>
      </c>
      <c r="BZ7" s="76" t="s">
        <v>501</v>
      </c>
      <c r="CA7" s="76" t="s">
        <v>502</v>
      </c>
      <c r="CB7" s="76" t="s">
        <v>503</v>
      </c>
      <c r="CC7" s="76" t="s">
        <v>504</v>
      </c>
      <c r="CD7" s="76" t="s">
        <v>505</v>
      </c>
      <c r="CE7" s="76" t="s">
        <v>506</v>
      </c>
      <c r="CF7" s="76" t="s">
        <v>507</v>
      </c>
      <c r="CG7" s="76" t="s">
        <v>508</v>
      </c>
      <c r="CH7" s="76" t="s">
        <v>509</v>
      </c>
      <c r="CI7" s="76" t="s">
        <v>510</v>
      </c>
      <c r="CJ7" s="76" t="s">
        <v>511</v>
      </c>
      <c r="CK7" s="76" t="s">
        <v>512</v>
      </c>
      <c r="CL7" s="75" t="s">
        <v>513</v>
      </c>
      <c r="CM7" s="76" t="s">
        <v>514</v>
      </c>
      <c r="CN7" s="76" t="s">
        <v>515</v>
      </c>
      <c r="CO7" s="76" t="s">
        <v>516</v>
      </c>
      <c r="CP7" s="76" t="s">
        <v>517</v>
      </c>
      <c r="CQ7" s="76" t="s">
        <v>518</v>
      </c>
      <c r="CR7" s="76" t="s">
        <v>519</v>
      </c>
      <c r="CS7" s="76" t="s">
        <v>520</v>
      </c>
      <c r="CT7" s="76" t="s">
        <v>521</v>
      </c>
      <c r="CU7" s="76" t="s">
        <v>522</v>
      </c>
      <c r="CV7" s="76" t="s">
        <v>523</v>
      </c>
      <c r="CW7" s="77" t="s">
        <v>524</v>
      </c>
      <c r="CX7" s="75" t="s">
        <v>525</v>
      </c>
      <c r="CY7" s="76" t="s">
        <v>526</v>
      </c>
      <c r="CZ7" s="76" t="s">
        <v>527</v>
      </c>
      <c r="DA7" s="76" t="s">
        <v>528</v>
      </c>
      <c r="DB7" s="76" t="s">
        <v>529</v>
      </c>
      <c r="DC7" s="76" t="s">
        <v>530</v>
      </c>
      <c r="DD7" s="76" t="s">
        <v>531</v>
      </c>
      <c r="DE7" s="76" t="s">
        <v>532</v>
      </c>
      <c r="DF7" s="76" t="s">
        <v>533</v>
      </c>
      <c r="DG7" s="76" t="s">
        <v>534</v>
      </c>
      <c r="DH7" s="76" t="s">
        <v>535</v>
      </c>
      <c r="DI7" s="77" t="s">
        <v>536</v>
      </c>
      <c r="DJ7" s="75" t="s">
        <v>537</v>
      </c>
      <c r="DK7" s="76" t="s">
        <v>538</v>
      </c>
      <c r="DL7" s="76" t="s">
        <v>539</v>
      </c>
      <c r="DM7" s="76" t="s">
        <v>540</v>
      </c>
      <c r="DN7" s="76" t="s">
        <v>541</v>
      </c>
      <c r="DO7" s="76" t="s">
        <v>542</v>
      </c>
      <c r="DP7" s="76" t="s">
        <v>543</v>
      </c>
      <c r="DQ7" s="76" t="s">
        <v>544</v>
      </c>
      <c r="DR7" s="76" t="s">
        <v>545</v>
      </c>
      <c r="DS7" s="76" t="s">
        <v>546</v>
      </c>
      <c r="DT7" s="76" t="s">
        <v>547</v>
      </c>
      <c r="DU7" s="77" t="s">
        <v>548</v>
      </c>
      <c r="DV7" s="42" t="s">
        <v>703</v>
      </c>
      <c r="DW7" s="42" t="s">
        <v>704</v>
      </c>
      <c r="DX7" s="42" t="s">
        <v>705</v>
      </c>
      <c r="DY7" s="42" t="s">
        <v>706</v>
      </c>
      <c r="DZ7" s="42" t="s">
        <v>707</v>
      </c>
      <c r="EA7" s="42" t="s">
        <v>708</v>
      </c>
      <c r="EB7" s="42" t="s">
        <v>709</v>
      </c>
      <c r="EC7" s="42" t="s">
        <v>710</v>
      </c>
      <c r="ED7" s="42" t="s">
        <v>711</v>
      </c>
      <c r="EE7" s="42" t="s">
        <v>712</v>
      </c>
      <c r="EF7" s="42" t="s">
        <v>713</v>
      </c>
      <c r="EG7" s="42" t="s">
        <v>714</v>
      </c>
      <c r="EH7" s="42" t="s">
        <v>737</v>
      </c>
      <c r="EI7" s="42" t="s">
        <v>738</v>
      </c>
      <c r="EJ7" s="42" t="s">
        <v>739</v>
      </c>
      <c r="EK7" s="42" t="s">
        <v>740</v>
      </c>
      <c r="EL7" s="42" t="s">
        <v>741</v>
      </c>
      <c r="EM7" s="42" t="s">
        <v>742</v>
      </c>
      <c r="EN7" s="42" t="s">
        <v>743</v>
      </c>
      <c r="EO7" s="42" t="s">
        <v>744</v>
      </c>
      <c r="EP7" s="42" t="s">
        <v>745</v>
      </c>
      <c r="EQ7" s="42" t="s">
        <v>746</v>
      </c>
      <c r="ER7" s="42" t="s">
        <v>747</v>
      </c>
      <c r="ES7" s="42" t="s">
        <v>748</v>
      </c>
      <c r="ET7" s="393" t="s">
        <v>755</v>
      </c>
      <c r="EU7" s="393" t="s">
        <v>756</v>
      </c>
      <c r="EV7" s="393" t="s">
        <v>757</v>
      </c>
      <c r="EW7" s="393" t="s">
        <v>758</v>
      </c>
      <c r="EX7" s="393" t="s">
        <v>759</v>
      </c>
      <c r="EY7" s="393" t="s">
        <v>760</v>
      </c>
      <c r="EZ7" s="393" t="s">
        <v>761</v>
      </c>
      <c r="FA7" s="393" t="s">
        <v>762</v>
      </c>
      <c r="FB7" s="393" t="s">
        <v>763</v>
      </c>
      <c r="FC7" s="393" t="s">
        <v>764</v>
      </c>
      <c r="FD7" s="393" t="s">
        <v>765</v>
      </c>
      <c r="FE7" s="393" t="s">
        <v>766</v>
      </c>
      <c r="FF7" s="393" t="s">
        <v>778</v>
      </c>
      <c r="FG7" s="393" t="s">
        <v>779</v>
      </c>
      <c r="FH7" s="393" t="s">
        <v>780</v>
      </c>
      <c r="FI7" s="393" t="s">
        <v>781</v>
      </c>
      <c r="FJ7" s="393" t="s">
        <v>782</v>
      </c>
      <c r="FK7" s="393" t="s">
        <v>783</v>
      </c>
      <c r="FL7" s="393" t="s">
        <v>784</v>
      </c>
      <c r="FM7" s="393" t="s">
        <v>785</v>
      </c>
      <c r="FN7" s="393" t="s">
        <v>786</v>
      </c>
      <c r="FO7" s="393" t="s">
        <v>787</v>
      </c>
      <c r="FP7" s="393" t="s">
        <v>788</v>
      </c>
      <c r="FQ7" s="393" t="s">
        <v>789</v>
      </c>
    </row>
    <row r="8" spans="1:321">
      <c r="A8" s="74">
        <v>7</v>
      </c>
      <c r="B8" s="74" t="s">
        <v>94</v>
      </c>
      <c r="D8" s="74">
        <v>7</v>
      </c>
      <c r="E8" s="78" t="s">
        <v>19</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21</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23</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v>106791818.52</v>
      </c>
      <c r="FJ10" s="378">
        <v>94372185.030000001</v>
      </c>
      <c r="FK10" s="378">
        <v>89389439.689999998</v>
      </c>
      <c r="FL10" s="452">
        <v>115363471.45</v>
      </c>
      <c r="FM10" s="378">
        <v>118817091.44</v>
      </c>
      <c r="FN10" s="378">
        <v>114500270.97</v>
      </c>
      <c r="FO10" s="378">
        <v>101600991.11</v>
      </c>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25</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v>10767101.800000001</v>
      </c>
      <c r="FJ11" s="376">
        <v>10210712.41</v>
      </c>
      <c r="FK11" s="376">
        <v>10125793.029999999</v>
      </c>
      <c r="FL11" s="451">
        <v>10986746.67</v>
      </c>
      <c r="FM11" s="376">
        <v>10477204.85</v>
      </c>
      <c r="FN11" s="376">
        <v>10332018.109999999</v>
      </c>
      <c r="FO11" s="376">
        <v>10824900.91</v>
      </c>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27</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v>20408432.98</v>
      </c>
      <c r="FJ12" s="376">
        <v>4781744.7</v>
      </c>
      <c r="FK12" s="376">
        <v>3678815</v>
      </c>
      <c r="FL12" s="451">
        <v>3890710.55</v>
      </c>
      <c r="FM12" s="376">
        <v>3092994.24</v>
      </c>
      <c r="FN12" s="376">
        <v>2242778.35</v>
      </c>
      <c r="FO12" s="376">
        <v>690017.25</v>
      </c>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29</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v>204359.36</v>
      </c>
      <c r="FJ13" s="376">
        <v>147510.5</v>
      </c>
      <c r="FK13" s="376">
        <v>158253.64000000001</v>
      </c>
      <c r="FL13" s="451">
        <v>152687.82</v>
      </c>
      <c r="FM13" s="376">
        <v>172408.19</v>
      </c>
      <c r="FN13" s="376">
        <v>131658.57</v>
      </c>
      <c r="FO13" s="376">
        <v>174049.01</v>
      </c>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31</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v>55142838.460000001</v>
      </c>
      <c r="FJ14" s="376">
        <v>56428341.859999999</v>
      </c>
      <c r="FK14" s="376">
        <v>52810087.229999997</v>
      </c>
      <c r="FL14" s="451">
        <v>71626480.939999998</v>
      </c>
      <c r="FM14" s="376">
        <v>71690318.180000007</v>
      </c>
      <c r="FN14" s="376">
        <v>70816309.909999996</v>
      </c>
      <c r="FO14" s="376">
        <v>65908952.759999998</v>
      </c>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33</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v>16826313.73</v>
      </c>
      <c r="FJ15" s="376">
        <v>19442485.359999999</v>
      </c>
      <c r="FK15" s="376">
        <v>19205497.870000001</v>
      </c>
      <c r="FL15" s="451">
        <v>24612824.059999999</v>
      </c>
      <c r="FM15" s="376">
        <v>29562766.32</v>
      </c>
      <c r="FN15" s="376">
        <v>27417042.280000001</v>
      </c>
      <c r="FO15" s="376">
        <v>20585777.449999999</v>
      </c>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35</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v>2531899.16</v>
      </c>
      <c r="FJ16" s="376">
        <v>2502520.2799999998</v>
      </c>
      <c r="FK16" s="376">
        <v>2485583.9700000002</v>
      </c>
      <c r="FL16" s="451">
        <v>3088089.4</v>
      </c>
      <c r="FM16" s="376">
        <v>2788700.72</v>
      </c>
      <c r="FN16" s="376">
        <v>2553125.85</v>
      </c>
      <c r="FO16" s="376">
        <v>2492699.6800000002</v>
      </c>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37</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v>910873.03</v>
      </c>
      <c r="FJ17" s="376">
        <v>858869.92</v>
      </c>
      <c r="FK17" s="376">
        <v>925408.95</v>
      </c>
      <c r="FL17" s="451">
        <v>1005932.01</v>
      </c>
      <c r="FM17" s="376">
        <v>1032698.94</v>
      </c>
      <c r="FN17" s="376">
        <v>1007337.9</v>
      </c>
      <c r="FO17" s="376">
        <v>924594.05</v>
      </c>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39</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41912269.38000001</v>
      </c>
      <c r="FH18" s="378">
        <v>41047599.18</v>
      </c>
      <c r="FI18" s="378">
        <v>50290988.940000005</v>
      </c>
      <c r="FJ18" s="378">
        <v>37496285.130000003</v>
      </c>
      <c r="FK18" s="378">
        <v>45280786.510000005</v>
      </c>
      <c r="FL18" s="452">
        <v>48662139.43999999</v>
      </c>
      <c r="FM18" s="378">
        <v>45770745.839999996</v>
      </c>
      <c r="FN18" s="378">
        <v>43611346.450000003</v>
      </c>
      <c r="FO18" s="378">
        <v>46487647.670000002</v>
      </c>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41</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v>29650595.870000001</v>
      </c>
      <c r="FJ19" s="376">
        <v>22104934.850000001</v>
      </c>
      <c r="FK19" s="376">
        <v>27009559.609999999</v>
      </c>
      <c r="FL19" s="451">
        <v>28964205.43</v>
      </c>
      <c r="FM19" s="376">
        <v>27519220.43</v>
      </c>
      <c r="FN19" s="376">
        <v>26730921.559999999</v>
      </c>
      <c r="FO19" s="376">
        <v>28563512.620000001</v>
      </c>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43</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v>17925167.550000001</v>
      </c>
      <c r="FJ20" s="376">
        <v>13458982.5</v>
      </c>
      <c r="FK20" s="376">
        <v>15925774.34</v>
      </c>
      <c r="FL20" s="451">
        <v>17203285.449999999</v>
      </c>
      <c r="FM20" s="376">
        <v>15860674.26</v>
      </c>
      <c r="FN20" s="376">
        <v>14501660.91</v>
      </c>
      <c r="FO20" s="376">
        <v>15344312.359999999</v>
      </c>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45</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v>1375720.59</v>
      </c>
      <c r="FJ21" s="376">
        <v>1026106.03</v>
      </c>
      <c r="FK21" s="376">
        <v>1222753.49</v>
      </c>
      <c r="FL21" s="451">
        <v>1316999.83</v>
      </c>
      <c r="FM21" s="376">
        <v>1256512.28</v>
      </c>
      <c r="FN21" s="376">
        <v>1242677.57</v>
      </c>
      <c r="FO21" s="376">
        <v>1311319.78</v>
      </c>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47</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v>1339504.93</v>
      </c>
      <c r="FJ22" s="376">
        <v>906261.75</v>
      </c>
      <c r="FK22" s="376">
        <v>1122699.07</v>
      </c>
      <c r="FL22" s="451">
        <v>1177648.73</v>
      </c>
      <c r="FM22" s="376">
        <v>1134338.8700000001</v>
      </c>
      <c r="FN22" s="376">
        <v>1136086.4099999999</v>
      </c>
      <c r="FO22" s="376">
        <v>1268502.9099999999</v>
      </c>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49</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814937.81</v>
      </c>
      <c r="EU23" s="378">
        <v>993423.94</v>
      </c>
      <c r="EV23" s="378">
        <v>1111103.6599999999</v>
      </c>
      <c r="EW23" s="378">
        <v>1198538.77</v>
      </c>
      <c r="EX23" s="378">
        <v>1382138.78</v>
      </c>
      <c r="EY23" s="378">
        <v>1616613.01</v>
      </c>
      <c r="EZ23" s="378">
        <v>2005608.26</v>
      </c>
      <c r="FA23" s="378">
        <v>1882210.04</v>
      </c>
      <c r="FB23" s="378">
        <v>1545122.56</v>
      </c>
      <c r="FC23" s="378">
        <v>1572482.29</v>
      </c>
      <c r="FD23" s="378">
        <v>1331866.75</v>
      </c>
      <c r="FE23" s="378">
        <v>1446961.78</v>
      </c>
      <c r="FF23" s="378">
        <v>851162.27</v>
      </c>
      <c r="FG23" s="378">
        <v>1041125.3899999999</v>
      </c>
      <c r="FH23" s="378">
        <v>1066481.8799999999</v>
      </c>
      <c r="FI23" s="378">
        <v>1290371.49</v>
      </c>
      <c r="FJ23" s="378">
        <v>1208813.17</v>
      </c>
      <c r="FK23" s="378">
        <v>1252534.6599999999</v>
      </c>
      <c r="FL23" s="452">
        <v>1880947.5899999999</v>
      </c>
      <c r="FM23" s="378">
        <v>1630940.38</v>
      </c>
      <c r="FN23" s="378">
        <v>1570845.07</v>
      </c>
      <c r="FO23" s="378">
        <v>1334131.8600000001</v>
      </c>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51</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601434.28</v>
      </c>
      <c r="EU24" s="376">
        <v>691468.91</v>
      </c>
      <c r="EV24" s="376">
        <v>825217.16</v>
      </c>
      <c r="EW24" s="376">
        <v>905119.47</v>
      </c>
      <c r="EX24" s="376">
        <v>1028480.47</v>
      </c>
      <c r="EY24" s="376">
        <v>1159205.33</v>
      </c>
      <c r="EZ24" s="376">
        <v>1239204.8400000001</v>
      </c>
      <c r="FA24" s="376">
        <v>1077861.3</v>
      </c>
      <c r="FB24" s="376">
        <v>936074.99</v>
      </c>
      <c r="FC24" s="376">
        <v>1054918.45</v>
      </c>
      <c r="FD24" s="376">
        <v>888912.28</v>
      </c>
      <c r="FE24" s="376">
        <v>977871.81</v>
      </c>
      <c r="FF24" s="376">
        <v>649124.48</v>
      </c>
      <c r="FG24" s="376">
        <v>818776.7</v>
      </c>
      <c r="FH24" s="376">
        <v>802029.06</v>
      </c>
      <c r="FI24" s="376">
        <v>949723.87</v>
      </c>
      <c r="FJ24" s="376">
        <v>855493.95</v>
      </c>
      <c r="FK24" s="376">
        <v>789796.19</v>
      </c>
      <c r="FL24" s="451">
        <v>1036831.79</v>
      </c>
      <c r="FM24" s="376">
        <v>732732.78</v>
      </c>
      <c r="FN24" s="376">
        <v>909857.41</v>
      </c>
      <c r="FO24" s="376">
        <v>827961.15</v>
      </c>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53</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v>128950.69</v>
      </c>
      <c r="FJ25" s="376">
        <v>89857.44</v>
      </c>
      <c r="FK25" s="376">
        <v>90814.91</v>
      </c>
      <c r="FL25" s="451">
        <v>102054.51</v>
      </c>
      <c r="FM25" s="376">
        <v>79880.09</v>
      </c>
      <c r="FN25" s="376">
        <v>81168.460000000006</v>
      </c>
      <c r="FO25" s="376">
        <v>104547.82</v>
      </c>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55</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v>55742.67</v>
      </c>
      <c r="FJ26" s="376">
        <v>91165.22</v>
      </c>
      <c r="FK26" s="376">
        <v>178796.84</v>
      </c>
      <c r="FL26" s="451">
        <v>429493.67</v>
      </c>
      <c r="FM26" s="376">
        <v>521117.38</v>
      </c>
      <c r="FN26" s="376">
        <v>298489.8</v>
      </c>
      <c r="FO26" s="376">
        <v>140326.67000000001</v>
      </c>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61</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v>155954.26</v>
      </c>
      <c r="FJ27" s="376">
        <v>172296.56</v>
      </c>
      <c r="FK27" s="376">
        <v>193126.72</v>
      </c>
      <c r="FL27" s="451">
        <v>312567.62</v>
      </c>
      <c r="FM27" s="376">
        <v>297210.13</v>
      </c>
      <c r="FN27" s="376">
        <v>281329.40000000002</v>
      </c>
      <c r="FO27" s="376">
        <v>261296.22</v>
      </c>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63</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v>3310133.38</v>
      </c>
      <c r="FJ28" s="378">
        <v>1792591.2</v>
      </c>
      <c r="FK28" s="378">
        <v>2081141.31</v>
      </c>
      <c r="FL28" s="452">
        <v>2697450.35</v>
      </c>
      <c r="FM28" s="378">
        <v>1985377.1099999999</v>
      </c>
      <c r="FN28" s="378">
        <v>2352827.11</v>
      </c>
      <c r="FO28" s="378">
        <v>2477150.35</v>
      </c>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65</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v>41798.769999999997</v>
      </c>
      <c r="FJ29" s="376">
        <v>88788.45</v>
      </c>
      <c r="FK29" s="376">
        <v>110473.68</v>
      </c>
      <c r="FL29" s="451">
        <v>103362.04</v>
      </c>
      <c r="FM29" s="376">
        <v>105693.82</v>
      </c>
      <c r="FN29" s="376">
        <v>106555.2</v>
      </c>
      <c r="FO29" s="376">
        <v>95661.45</v>
      </c>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67</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v>315889.09000000003</v>
      </c>
      <c r="FJ30" s="376">
        <v>290980.86</v>
      </c>
      <c r="FK30" s="376">
        <v>135939.44</v>
      </c>
      <c r="FL30" s="451">
        <v>445502.71999999997</v>
      </c>
      <c r="FM30" s="376">
        <v>356375.46</v>
      </c>
      <c r="FN30" s="376">
        <v>240201.78</v>
      </c>
      <c r="FO30" s="376">
        <v>184381.28</v>
      </c>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69</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v>41064.94</v>
      </c>
      <c r="FJ31" s="376">
        <v>48239.28</v>
      </c>
      <c r="FK31" s="376">
        <v>41465.49</v>
      </c>
      <c r="FL31" s="451">
        <v>41127.160000000003</v>
      </c>
      <c r="FM31" s="376">
        <v>9621.83</v>
      </c>
      <c r="FN31" s="376">
        <v>1598.75</v>
      </c>
      <c r="FO31" s="376">
        <v>362.18</v>
      </c>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71</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767</v>
      </c>
      <c r="EN32" s="376" t="s">
        <v>768</v>
      </c>
      <c r="EO32" s="376">
        <v>608693.02</v>
      </c>
      <c r="EP32" s="376" t="s">
        <v>769</v>
      </c>
      <c r="EQ32" s="376">
        <v>179273.43</v>
      </c>
      <c r="ER32" s="376" t="s">
        <v>770</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v>1775211.97</v>
      </c>
      <c r="FJ32" s="376">
        <v>687337.58</v>
      </c>
      <c r="FK32" s="376">
        <v>695892.2</v>
      </c>
      <c r="FL32" s="451">
        <v>651540.54</v>
      </c>
      <c r="FM32" s="376">
        <v>767953.92000000004</v>
      </c>
      <c r="FN32" s="376">
        <v>784081.67</v>
      </c>
      <c r="FO32" s="376">
        <v>724299.03</v>
      </c>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79</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v>248172.78</v>
      </c>
      <c r="FJ33" s="376">
        <v>300826.94</v>
      </c>
      <c r="FK33" s="376">
        <v>367688.93</v>
      </c>
      <c r="FL33" s="451">
        <v>484007.96</v>
      </c>
      <c r="FM33" s="376">
        <v>406400.37</v>
      </c>
      <c r="FN33" s="376">
        <v>311246.46000000002</v>
      </c>
      <c r="FO33" s="376">
        <v>295444.59000000003</v>
      </c>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81</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v>887995.83</v>
      </c>
      <c r="FJ34" s="376">
        <v>376418.09</v>
      </c>
      <c r="FK34" s="376">
        <v>729681.57</v>
      </c>
      <c r="FL34" s="451">
        <v>971909.93</v>
      </c>
      <c r="FM34" s="376">
        <v>339331.71</v>
      </c>
      <c r="FN34" s="376">
        <v>909143.25</v>
      </c>
      <c r="FO34" s="376">
        <v>1177001.82</v>
      </c>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83</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2425522.83</v>
      </c>
      <c r="EU35" s="378">
        <v>1609741.15</v>
      </c>
      <c r="EV35" s="378">
        <v>1991465.56</v>
      </c>
      <c r="EW35" s="378">
        <v>5482661.4299999997</v>
      </c>
      <c r="EX35" s="378">
        <v>2151496.35</v>
      </c>
      <c r="EY35" s="378">
        <v>2746748.26</v>
      </c>
      <c r="EZ35" s="378">
        <v>3904620.91</v>
      </c>
      <c r="FA35" s="378">
        <v>3453591.6</v>
      </c>
      <c r="FB35" s="378">
        <v>37485104.390000001</v>
      </c>
      <c r="FC35" s="378">
        <v>2268381.7599999998</v>
      </c>
      <c r="FD35" s="378">
        <v>3459602.91</v>
      </c>
      <c r="FE35" s="378">
        <v>4336127.47</v>
      </c>
      <c r="FF35" s="378">
        <v>1567147.41</v>
      </c>
      <c r="FG35" s="378">
        <v>2199531.1</v>
      </c>
      <c r="FH35" s="378">
        <v>3193816.55</v>
      </c>
      <c r="FI35" s="378">
        <v>2385570.52</v>
      </c>
      <c r="FJ35" s="378">
        <v>7159071.0099999998</v>
      </c>
      <c r="FK35" s="378">
        <v>3262994.81</v>
      </c>
      <c r="FL35" s="452">
        <v>3734626.12</v>
      </c>
      <c r="FM35" s="378">
        <v>2985463.57</v>
      </c>
      <c r="FN35" s="378">
        <v>2214023.2000000002</v>
      </c>
      <c r="FO35" s="378">
        <v>2505030.61</v>
      </c>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85</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757684.72</v>
      </c>
      <c r="EU36" s="376">
        <v>26758.59</v>
      </c>
      <c r="EV36" s="376">
        <v>160586.28</v>
      </c>
      <c r="EW36" s="376">
        <v>1943319.77</v>
      </c>
      <c r="EX36" s="376">
        <v>60037.3</v>
      </c>
      <c r="EY36" s="376">
        <v>94564.97</v>
      </c>
      <c r="EZ36" s="376">
        <v>72666.91</v>
      </c>
      <c r="FA36" s="376">
        <v>22307.84</v>
      </c>
      <c r="FB36" s="376">
        <v>35391064.439999998</v>
      </c>
      <c r="FC36" s="376">
        <v>30989.7</v>
      </c>
      <c r="FD36" s="376">
        <v>86764.65</v>
      </c>
      <c r="FE36" s="376">
        <v>1102077.96</v>
      </c>
      <c r="FF36" s="376">
        <v>318933.37</v>
      </c>
      <c r="FG36" s="376">
        <v>248883.21</v>
      </c>
      <c r="FH36" s="376">
        <v>186635.82</v>
      </c>
      <c r="FI36" s="376">
        <v>63899.67</v>
      </c>
      <c r="FJ36" s="376">
        <v>3605088.43</v>
      </c>
      <c r="FK36" s="376">
        <v>707894.38</v>
      </c>
      <c r="FL36" s="451">
        <v>165216.39000000001</v>
      </c>
      <c r="FM36" s="376">
        <v>38122.49</v>
      </c>
      <c r="FN36" s="376">
        <v>46093.9</v>
      </c>
      <c r="FO36" s="376">
        <v>83988.479999999996</v>
      </c>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87</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v>1018399.18</v>
      </c>
      <c r="FJ37" s="376">
        <v>1673986.28</v>
      </c>
      <c r="FK37" s="376">
        <v>1387978.01</v>
      </c>
      <c r="FL37" s="451">
        <v>2403586.64</v>
      </c>
      <c r="FM37" s="376">
        <v>2009408.55</v>
      </c>
      <c r="FN37" s="376">
        <v>1160909.3999999999</v>
      </c>
      <c r="FO37" s="376">
        <v>1196227.28</v>
      </c>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89</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v>328409.52</v>
      </c>
      <c r="FI38" s="376">
        <v>261152.7</v>
      </c>
      <c r="FJ38" s="376">
        <v>230706.4</v>
      </c>
      <c r="FK38" s="376">
        <v>289255.07</v>
      </c>
      <c r="FL38" s="451">
        <v>304530.33</v>
      </c>
      <c r="FM38" s="376">
        <v>221644.03</v>
      </c>
      <c r="FN38" s="376">
        <v>260012.44</v>
      </c>
      <c r="FO38" s="376">
        <v>232812.52</v>
      </c>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83</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558411.74</v>
      </c>
      <c r="EV39" s="376">
        <v>749928.42</v>
      </c>
      <c r="EW39" s="376">
        <v>2271661.5699999998</v>
      </c>
      <c r="EX39" s="376">
        <v>900419.31</v>
      </c>
      <c r="EY39" s="376">
        <v>1088276.75</v>
      </c>
      <c r="EZ39" s="376">
        <v>1530666.31</v>
      </c>
      <c r="FA39" s="376">
        <v>1467816.13</v>
      </c>
      <c r="FB39" s="376">
        <v>794121.75</v>
      </c>
      <c r="FC39" s="376">
        <v>868166.07</v>
      </c>
      <c r="FD39" s="376">
        <v>2243697.88</v>
      </c>
      <c r="FE39" s="376">
        <v>1876381.38</v>
      </c>
      <c r="FF39" s="376">
        <v>474394.59</v>
      </c>
      <c r="FG39" s="376">
        <v>759602.89</v>
      </c>
      <c r="FH39" s="376">
        <v>1649538.05</v>
      </c>
      <c r="FI39" s="376">
        <v>1042118.97</v>
      </c>
      <c r="FJ39" s="376">
        <v>1649289.9</v>
      </c>
      <c r="FK39" s="376">
        <v>877867.35</v>
      </c>
      <c r="FL39" s="451">
        <v>861292.76</v>
      </c>
      <c r="FM39" s="376">
        <v>716288.5</v>
      </c>
      <c r="FN39" s="376">
        <v>747007.46</v>
      </c>
      <c r="FO39" s="376">
        <v>992002.33</v>
      </c>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94</v>
      </c>
      <c r="D40" s="139">
        <v>72</v>
      </c>
      <c r="E40" s="140" t="s">
        <v>95</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v>169636.46</v>
      </c>
      <c r="FJ40" s="378">
        <v>223780.48000000001</v>
      </c>
      <c r="FK40" s="378">
        <v>722176.42</v>
      </c>
      <c r="FL40" s="452">
        <v>359609.29</v>
      </c>
      <c r="FM40" s="378">
        <v>176786.46</v>
      </c>
      <c r="FN40" s="378">
        <v>225833.46</v>
      </c>
      <c r="FO40" s="378">
        <v>679599.59</v>
      </c>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97</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451"/>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99</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451"/>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103</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2374596.09</v>
      </c>
      <c r="EZ43" s="378">
        <v>178131.97</v>
      </c>
      <c r="FA43" s="378">
        <v>146792.74</v>
      </c>
      <c r="FB43" s="378">
        <v>907089.49</v>
      </c>
      <c r="FC43" s="378">
        <v>525509.51</v>
      </c>
      <c r="FD43" s="378">
        <v>4230114.6399999997</v>
      </c>
      <c r="FE43" s="378">
        <v>942551.18</v>
      </c>
      <c r="FF43" s="378">
        <v>69158.880000000005</v>
      </c>
      <c r="FG43" s="378">
        <v>378338.04</v>
      </c>
      <c r="FH43" s="378">
        <v>257172.98</v>
      </c>
      <c r="FI43" s="378">
        <v>349238.34</v>
      </c>
      <c r="FJ43" s="378">
        <v>808656.23</v>
      </c>
      <c r="FK43" s="378">
        <v>1298753.81</v>
      </c>
      <c r="FL43" s="452">
        <v>134648.84</v>
      </c>
      <c r="FM43" s="378">
        <v>1295803.5900000001</v>
      </c>
      <c r="FN43" s="378">
        <v>183612.59</v>
      </c>
      <c r="FO43" s="378">
        <v>223272.51</v>
      </c>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94</v>
      </c>
      <c r="C44" s="74">
        <v>731</v>
      </c>
      <c r="D44" s="74">
        <v>7311</v>
      </c>
      <c r="E44" s="78" t="s">
        <v>103</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451"/>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105</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451"/>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94</v>
      </c>
      <c r="D46" s="139">
        <v>74</v>
      </c>
      <c r="E46" s="140" t="s">
        <v>107</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716886.96</v>
      </c>
      <c r="FA46" s="378">
        <v>259046.56</v>
      </c>
      <c r="FB46" s="378">
        <v>658145.13</v>
      </c>
      <c r="FC46" s="378">
        <v>1526648.73</v>
      </c>
      <c r="FD46" s="378">
        <v>4414865.1500000004</v>
      </c>
      <c r="FE46" s="378">
        <v>3855321.16</v>
      </c>
      <c r="FF46" s="378">
        <v>13526711.25</v>
      </c>
      <c r="FG46" s="378">
        <v>1001055.74</v>
      </c>
      <c r="FH46" s="378">
        <v>861265.77</v>
      </c>
      <c r="FI46" s="378">
        <v>627154.51</v>
      </c>
      <c r="FJ46" s="378">
        <v>1388870.5</v>
      </c>
      <c r="FK46" s="378">
        <v>827810.06</v>
      </c>
      <c r="FL46" s="452">
        <v>1651160.65</v>
      </c>
      <c r="FM46" s="378">
        <v>1596012.32</v>
      </c>
      <c r="FN46" s="378">
        <v>1509055.56</v>
      </c>
      <c r="FO46" s="378">
        <v>1948775.66</v>
      </c>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109</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451"/>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111</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451"/>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113</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v>8784836.1999999993</v>
      </c>
      <c r="FL49" s="452"/>
      <c r="FM49" s="378"/>
      <c r="FN49" s="378">
        <v>1935839.29</v>
      </c>
      <c r="FO49" s="378">
        <v>494215367.44</v>
      </c>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115</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451"/>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116</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v>74623000</v>
      </c>
      <c r="FJ51" s="376">
        <v>67815000</v>
      </c>
      <c r="FK51" s="376"/>
      <c r="FL51" s="451">
        <v>18000000</v>
      </c>
      <c r="FM51" s="376">
        <v>54000000</v>
      </c>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118</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503121949.51999998</v>
      </c>
      <c r="EX52" s="376">
        <v>7673073.0999999996</v>
      </c>
      <c r="EY52" s="376">
        <v>266189636.84999999</v>
      </c>
      <c r="EZ52" s="376">
        <v>15363581.189999999</v>
      </c>
      <c r="FA52" s="376">
        <v>13117458.42</v>
      </c>
      <c r="FB52" s="376">
        <v>16543113.73</v>
      </c>
      <c r="FC52" s="376">
        <v>18813731.219999999</v>
      </c>
      <c r="FD52" s="376">
        <v>38823788.329999998</v>
      </c>
      <c r="FE52" s="376">
        <v>24442619.199999999</v>
      </c>
      <c r="FF52" s="376">
        <v>25748930.140000001</v>
      </c>
      <c r="FG52" s="376">
        <v>3819449.69</v>
      </c>
      <c r="FH52" s="376">
        <v>14059999.119999999</v>
      </c>
      <c r="FI52" s="376">
        <v>6496285.4699999997</v>
      </c>
      <c r="FJ52" s="376">
        <v>7856343.8600000003</v>
      </c>
      <c r="FK52" s="376">
        <v>8784836.1999999993</v>
      </c>
      <c r="FL52" s="451">
        <v>2698966.86</v>
      </c>
      <c r="FM52" s="376">
        <v>32388565.289999999</v>
      </c>
      <c r="FN52" s="376">
        <v>1935839.29</v>
      </c>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94</v>
      </c>
      <c r="E53" s="78" t="s">
        <v>120</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451"/>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94</v>
      </c>
      <c r="B54" s="74">
        <v>41</v>
      </c>
      <c r="D54" s="74">
        <v>41</v>
      </c>
      <c r="E54" s="78" t="s">
        <v>122</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451"/>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124</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38898615.609999999</v>
      </c>
      <c r="FG55" s="376">
        <v>38602776.109999999</v>
      </c>
      <c r="FH55" s="376">
        <v>39176968.049999997</v>
      </c>
      <c r="FI55" s="376">
        <v>38923552.049999997</v>
      </c>
      <c r="FJ55" s="376">
        <v>39904782.170000002</v>
      </c>
      <c r="FK55" s="376">
        <v>41491994.170000002</v>
      </c>
      <c r="FL55" s="451">
        <v>38031107.149999999</v>
      </c>
      <c r="FM55" s="376">
        <v>37169894.039999999</v>
      </c>
      <c r="FN55" s="376">
        <v>38490166.549999997</v>
      </c>
      <c r="FO55" s="376">
        <v>38895006.189999998</v>
      </c>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126</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451"/>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128</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451"/>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129</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451"/>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131</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451"/>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133</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451"/>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135</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432711.77</v>
      </c>
      <c r="FG61" s="376">
        <v>1037317.51</v>
      </c>
      <c r="FH61" s="376">
        <v>740149.21</v>
      </c>
      <c r="FI61" s="376">
        <v>1606928.02</v>
      </c>
      <c r="FJ61" s="376">
        <v>1045480.66</v>
      </c>
      <c r="FK61" s="376">
        <v>650585.03</v>
      </c>
      <c r="FL61" s="450">
        <v>1612572.32</v>
      </c>
      <c r="FM61" s="376">
        <v>864258.85</v>
      </c>
      <c r="FN61" s="376">
        <v>1075910.46</v>
      </c>
      <c r="FO61" s="376">
        <v>1121431.44</v>
      </c>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137</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451"/>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139</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451"/>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141</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451"/>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143</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451"/>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145</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451"/>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147</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451"/>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81</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451"/>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150</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1028193.82</v>
      </c>
      <c r="EU69" s="376">
        <v>2319006.39</v>
      </c>
      <c r="EV69" s="376">
        <v>3799655</v>
      </c>
      <c r="EW69" s="376">
        <v>2444213.75</v>
      </c>
      <c r="EX69" s="376">
        <v>2819164.34</v>
      </c>
      <c r="EY69" s="376">
        <v>2228904.96</v>
      </c>
      <c r="EZ69" s="376">
        <v>2858658.74</v>
      </c>
      <c r="FA69" s="376">
        <v>2380224.89</v>
      </c>
      <c r="FB69" s="376">
        <v>1933588.85</v>
      </c>
      <c r="FC69" s="376">
        <v>2993464.74</v>
      </c>
      <c r="FD69" s="376">
        <v>3031428.93</v>
      </c>
      <c r="FE69" s="376">
        <v>8894630.3100000005</v>
      </c>
      <c r="FF69" s="376">
        <v>854167.64</v>
      </c>
      <c r="FG69" s="376">
        <v>2492370.9900000002</v>
      </c>
      <c r="FH69" s="376">
        <v>2599448.7799999998</v>
      </c>
      <c r="FI69" s="376">
        <v>2488394.38</v>
      </c>
      <c r="FJ69" s="376">
        <v>2262319.3199999998</v>
      </c>
      <c r="FK69" s="376">
        <v>3143597.69</v>
      </c>
      <c r="FL69" s="450">
        <v>2242317.38</v>
      </c>
      <c r="FM69" s="376">
        <v>2462726.48</v>
      </c>
      <c r="FN69" s="376">
        <v>2778192.64</v>
      </c>
      <c r="FO69" s="376">
        <v>3210622.86</v>
      </c>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152</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451"/>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154</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451"/>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156</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451"/>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158</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451"/>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160</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451"/>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162</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451"/>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164</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1680235.02</v>
      </c>
      <c r="EU76" s="376">
        <v>3138627.78</v>
      </c>
      <c r="EV76" s="376">
        <v>4224659.0199999996</v>
      </c>
      <c r="EW76" s="376">
        <v>4569774.72</v>
      </c>
      <c r="EX76" s="376">
        <v>4902792.45</v>
      </c>
      <c r="EY76" s="376">
        <v>14378872.84</v>
      </c>
      <c r="EZ76" s="376">
        <v>4934074.01</v>
      </c>
      <c r="FA76" s="376">
        <v>3590546.61</v>
      </c>
      <c r="FB76" s="376">
        <v>5520674.5999999996</v>
      </c>
      <c r="FC76" s="376">
        <v>5584761.9900000002</v>
      </c>
      <c r="FD76" s="376">
        <v>5166021.46</v>
      </c>
      <c r="FE76" s="376">
        <v>17447882.190000001</v>
      </c>
      <c r="FF76" s="376">
        <v>2813388.82</v>
      </c>
      <c r="FG76" s="376">
        <v>4321003.6500000004</v>
      </c>
      <c r="FH76" s="376">
        <v>4690729.2300000004</v>
      </c>
      <c r="FI76" s="376">
        <v>4354180.1100000003</v>
      </c>
      <c r="FJ76" s="376">
        <v>6607764.25</v>
      </c>
      <c r="FK76" s="376">
        <v>6806179.8200000003</v>
      </c>
      <c r="FL76" s="450">
        <v>8577720.9299999997</v>
      </c>
      <c r="FM76" s="376">
        <v>3301233.24</v>
      </c>
      <c r="FN76" s="376">
        <v>5726874.5800000001</v>
      </c>
      <c r="FO76" s="376">
        <v>6798582.2800000003</v>
      </c>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166</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451"/>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168</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451"/>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170</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451"/>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172</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451"/>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174</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451"/>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176</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451"/>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178</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451"/>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180</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451"/>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182</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451"/>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184</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1250394.3700000001</v>
      </c>
      <c r="EV86" s="376">
        <v>1932637.76</v>
      </c>
      <c r="EW86" s="376">
        <v>1701228.15</v>
      </c>
      <c r="EX86" s="376">
        <v>1674065.37</v>
      </c>
      <c r="EY86" s="376">
        <v>1595157.28</v>
      </c>
      <c r="EZ86" s="376">
        <v>1764069.48</v>
      </c>
      <c r="FA86" s="376">
        <v>822546.3</v>
      </c>
      <c r="FB86" s="376">
        <v>2309329.44</v>
      </c>
      <c r="FC86" s="376">
        <v>1824056.36</v>
      </c>
      <c r="FD86" s="376">
        <v>1126241.5900000001</v>
      </c>
      <c r="FE86" s="376">
        <v>4866689.49</v>
      </c>
      <c r="FF86" s="376">
        <v>109483.07</v>
      </c>
      <c r="FG86" s="376">
        <v>1534108.39</v>
      </c>
      <c r="FH86" s="376">
        <v>1553347.68</v>
      </c>
      <c r="FI86" s="376">
        <v>1602730.43</v>
      </c>
      <c r="FJ86" s="376">
        <v>1719004.83</v>
      </c>
      <c r="FK86" s="376">
        <v>1361111.43</v>
      </c>
      <c r="FL86" s="450">
        <v>2074263.46</v>
      </c>
      <c r="FM86" s="376">
        <v>1121425.77</v>
      </c>
      <c r="FN86" s="376">
        <v>1711631.24</v>
      </c>
      <c r="FO86" s="376">
        <v>2761754.3</v>
      </c>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186</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451"/>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188</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451"/>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190</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451"/>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192</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17000784.449999999</v>
      </c>
      <c r="EX90" s="376">
        <v>10064809.060000001</v>
      </c>
      <c r="EY90" s="376">
        <v>1838720.63</v>
      </c>
      <c r="EZ90" s="376">
        <v>7518062.3499999996</v>
      </c>
      <c r="FA90" s="376">
        <v>1168435.74</v>
      </c>
      <c r="FB90" s="376">
        <v>3617355.6</v>
      </c>
      <c r="FC90" s="376">
        <v>1538688.3</v>
      </c>
      <c r="FD90" s="376">
        <v>4283049.2</v>
      </c>
      <c r="FE90" s="376">
        <v>5677848.6699999999</v>
      </c>
      <c r="FF90" s="376">
        <v>6154852.9000000004</v>
      </c>
      <c r="FG90" s="376">
        <v>999341.54</v>
      </c>
      <c r="FH90" s="376">
        <v>28695513.649999999</v>
      </c>
      <c r="FI90" s="376">
        <v>18435271.789999999</v>
      </c>
      <c r="FJ90" s="376">
        <v>10258844.07</v>
      </c>
      <c r="FK90" s="376">
        <v>5411766.9400000004</v>
      </c>
      <c r="FL90" s="450">
        <v>9047333.1999999993</v>
      </c>
      <c r="FM90" s="376">
        <v>1051267.33</v>
      </c>
      <c r="FN90" s="376">
        <v>2999385.93</v>
      </c>
      <c r="FO90" s="376">
        <v>1628126.12</v>
      </c>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194</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451"/>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196</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451"/>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198</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939048.68</v>
      </c>
      <c r="EY93" s="376">
        <v>835746.88</v>
      </c>
      <c r="EZ93" s="376">
        <v>824828.88</v>
      </c>
      <c r="FA93" s="376">
        <v>555711.06999999995</v>
      </c>
      <c r="FB93" s="376">
        <v>949304.64</v>
      </c>
      <c r="FC93" s="376">
        <v>827176.94</v>
      </c>
      <c r="FD93" s="376">
        <v>584262.68000000005</v>
      </c>
      <c r="FE93" s="376">
        <v>2717616.81</v>
      </c>
      <c r="FF93" s="376">
        <v>220526.46</v>
      </c>
      <c r="FG93" s="376">
        <v>779733.65</v>
      </c>
      <c r="FH93" s="376">
        <v>803370.53</v>
      </c>
      <c r="FI93" s="376">
        <v>1122402.21</v>
      </c>
      <c r="FJ93" s="376">
        <v>989005.29</v>
      </c>
      <c r="FK93" s="376">
        <v>608826.98</v>
      </c>
      <c r="FL93" s="450">
        <v>1399544.86</v>
      </c>
      <c r="FM93" s="376">
        <v>827493.89</v>
      </c>
      <c r="FN93" s="376">
        <v>656314.94999999995</v>
      </c>
      <c r="FO93" s="376">
        <v>807250.67</v>
      </c>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200</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451"/>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202</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451"/>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204</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451"/>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206</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v>1298353.71</v>
      </c>
      <c r="FJ97" s="376">
        <v>2194236.0299999998</v>
      </c>
      <c r="FK97" s="376">
        <v>1487101.06</v>
      </c>
      <c r="FL97" s="450">
        <v>3695060.6</v>
      </c>
      <c r="FM97" s="376">
        <v>1069449</v>
      </c>
      <c r="FN97" s="376">
        <v>3742161.66</v>
      </c>
      <c r="FO97" s="376">
        <v>4843530.18</v>
      </c>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208</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451"/>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210</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451"/>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212</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451"/>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214</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586002.18999999994</v>
      </c>
      <c r="EU101" s="376">
        <v>3384331.52</v>
      </c>
      <c r="EV101" s="376">
        <v>2155321.13</v>
      </c>
      <c r="EW101" s="376">
        <v>2882966.63</v>
      </c>
      <c r="EX101" s="376">
        <v>2637225.6800000002</v>
      </c>
      <c r="EY101" s="376">
        <v>3635960.61</v>
      </c>
      <c r="EZ101" s="376">
        <v>2919935.46</v>
      </c>
      <c r="FA101" s="376">
        <v>3454663.76</v>
      </c>
      <c r="FB101" s="376">
        <v>3201193.66</v>
      </c>
      <c r="FC101" s="376">
        <v>3091262.43</v>
      </c>
      <c r="FD101" s="376">
        <v>3357403.41</v>
      </c>
      <c r="FE101" s="376">
        <v>12250161.189999999</v>
      </c>
      <c r="FF101" s="376">
        <v>695586.92</v>
      </c>
      <c r="FG101" s="376">
        <v>3357222.63</v>
      </c>
      <c r="FH101" s="376">
        <v>2294447.6800000002</v>
      </c>
      <c r="FI101" s="376">
        <v>5380146.8200000003</v>
      </c>
      <c r="FJ101" s="376">
        <v>2115854.34</v>
      </c>
      <c r="FK101" s="376">
        <v>4483087.37</v>
      </c>
      <c r="FL101" s="450">
        <v>3829539.86</v>
      </c>
      <c r="FM101" s="376">
        <v>4015195.5</v>
      </c>
      <c r="FN101" s="376">
        <v>4101848.07</v>
      </c>
      <c r="FO101" s="376">
        <v>3045009.82</v>
      </c>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216</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451"/>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218</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451"/>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220</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451"/>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222</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451"/>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224</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451"/>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226</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451"/>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228</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451"/>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49</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451"/>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230</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451"/>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94</v>
      </c>
      <c r="E111" s="78" t="s">
        <v>232</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451"/>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234</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v>6641554.0999999996</v>
      </c>
      <c r="FJ112" s="376">
        <v>6410465.4699999997</v>
      </c>
      <c r="FK112" s="376">
        <v>6536921.0899999999</v>
      </c>
      <c r="FL112" s="450">
        <v>6798455.0999999996</v>
      </c>
      <c r="FM112" s="376">
        <v>6916329.6100000003</v>
      </c>
      <c r="FN112" s="376">
        <v>6430517.1200000001</v>
      </c>
      <c r="FO112" s="376">
        <v>6933312.3200000003</v>
      </c>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94</v>
      </c>
      <c r="D113" s="74">
        <v>4211</v>
      </c>
      <c r="E113" s="78" t="s">
        <v>236</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451"/>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238</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451"/>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240</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451"/>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242</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451"/>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244</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451"/>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246</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451"/>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248</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451"/>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734</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451"/>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250</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v>1095242.3400000001</v>
      </c>
      <c r="FJ121" s="376">
        <v>1341095.6299999999</v>
      </c>
      <c r="FK121" s="376">
        <v>1381621.25</v>
      </c>
      <c r="FL121" s="450">
        <v>1512829.9</v>
      </c>
      <c r="FM121" s="376">
        <v>1577705.79</v>
      </c>
      <c r="FN121" s="376">
        <v>1701766.69</v>
      </c>
      <c r="FO121" s="376">
        <v>1710317.34</v>
      </c>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252</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451"/>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254</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451"/>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256</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451"/>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258</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451"/>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230</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451"/>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261</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v>35247727.210000001</v>
      </c>
      <c r="FJ127" s="376">
        <v>35184087.420000002</v>
      </c>
      <c r="FK127" s="376">
        <v>35185457.75</v>
      </c>
      <c r="FL127" s="451">
        <v>35081479.57</v>
      </c>
      <c r="FM127" s="376">
        <v>35015332.57</v>
      </c>
      <c r="FN127" s="376">
        <v>35022901.990000002</v>
      </c>
      <c r="FO127" s="376">
        <v>34922457.960000001</v>
      </c>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263</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451"/>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265</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451"/>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267</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451"/>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63</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451"/>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270</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451"/>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272</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451"/>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274</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451"/>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276</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v>1689956.36</v>
      </c>
      <c r="FJ135" s="376">
        <v>1914804.54</v>
      </c>
      <c r="FK135" s="376">
        <v>1732967.4</v>
      </c>
      <c r="FL135" s="450">
        <v>1746404.92</v>
      </c>
      <c r="FM135" s="376">
        <v>1448048.69</v>
      </c>
      <c r="FN135" s="376">
        <v>1671066.3</v>
      </c>
      <c r="FO135" s="376">
        <v>2220320.35</v>
      </c>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278</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451"/>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280</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1081000.8899999999</v>
      </c>
      <c r="FH137" s="376">
        <v>1075486.77</v>
      </c>
      <c r="FI137" s="376">
        <v>779978.55</v>
      </c>
      <c r="FJ137" s="376">
        <v>905277.52</v>
      </c>
      <c r="FK137" s="376">
        <v>909731.61</v>
      </c>
      <c r="FL137" s="450">
        <v>1039591.19</v>
      </c>
      <c r="FM137" s="376">
        <v>741808.15</v>
      </c>
      <c r="FN137" s="376">
        <v>1105589.55</v>
      </c>
      <c r="FO137" s="376">
        <v>969966.85</v>
      </c>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282</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451"/>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284</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451"/>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286</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451"/>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94</v>
      </c>
      <c r="B141" s="74">
        <v>43</v>
      </c>
      <c r="D141" s="74">
        <v>43</v>
      </c>
      <c r="E141" s="78" t="s">
        <v>288</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15696656.369999999</v>
      </c>
      <c r="EX141" s="376">
        <v>13306183.48</v>
      </c>
      <c r="EY141" s="376">
        <v>17878544.43</v>
      </c>
      <c r="EZ141" s="376">
        <v>20218156.109999999</v>
      </c>
      <c r="FA141" s="376">
        <v>17179475.350000001</v>
      </c>
      <c r="FB141" s="376">
        <v>16100951.01</v>
      </c>
      <c r="FC141" s="376">
        <v>16865388.859999999</v>
      </c>
      <c r="FD141" s="376">
        <v>17575098.66</v>
      </c>
      <c r="FE141" s="376">
        <v>33426737.670000002</v>
      </c>
      <c r="FF141" s="376">
        <v>15740550.810000001</v>
      </c>
      <c r="FG141" s="376">
        <v>18630588.73</v>
      </c>
      <c r="FH141" s="376">
        <v>16694917.779999999</v>
      </c>
      <c r="FI141" s="376">
        <v>16108536.07</v>
      </c>
      <c r="FJ141" s="376">
        <v>17254969.68</v>
      </c>
      <c r="FK141" s="376">
        <v>13582731.800000001</v>
      </c>
      <c r="FL141" s="450">
        <v>25674739.879999999</v>
      </c>
      <c r="FM141" s="376">
        <v>14819789.789999999</v>
      </c>
      <c r="FN141" s="376">
        <v>22891347.969999999</v>
      </c>
      <c r="FO141" s="376">
        <v>17069504.329999998</v>
      </c>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94</v>
      </c>
      <c r="B142" s="74" t="s">
        <v>94</v>
      </c>
      <c r="C142" s="74">
        <v>431</v>
      </c>
      <c r="D142" s="74">
        <v>431</v>
      </c>
      <c r="E142" s="78" t="s">
        <v>288</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451"/>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290</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451"/>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292</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451"/>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294</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451"/>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296</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451"/>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298</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451"/>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300</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451"/>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302</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451"/>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304</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451"/>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306</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451"/>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94</v>
      </c>
      <c r="B152" s="74" t="s">
        <v>94</v>
      </c>
      <c r="C152" s="74">
        <v>432</v>
      </c>
      <c r="D152" s="74">
        <v>432</v>
      </c>
      <c r="E152" s="78" t="s">
        <v>308</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451"/>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310</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451"/>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312</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451"/>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314</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451"/>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316</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451"/>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318</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451"/>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320</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451"/>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729</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2060574.27</v>
      </c>
      <c r="EU159" s="376">
        <v>2958395.49</v>
      </c>
      <c r="EV159" s="376">
        <v>10806505.67</v>
      </c>
      <c r="EW159" s="376">
        <v>28775491.48</v>
      </c>
      <c r="EX159" s="376">
        <v>12314358.92</v>
      </c>
      <c r="EY159" s="376">
        <v>22250596.559999999</v>
      </c>
      <c r="EZ159" s="376">
        <v>22219463.719999999</v>
      </c>
      <c r="FA159" s="376">
        <v>7067070.5700000003</v>
      </c>
      <c r="FB159" s="376">
        <v>38353416.07</v>
      </c>
      <c r="FC159" s="376">
        <v>27286098.32</v>
      </c>
      <c r="FD159" s="376">
        <v>24712008.18</v>
      </c>
      <c r="FE159" s="376">
        <v>44558470.93</v>
      </c>
      <c r="FF159" s="376">
        <v>26828354.949999999</v>
      </c>
      <c r="FG159" s="376">
        <v>3690450.01</v>
      </c>
      <c r="FH159" s="376">
        <v>14930197.6</v>
      </c>
      <c r="FI159" s="376">
        <v>12096117.390000001</v>
      </c>
      <c r="FJ159" s="376">
        <v>11464377.560000001</v>
      </c>
      <c r="FK159" s="41">
        <v>12842221.23</v>
      </c>
      <c r="FL159" s="451">
        <v>23205721.09</v>
      </c>
      <c r="FM159" s="376">
        <v>40874123.119999997</v>
      </c>
      <c r="FN159" s="376">
        <v>14054765.689999999</v>
      </c>
      <c r="FO159" s="376">
        <v>14440865.34</v>
      </c>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420</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3266992.16</v>
      </c>
      <c r="EU160" s="376">
        <v>1252962.76</v>
      </c>
      <c r="EV160" s="376">
        <v>2398205.81</v>
      </c>
      <c r="EW160" s="376">
        <v>2567489.7200000002</v>
      </c>
      <c r="EX160" s="376">
        <v>3090956.98</v>
      </c>
      <c r="EY160" s="376">
        <v>5031700.74</v>
      </c>
      <c r="EZ160" s="376">
        <v>2615698.5299999998</v>
      </c>
      <c r="FA160" s="376">
        <v>2782160.17</v>
      </c>
      <c r="FB160" s="376">
        <v>3339367.45</v>
      </c>
      <c r="FC160" s="376">
        <v>5912379.6799999997</v>
      </c>
      <c r="FD160" s="376">
        <v>28699706.960000001</v>
      </c>
      <c r="FE160" s="376">
        <v>17413656</v>
      </c>
      <c r="FF160" s="376">
        <v>720914.39</v>
      </c>
      <c r="FG160" s="376">
        <v>3462137.8600000003</v>
      </c>
      <c r="FH160" s="376">
        <v>1772948.37</v>
      </c>
      <c r="FI160" s="376">
        <v>2074285.0700000003</v>
      </c>
      <c r="FJ160" s="376">
        <v>1862038.5</v>
      </c>
      <c r="FK160" s="376">
        <v>3083998.55</v>
      </c>
      <c r="FL160" s="451">
        <v>2542191.46</v>
      </c>
      <c r="FM160" s="376">
        <v>4838634.8899999997</v>
      </c>
      <c r="FN160" s="376">
        <v>2467021.91</v>
      </c>
      <c r="FO160" s="376">
        <v>10503399.49</v>
      </c>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324</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451"/>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326</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451"/>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328</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451"/>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330</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451"/>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332</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451"/>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334</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451"/>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336</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451"/>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338</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v>35272.089999999997</v>
      </c>
      <c r="FH168" s="376"/>
      <c r="FI168" s="376">
        <v>39948396.369999997</v>
      </c>
      <c r="FJ168" s="376"/>
      <c r="FK168" s="376"/>
      <c r="FL168" s="451"/>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340</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451"/>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94</v>
      </c>
      <c r="B170" s="74">
        <v>45</v>
      </c>
      <c r="E170" s="78" t="s">
        <v>342</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451"/>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115</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v>384534</v>
      </c>
      <c r="FJ171" s="376">
        <v>260000</v>
      </c>
      <c r="FK171" s="376">
        <v>358750</v>
      </c>
      <c r="FL171" s="450">
        <v>335000</v>
      </c>
      <c r="FM171" s="376">
        <v>145000</v>
      </c>
      <c r="FN171" s="376">
        <v>298894</v>
      </c>
      <c r="FO171" s="376">
        <v>10000</v>
      </c>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344</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451"/>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346</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451"/>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348</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451"/>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350</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451"/>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352</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v>80000</v>
      </c>
      <c r="FL176" s="451"/>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94</v>
      </c>
      <c r="B177" s="74">
        <v>46</v>
      </c>
      <c r="E177" s="78" t="s">
        <v>354</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451"/>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356</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451"/>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357</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v>2291816.1800000002</v>
      </c>
      <c r="FJ179" s="376">
        <v>5836708.6600000001</v>
      </c>
      <c r="FK179" s="376">
        <v>1304074.52</v>
      </c>
      <c r="FL179" s="450">
        <v>18837613.199999999</v>
      </c>
      <c r="FM179" s="376">
        <v>54838105.140000001</v>
      </c>
      <c r="FN179" s="376">
        <v>1831381.37</v>
      </c>
      <c r="FO179" s="376">
        <v>6571880.8899999997</v>
      </c>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359</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v>16010234.699999999</v>
      </c>
      <c r="FJ180" s="376">
        <v>177846023.16</v>
      </c>
      <c r="FK180" s="376">
        <v>9790699.6799999997</v>
      </c>
      <c r="FL180" s="450">
        <v>61633418.82</v>
      </c>
      <c r="FM180" s="376">
        <v>2917512.03</v>
      </c>
      <c r="FN180" s="376">
        <v>16057936.98</v>
      </c>
      <c r="FO180" s="376">
        <v>4520498.25</v>
      </c>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361</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7180485.3399999999</v>
      </c>
      <c r="FI181" s="376"/>
      <c r="FJ181" s="376"/>
      <c r="FK181" s="376"/>
      <c r="FL181" s="451"/>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363</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451"/>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365</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451"/>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367</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4562283.55</v>
      </c>
      <c r="FA184" s="376">
        <v>924617.69</v>
      </c>
      <c r="FB184" s="376">
        <v>872755.39</v>
      </c>
      <c r="FC184" s="376">
        <v>1966075.9</v>
      </c>
      <c r="FD184" s="376">
        <v>1659582.3</v>
      </c>
      <c r="FE184" s="376">
        <v>1578931.59</v>
      </c>
      <c r="FF184" s="376">
        <v>1205053.3500000001</v>
      </c>
      <c r="FG184" s="376">
        <v>1334117.25</v>
      </c>
      <c r="FH184" s="376">
        <v>1736748.41</v>
      </c>
      <c r="FI184" s="376">
        <v>1788599.55</v>
      </c>
      <c r="FJ184" s="376">
        <v>1459507.08</v>
      </c>
      <c r="FK184" s="376">
        <v>1848609.33</v>
      </c>
      <c r="FL184" s="450">
        <v>4446503.8099999996</v>
      </c>
      <c r="FM184" s="376">
        <v>880815</v>
      </c>
      <c r="FN184" s="376">
        <v>1579978.54</v>
      </c>
      <c r="FO184" s="376">
        <v>1269302.99</v>
      </c>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94</v>
      </c>
      <c r="B185" s="74">
        <v>47</v>
      </c>
      <c r="D185" s="74">
        <v>47</v>
      </c>
      <c r="E185" s="78" t="s">
        <v>369</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v>1806704.1</v>
      </c>
      <c r="FJ185" s="376">
        <v>1407800</v>
      </c>
      <c r="FK185" s="376">
        <v>1291723.94</v>
      </c>
      <c r="FL185" s="450">
        <v>6488928.9000000004</v>
      </c>
      <c r="FM185" s="376">
        <v>433973.31</v>
      </c>
      <c r="FN185" s="376">
        <v>745665.27</v>
      </c>
      <c r="FO185" s="376">
        <v>424125.36</v>
      </c>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94</v>
      </c>
      <c r="B186" s="74" t="s">
        <v>94</v>
      </c>
      <c r="C186" s="74">
        <v>471</v>
      </c>
      <c r="D186" s="74">
        <v>4710</v>
      </c>
      <c r="E186" s="78" t="s">
        <v>371</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373</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375</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694</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v>28097590.27</v>
      </c>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7" t="s">
        <v>685</v>
      </c>
      <c r="F215" s="564">
        <v>2006</v>
      </c>
      <c r="G215" s="565"/>
      <c r="H215" s="565"/>
      <c r="I215" s="565"/>
      <c r="J215" s="565"/>
      <c r="K215" s="565"/>
      <c r="L215" s="565"/>
      <c r="M215" s="565"/>
      <c r="N215" s="565"/>
      <c r="O215" s="565"/>
      <c r="P215" s="565"/>
      <c r="Q215" s="566"/>
      <c r="R215" s="564">
        <v>2007</v>
      </c>
      <c r="S215" s="565"/>
      <c r="T215" s="565"/>
      <c r="U215" s="565"/>
      <c r="V215" s="565"/>
      <c r="W215" s="565"/>
      <c r="X215" s="565"/>
      <c r="Y215" s="565"/>
      <c r="Z215" s="565"/>
      <c r="AA215" s="565"/>
      <c r="AB215" s="565"/>
      <c r="AC215" s="566"/>
      <c r="AD215" s="564">
        <v>2008</v>
      </c>
      <c r="AE215" s="565"/>
      <c r="AF215" s="565"/>
      <c r="AG215" s="565"/>
      <c r="AH215" s="565"/>
      <c r="AI215" s="565"/>
      <c r="AJ215" s="565"/>
      <c r="AK215" s="565"/>
      <c r="AL215" s="565"/>
      <c r="AM215" s="565"/>
      <c r="AN215" s="565"/>
      <c r="AO215" s="566"/>
      <c r="AP215" s="564">
        <v>2009</v>
      </c>
      <c r="AQ215" s="565"/>
      <c r="AR215" s="565"/>
      <c r="AS215" s="565"/>
      <c r="AT215" s="565"/>
      <c r="AU215" s="565"/>
      <c r="AV215" s="565"/>
      <c r="AW215" s="565"/>
      <c r="AX215" s="565"/>
      <c r="AY215" s="565"/>
      <c r="AZ215" s="565"/>
      <c r="BA215" s="566"/>
      <c r="BB215" s="564">
        <v>2010</v>
      </c>
      <c r="BC215" s="565"/>
      <c r="BD215" s="565"/>
      <c r="BE215" s="565"/>
      <c r="BF215" s="565"/>
      <c r="BG215" s="565"/>
      <c r="BH215" s="565"/>
      <c r="BI215" s="565"/>
      <c r="BJ215" s="565"/>
      <c r="BK215" s="565"/>
      <c r="BL215" s="565"/>
      <c r="BM215" s="566"/>
      <c r="BN215" s="564">
        <v>2011</v>
      </c>
      <c r="BO215" s="565"/>
      <c r="BP215" s="565"/>
      <c r="BQ215" s="565"/>
      <c r="BR215" s="565"/>
      <c r="BS215" s="565"/>
      <c r="BT215" s="565"/>
      <c r="BU215" s="565"/>
      <c r="BV215" s="565"/>
      <c r="BW215" s="565"/>
      <c r="BX215" s="565"/>
      <c r="BY215" s="566"/>
      <c r="BZ215" s="565">
        <v>2012</v>
      </c>
      <c r="CA215" s="565"/>
      <c r="CB215" s="565"/>
      <c r="CC215" s="565"/>
      <c r="CD215" s="565"/>
      <c r="CE215" s="565"/>
      <c r="CF215" s="565"/>
      <c r="CG215" s="565"/>
      <c r="CH215" s="565"/>
      <c r="CI215" s="565"/>
      <c r="CJ215" s="565"/>
      <c r="CK215" s="565"/>
      <c r="CL215" s="564">
        <v>2013</v>
      </c>
      <c r="CM215" s="565"/>
      <c r="CN215" s="565"/>
      <c r="CO215" s="565"/>
      <c r="CP215" s="565"/>
      <c r="CQ215" s="565"/>
      <c r="CR215" s="565"/>
      <c r="CS215" s="565"/>
      <c r="CT215" s="565"/>
      <c r="CU215" s="565"/>
      <c r="CV215" s="565"/>
      <c r="CW215" s="566"/>
      <c r="CX215" s="564">
        <v>2014</v>
      </c>
      <c r="CY215" s="565"/>
      <c r="CZ215" s="565"/>
      <c r="DA215" s="565"/>
      <c r="DB215" s="565"/>
      <c r="DC215" s="565"/>
      <c r="DD215" s="565"/>
      <c r="DE215" s="565"/>
      <c r="DF215" s="565"/>
      <c r="DG215" s="565"/>
      <c r="DH215" s="565"/>
      <c r="DI215" s="566"/>
      <c r="DJ215" s="564">
        <v>2015</v>
      </c>
      <c r="DK215" s="565"/>
      <c r="DL215" s="565"/>
      <c r="DM215" s="565"/>
      <c r="DN215" s="565"/>
      <c r="DO215" s="565"/>
      <c r="DP215" s="565"/>
      <c r="DQ215" s="565"/>
      <c r="DR215" s="565"/>
      <c r="DS215" s="565"/>
      <c r="DT215" s="565"/>
      <c r="DU215" s="566"/>
    </row>
    <row r="216" spans="1:175">
      <c r="E216" s="567"/>
      <c r="F216" s="75" t="s">
        <v>565</v>
      </c>
      <c r="G216" s="76" t="s">
        <v>566</v>
      </c>
      <c r="H216" s="76" t="s">
        <v>567</v>
      </c>
      <c r="I216" s="76" t="s">
        <v>568</v>
      </c>
      <c r="J216" s="76" t="s">
        <v>569</v>
      </c>
      <c r="K216" s="76" t="s">
        <v>570</v>
      </c>
      <c r="L216" s="76" t="s">
        <v>571</v>
      </c>
      <c r="M216" s="76" t="s">
        <v>572</v>
      </c>
      <c r="N216" s="76" t="s">
        <v>573</v>
      </c>
      <c r="O216" s="76" t="s">
        <v>574</v>
      </c>
      <c r="P216" s="76" t="s">
        <v>575</v>
      </c>
      <c r="Q216" s="77" t="s">
        <v>576</v>
      </c>
      <c r="R216" s="75" t="s">
        <v>577</v>
      </c>
      <c r="S216" s="76" t="s">
        <v>578</v>
      </c>
      <c r="T216" s="76" t="s">
        <v>579</v>
      </c>
      <c r="U216" s="76" t="s">
        <v>580</v>
      </c>
      <c r="V216" s="76" t="s">
        <v>581</v>
      </c>
      <c r="W216" s="76" t="s">
        <v>582</v>
      </c>
      <c r="X216" s="76" t="s">
        <v>583</v>
      </c>
      <c r="Y216" s="76" t="s">
        <v>584</v>
      </c>
      <c r="Z216" s="76" t="s">
        <v>585</v>
      </c>
      <c r="AA216" s="76" t="s">
        <v>586</v>
      </c>
      <c r="AB216" s="76" t="s">
        <v>587</v>
      </c>
      <c r="AC216" s="77" t="s">
        <v>588</v>
      </c>
      <c r="AD216" s="75" t="s">
        <v>589</v>
      </c>
      <c r="AE216" s="76" t="s">
        <v>590</v>
      </c>
      <c r="AF216" s="76" t="s">
        <v>591</v>
      </c>
      <c r="AG216" s="76" t="s">
        <v>592</v>
      </c>
      <c r="AH216" s="76" t="s">
        <v>593</v>
      </c>
      <c r="AI216" s="76" t="s">
        <v>594</v>
      </c>
      <c r="AJ216" s="76" t="s">
        <v>595</v>
      </c>
      <c r="AK216" s="76" t="s">
        <v>596</v>
      </c>
      <c r="AL216" s="76" t="s">
        <v>597</v>
      </c>
      <c r="AM216" s="76" t="s">
        <v>598</v>
      </c>
      <c r="AN216" s="76" t="s">
        <v>599</v>
      </c>
      <c r="AO216" s="77" t="s">
        <v>600</v>
      </c>
      <c r="AP216" s="75" t="s">
        <v>601</v>
      </c>
      <c r="AQ216" s="76" t="s">
        <v>602</v>
      </c>
      <c r="AR216" s="76" t="s">
        <v>603</v>
      </c>
      <c r="AS216" s="76" t="s">
        <v>604</v>
      </c>
      <c r="AT216" s="76" t="s">
        <v>605</v>
      </c>
      <c r="AU216" s="76" t="s">
        <v>606</v>
      </c>
      <c r="AV216" s="76" t="s">
        <v>607</v>
      </c>
      <c r="AW216" s="76" t="s">
        <v>608</v>
      </c>
      <c r="AX216" s="76" t="s">
        <v>609</v>
      </c>
      <c r="AY216" s="76" t="s">
        <v>610</v>
      </c>
      <c r="AZ216" s="76" t="s">
        <v>611</v>
      </c>
      <c r="BA216" s="77" t="s">
        <v>612</v>
      </c>
      <c r="BB216" s="75" t="s">
        <v>613</v>
      </c>
      <c r="BC216" s="76" t="s">
        <v>614</v>
      </c>
      <c r="BD216" s="76" t="s">
        <v>615</v>
      </c>
      <c r="BE216" s="76" t="s">
        <v>616</v>
      </c>
      <c r="BF216" s="76" t="s">
        <v>617</v>
      </c>
      <c r="BG216" s="76" t="s">
        <v>618</v>
      </c>
      <c r="BH216" s="76" t="s">
        <v>619</v>
      </c>
      <c r="BI216" s="76" t="s">
        <v>620</v>
      </c>
      <c r="BJ216" s="76" t="s">
        <v>621</v>
      </c>
      <c r="BK216" s="76" t="s">
        <v>622</v>
      </c>
      <c r="BL216" s="76" t="s">
        <v>623</v>
      </c>
      <c r="BM216" s="77" t="s">
        <v>624</v>
      </c>
      <c r="BN216" s="75" t="s">
        <v>625</v>
      </c>
      <c r="BO216" s="76" t="s">
        <v>626</v>
      </c>
      <c r="BP216" s="76" t="s">
        <v>627</v>
      </c>
      <c r="BQ216" s="76" t="s">
        <v>628</v>
      </c>
      <c r="BR216" s="76" t="s">
        <v>629</v>
      </c>
      <c r="BS216" s="76" t="s">
        <v>630</v>
      </c>
      <c r="BT216" s="76" t="s">
        <v>631</v>
      </c>
      <c r="BU216" s="76" t="s">
        <v>632</v>
      </c>
      <c r="BV216" s="76" t="s">
        <v>633</v>
      </c>
      <c r="BW216" s="76" t="s">
        <v>634</v>
      </c>
      <c r="BX216" s="76" t="s">
        <v>635</v>
      </c>
      <c r="BY216" s="77" t="s">
        <v>636</v>
      </c>
      <c r="BZ216" s="76" t="s">
        <v>637</v>
      </c>
      <c r="CA216" s="76" t="s">
        <v>638</v>
      </c>
      <c r="CB216" s="76" t="s">
        <v>639</v>
      </c>
      <c r="CC216" s="76" t="s">
        <v>640</v>
      </c>
      <c r="CD216" s="76" t="s">
        <v>641</v>
      </c>
      <c r="CE216" s="76" t="s">
        <v>642</v>
      </c>
      <c r="CF216" s="76" t="s">
        <v>643</v>
      </c>
      <c r="CG216" s="76" t="s">
        <v>644</v>
      </c>
      <c r="CH216" s="76" t="s">
        <v>645</v>
      </c>
      <c r="CI216" s="76" t="s">
        <v>646</v>
      </c>
      <c r="CJ216" s="76" t="s">
        <v>647</v>
      </c>
      <c r="CK216" s="76" t="s">
        <v>648</v>
      </c>
      <c r="CL216" s="75" t="s">
        <v>649</v>
      </c>
      <c r="CM216" s="76" t="s">
        <v>650</v>
      </c>
      <c r="CN216" s="76" t="s">
        <v>651</v>
      </c>
      <c r="CO216" s="76" t="s">
        <v>652</v>
      </c>
      <c r="CP216" s="76" t="s">
        <v>653</v>
      </c>
      <c r="CQ216" s="76" t="s">
        <v>654</v>
      </c>
      <c r="CR216" s="76" t="s">
        <v>655</v>
      </c>
      <c r="CS216" s="76" t="s">
        <v>656</v>
      </c>
      <c r="CT216" s="76" t="s">
        <v>657</v>
      </c>
      <c r="CU216" s="76" t="s">
        <v>658</v>
      </c>
      <c r="CV216" s="76" t="s">
        <v>659</v>
      </c>
      <c r="CW216" s="77" t="s">
        <v>660</v>
      </c>
      <c r="CX216" s="75" t="s">
        <v>661</v>
      </c>
      <c r="CY216" s="76" t="s">
        <v>662</v>
      </c>
      <c r="CZ216" s="76" t="s">
        <v>663</v>
      </c>
      <c r="DA216" s="76" t="s">
        <v>664</v>
      </c>
      <c r="DB216" s="76" t="s">
        <v>665</v>
      </c>
      <c r="DC216" s="76" t="s">
        <v>666</v>
      </c>
      <c r="DD216" s="76" t="s">
        <v>667</v>
      </c>
      <c r="DE216" s="76" t="s">
        <v>668</v>
      </c>
      <c r="DF216" s="76" t="s">
        <v>669</v>
      </c>
      <c r="DG216" s="76" t="s">
        <v>670</v>
      </c>
      <c r="DH216" s="76" t="s">
        <v>671</v>
      </c>
      <c r="DI216" s="77" t="s">
        <v>672</v>
      </c>
      <c r="DJ216" s="75" t="s">
        <v>673</v>
      </c>
      <c r="DK216" s="76" t="s">
        <v>674</v>
      </c>
      <c r="DL216" s="76" t="s">
        <v>675</v>
      </c>
      <c r="DM216" s="76" t="s">
        <v>676</v>
      </c>
      <c r="DN216" s="76" t="s">
        <v>677</v>
      </c>
      <c r="DO216" s="76" t="s">
        <v>678</v>
      </c>
      <c r="DP216" s="76" t="s">
        <v>679</v>
      </c>
      <c r="DQ216" s="76" t="s">
        <v>680</v>
      </c>
      <c r="DR216" s="76" t="s">
        <v>681</v>
      </c>
      <c r="DS216" s="76" t="s">
        <v>682</v>
      </c>
      <c r="DT216" s="76" t="s">
        <v>683</v>
      </c>
      <c r="DU216" s="77" t="s">
        <v>684</v>
      </c>
      <c r="DV216" s="42" t="s">
        <v>715</v>
      </c>
      <c r="DW216" s="42" t="s">
        <v>716</v>
      </c>
      <c r="DX216" s="42" t="s">
        <v>717</v>
      </c>
      <c r="DY216" s="42" t="s">
        <v>718</v>
      </c>
      <c r="DZ216" s="42" t="s">
        <v>719</v>
      </c>
      <c r="EA216" s="42" t="s">
        <v>720</v>
      </c>
      <c r="EB216" s="42" t="s">
        <v>721</v>
      </c>
      <c r="EC216" s="42" t="s">
        <v>722</v>
      </c>
      <c r="ED216" s="42" t="s">
        <v>723</v>
      </c>
      <c r="EE216" s="42" t="s">
        <v>724</v>
      </c>
      <c r="EF216" s="42" t="s">
        <v>725</v>
      </c>
      <c r="EG216" s="42" t="s">
        <v>726</v>
      </c>
      <c r="EH216" s="393" t="s">
        <v>737</v>
      </c>
      <c r="EI216" s="393" t="s">
        <v>738</v>
      </c>
      <c r="EJ216" s="393" t="s">
        <v>739</v>
      </c>
      <c r="EK216" s="393" t="s">
        <v>740</v>
      </c>
      <c r="EL216" s="393" t="s">
        <v>741</v>
      </c>
      <c r="EM216" s="393" t="s">
        <v>742</v>
      </c>
      <c r="EN216" s="393" t="s">
        <v>743</v>
      </c>
      <c r="EO216" s="393" t="s">
        <v>744</v>
      </c>
      <c r="EP216" s="393" t="s">
        <v>745</v>
      </c>
      <c r="EQ216" s="393" t="s">
        <v>746</v>
      </c>
      <c r="ER216" s="393" t="s">
        <v>747</v>
      </c>
      <c r="ES216" s="393" t="s">
        <v>748</v>
      </c>
      <c r="ET216" s="393" t="s">
        <v>755</v>
      </c>
      <c r="EU216" s="393" t="s">
        <v>756</v>
      </c>
      <c r="EV216" s="393" t="s">
        <v>757</v>
      </c>
      <c r="EW216" s="393" t="s">
        <v>758</v>
      </c>
      <c r="EX216" s="393" t="s">
        <v>759</v>
      </c>
      <c r="EY216" s="393" t="s">
        <v>760</v>
      </c>
      <c r="EZ216" s="393" t="s">
        <v>761</v>
      </c>
      <c r="FA216" s="393" t="s">
        <v>762</v>
      </c>
      <c r="FB216" s="393" t="s">
        <v>763</v>
      </c>
      <c r="FC216" s="393" t="s">
        <v>764</v>
      </c>
      <c r="FD216" s="393" t="s">
        <v>765</v>
      </c>
      <c r="FE216" s="393" t="s">
        <v>766</v>
      </c>
      <c r="FF216" s="393" t="s">
        <v>778</v>
      </c>
      <c r="FG216" s="393" t="s">
        <v>779</v>
      </c>
      <c r="FH216" s="393" t="s">
        <v>780</v>
      </c>
      <c r="FI216" s="393" t="s">
        <v>781</v>
      </c>
      <c r="FJ216" s="393" t="s">
        <v>782</v>
      </c>
      <c r="FK216" s="393" t="s">
        <v>783</v>
      </c>
      <c r="FL216" s="393" t="s">
        <v>784</v>
      </c>
      <c r="FM216" s="393" t="s">
        <v>785</v>
      </c>
      <c r="FN216" s="393" t="s">
        <v>786</v>
      </c>
      <c r="FO216" s="393" t="s">
        <v>787</v>
      </c>
      <c r="FP216" s="393" t="s">
        <v>788</v>
      </c>
      <c r="FQ216" s="393" t="s">
        <v>789</v>
      </c>
      <c r="FS216" s="444"/>
    </row>
    <row r="217" spans="1:175">
      <c r="A217" s="74">
        <v>7</v>
      </c>
      <c r="B217" s="74" t="s">
        <v>94</v>
      </c>
      <c r="D217" s="74" t="str">
        <f t="shared" ref="D217:D225" si="11">+CONCATENATE(D8,"p")</f>
        <v>7p</v>
      </c>
      <c r="E217" s="78" t="s">
        <v>19</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21</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23</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72429730.420000002</v>
      </c>
      <c r="FG219" s="445">
        <v>68470908.439999998</v>
      </c>
      <c r="FH219" s="445">
        <v>98709545.510000005</v>
      </c>
      <c r="FI219" s="445">
        <v>106791818.52</v>
      </c>
      <c r="FJ219" s="445">
        <v>94372185.030000001</v>
      </c>
      <c r="FK219" s="445">
        <v>89389439.689999998</v>
      </c>
      <c r="FL219" s="445">
        <v>106366803.00672032</v>
      </c>
      <c r="FM219" s="445">
        <v>110847613.63774106</v>
      </c>
      <c r="FN219" s="445">
        <f>105712748.66474-4000000</f>
        <v>101712748.66474</v>
      </c>
      <c r="FO219" s="445">
        <f>92295636.2285859+4000000</f>
        <v>96295636.228585899</v>
      </c>
      <c r="FP219" s="445">
        <v>84393107.743797168</v>
      </c>
      <c r="FQ219" s="445">
        <v>92890414.095145509</v>
      </c>
    </row>
    <row r="220" spans="1:175">
      <c r="D220" s="74" t="str">
        <f t="shared" si="11"/>
        <v>7111p</v>
      </c>
      <c r="E220" s="78" t="s">
        <v>25</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4240913.8099999996</v>
      </c>
      <c r="FG220" s="41">
        <v>9361661.1500000004</v>
      </c>
      <c r="FH220" s="41">
        <v>9044961.5800000001</v>
      </c>
      <c r="FI220" s="41">
        <v>10767101.800000001</v>
      </c>
      <c r="FJ220" s="41">
        <v>10210712.41</v>
      </c>
      <c r="FK220" s="41">
        <v>10125793.029999999</v>
      </c>
      <c r="FL220" s="41">
        <v>10562928.102170853</v>
      </c>
      <c r="FM220" s="41">
        <v>10477537.909352116</v>
      </c>
      <c r="FN220" s="41">
        <v>8957410.6319850832</v>
      </c>
      <c r="FO220" s="41">
        <v>9589847.5886837803</v>
      </c>
      <c r="FP220" s="41">
        <v>9803639.4384757541</v>
      </c>
      <c r="FQ220" s="41">
        <v>17095010.594302431</v>
      </c>
    </row>
    <row r="221" spans="1:175">
      <c r="D221" s="74" t="str">
        <f t="shared" si="11"/>
        <v>7112p</v>
      </c>
      <c r="E221" s="78" t="s">
        <v>27</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936843.13</v>
      </c>
      <c r="FG221" s="41">
        <v>1962550.32</v>
      </c>
      <c r="FH221" s="41">
        <v>22465664.23</v>
      </c>
      <c r="FI221" s="41">
        <v>20408432.98</v>
      </c>
      <c r="FJ221" s="41">
        <v>4781744.7</v>
      </c>
      <c r="FK221" s="41">
        <v>3678815</v>
      </c>
      <c r="FL221" s="41">
        <v>4457741.7110314406</v>
      </c>
      <c r="FM221" s="41">
        <v>2685443.6740218201</v>
      </c>
      <c r="FN221" s="41">
        <f>6555024.30670548-4000000</f>
        <v>2555024.3067054804</v>
      </c>
      <c r="FO221" s="41">
        <f>1099414.73043184+4000000</f>
        <v>5099414.7304318398</v>
      </c>
      <c r="FP221" s="41">
        <v>845177.9860074711</v>
      </c>
      <c r="FQ221" s="41">
        <v>1318007.3637119438</v>
      </c>
    </row>
    <row r="222" spans="1:175">
      <c r="D222" s="74" t="str">
        <f t="shared" si="11"/>
        <v>7113p</v>
      </c>
      <c r="E222" s="78" t="s">
        <v>29</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118243.45</v>
      </c>
      <c r="FG222" s="41">
        <v>169568.16</v>
      </c>
      <c r="FH222" s="41">
        <v>146352.49</v>
      </c>
      <c r="FI222" s="41">
        <v>204359.36</v>
      </c>
      <c r="FJ222" s="41">
        <v>147510.5</v>
      </c>
      <c r="FK222" s="41">
        <v>158253.64000000001</v>
      </c>
      <c r="FL222" s="41">
        <v>92289.827047712693</v>
      </c>
      <c r="FM222" s="41">
        <v>199872.32178424072</v>
      </c>
      <c r="FN222" s="41">
        <v>127416.86254210871</v>
      </c>
      <c r="FO222" s="41">
        <v>134863.8150111227</v>
      </c>
      <c r="FP222" s="41">
        <v>174166.77614709371</v>
      </c>
      <c r="FQ222" s="41">
        <v>189919.20786772171</v>
      </c>
    </row>
    <row r="223" spans="1:175">
      <c r="D223" s="74" t="str">
        <f t="shared" si="11"/>
        <v>7114p</v>
      </c>
      <c r="E223" s="78" t="s">
        <v>31</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49847223.18</v>
      </c>
      <c r="FG223" s="41">
        <v>38958365.399999999</v>
      </c>
      <c r="FH223" s="41">
        <v>50498218.18</v>
      </c>
      <c r="FI223" s="41">
        <v>55142838.460000001</v>
      </c>
      <c r="FJ223" s="41">
        <v>56428341.859999999</v>
      </c>
      <c r="FK223" s="41">
        <v>52810087.229999997</v>
      </c>
      <c r="FL223" s="41">
        <v>64608697.993098304</v>
      </c>
      <c r="FM223" s="41">
        <v>66890311.931873396</v>
      </c>
      <c r="FN223" s="41">
        <v>59747048.514482997</v>
      </c>
      <c r="FO223" s="41">
        <v>59046360.535818897</v>
      </c>
      <c r="FP223" s="41">
        <v>50298426.623042099</v>
      </c>
      <c r="FQ223" s="41">
        <v>53629737.7635343</v>
      </c>
    </row>
    <row r="224" spans="1:175">
      <c r="D224" s="74" t="str">
        <f t="shared" si="11"/>
        <v>7115p</v>
      </c>
      <c r="E224" s="78" t="s">
        <v>33</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15141217.210000001</v>
      </c>
      <c r="FG224" s="41">
        <v>13186126.23</v>
      </c>
      <c r="FH224" s="41">
        <v>13315087.640000001</v>
      </c>
      <c r="FI224" s="41">
        <v>16826313.73</v>
      </c>
      <c r="FJ224" s="41">
        <v>19442485.359999999</v>
      </c>
      <c r="FK224" s="41">
        <v>19205497.870000001</v>
      </c>
      <c r="FL224" s="41">
        <v>23502946.676267412</v>
      </c>
      <c r="FM224" s="41">
        <v>27414563.793734949</v>
      </c>
      <c r="FN224" s="41">
        <v>27821146.884936411</v>
      </c>
      <c r="FO224" s="41">
        <v>19593872.367677551</v>
      </c>
      <c r="FP224" s="41">
        <v>21076713.14050236</v>
      </c>
      <c r="FQ224" s="41">
        <v>18275634.395081349</v>
      </c>
    </row>
    <row r="225" spans="1:174" ht="30">
      <c r="D225" s="74" t="str">
        <f t="shared" si="11"/>
        <v>7116p</v>
      </c>
      <c r="E225" s="78" t="s">
        <v>35</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1424968.68</v>
      </c>
      <c r="FG225" s="41">
        <v>1733788.33</v>
      </c>
      <c r="FH225" s="41">
        <v>2462209.73</v>
      </c>
      <c r="FI225" s="41">
        <v>2531899.16</v>
      </c>
      <c r="FJ225" s="41">
        <v>2502520.2799999998</v>
      </c>
      <c r="FK225" s="41">
        <v>2485583.9700000002</v>
      </c>
      <c r="FL225" s="41">
        <v>2731455.7201732523</v>
      </c>
      <c r="FM225" s="41">
        <v>2787010.1046283157</v>
      </c>
      <c r="FN225" s="41">
        <v>2149778.7308390578</v>
      </c>
      <c r="FO225" s="41">
        <v>2505449.340977564</v>
      </c>
      <c r="FP225" s="41">
        <v>1854095.8458453817</v>
      </c>
      <c r="FQ225" s="41">
        <v>1998829.9373364251</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37</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720320.96</v>
      </c>
      <c r="FG227" s="41">
        <v>3098848.85</v>
      </c>
      <c r="FH227" s="41">
        <v>777051.66</v>
      </c>
      <c r="FI227" s="41">
        <v>910873.03</v>
      </c>
      <c r="FJ227" s="41">
        <v>858869.92</v>
      </c>
      <c r="FK227" s="41">
        <v>925408.95</v>
      </c>
      <c r="FL227" s="41">
        <v>410742.9769313393</v>
      </c>
      <c r="FM227" s="41">
        <v>392873.90234621655</v>
      </c>
      <c r="FN227" s="41">
        <v>354922.73324901523</v>
      </c>
      <c r="FO227" s="41">
        <v>325827.84998510586</v>
      </c>
      <c r="FP227" s="41">
        <v>340887.93377701013</v>
      </c>
      <c r="FQ227" s="41">
        <v>383274.83331131347</v>
      </c>
    </row>
    <row r="228" spans="1:174" s="9" customFormat="1">
      <c r="A228" s="139"/>
      <c r="B228" s="139"/>
      <c r="C228" s="139">
        <v>712</v>
      </c>
      <c r="D228" s="139" t="str">
        <f t="shared" si="19"/>
        <v>712p</v>
      </c>
      <c r="E228" s="140" t="s">
        <v>39</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16498881.48</v>
      </c>
      <c r="FG228" s="445">
        <v>41912269.38000001</v>
      </c>
      <c r="FH228" s="445">
        <v>41047599.18</v>
      </c>
      <c r="FI228" s="445">
        <v>50290988.940000005</v>
      </c>
      <c r="FJ228" s="445">
        <v>37496285.130000003</v>
      </c>
      <c r="FK228" s="445">
        <v>45280786.510000005</v>
      </c>
      <c r="FL228" s="445">
        <v>46250891.035691187</v>
      </c>
      <c r="FM228" s="445">
        <v>44632014.674295112</v>
      </c>
      <c r="FN228" s="445">
        <v>41120271.333377153</v>
      </c>
      <c r="FO228" s="445">
        <v>46928850.635902815</v>
      </c>
      <c r="FP228" s="445">
        <v>44128259.697538294</v>
      </c>
      <c r="FQ228" s="445">
        <v>78626416.07852602</v>
      </c>
    </row>
    <row r="229" spans="1:174" ht="30">
      <c r="D229" s="74" t="str">
        <f t="shared" si="19"/>
        <v>7121p</v>
      </c>
      <c r="E229" s="78" t="s">
        <v>41</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9695765.5800000001</v>
      </c>
      <c r="FG229" s="41">
        <v>24593790.260000002</v>
      </c>
      <c r="FH229" s="41">
        <v>23923752.719999999</v>
      </c>
      <c r="FI229" s="41">
        <v>29650595.870000001</v>
      </c>
      <c r="FJ229" s="41">
        <v>22104934.850000001</v>
      </c>
      <c r="FK229" s="41">
        <v>27009559.609999999</v>
      </c>
      <c r="FL229" s="41">
        <v>27482444.037160631</v>
      </c>
      <c r="FM229" s="41">
        <v>27981870.622507609</v>
      </c>
      <c r="FN229" s="41">
        <v>26275213.096976332</v>
      </c>
      <c r="FO229" s="41">
        <v>30509092.335605875</v>
      </c>
      <c r="FP229" s="41">
        <v>28690565.779876817</v>
      </c>
      <c r="FQ229" s="41">
        <v>49959164.412414543</v>
      </c>
    </row>
    <row r="230" spans="1:174" ht="30">
      <c r="D230" s="74" t="str">
        <f t="shared" si="19"/>
        <v>7122p</v>
      </c>
      <c r="E230" s="78" t="s">
        <v>43</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5963049.2000000002</v>
      </c>
      <c r="FG230" s="41">
        <v>15122476.890000001</v>
      </c>
      <c r="FH230" s="41">
        <v>14777265.789999999</v>
      </c>
      <c r="FI230" s="41">
        <v>17925167.550000001</v>
      </c>
      <c r="FJ230" s="41">
        <v>13458982.5</v>
      </c>
      <c r="FK230" s="41">
        <v>15925774.34</v>
      </c>
      <c r="FL230" s="41">
        <v>16394230.760278165</v>
      </c>
      <c r="FM230" s="41">
        <v>14239936.351746917</v>
      </c>
      <c r="FN230" s="41">
        <v>12682409.588332439</v>
      </c>
      <c r="FO230" s="41">
        <v>14130176.222576067</v>
      </c>
      <c r="FP230" s="41">
        <v>13398296.64486525</v>
      </c>
      <c r="FQ230" s="41">
        <v>24833575.886677179</v>
      </c>
    </row>
    <row r="231" spans="1:174" ht="30">
      <c r="D231" s="74" t="str">
        <f t="shared" si="19"/>
        <v>7123p</v>
      </c>
      <c r="E231" s="78" t="s">
        <v>45</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459881.42</v>
      </c>
      <c r="FG231" s="41">
        <v>1160315.8500000001</v>
      </c>
      <c r="FH231" s="41">
        <v>1135767.8899999999</v>
      </c>
      <c r="FI231" s="41">
        <v>1375720.59</v>
      </c>
      <c r="FJ231" s="41">
        <v>1026106.03</v>
      </c>
      <c r="FK231" s="41">
        <v>1222753.49</v>
      </c>
      <c r="FL231" s="41">
        <v>1142926.9664523243</v>
      </c>
      <c r="FM231" s="41">
        <v>1304199.4730337204</v>
      </c>
      <c r="FN231" s="41">
        <v>1183707.9939274685</v>
      </c>
      <c r="FO231" s="41">
        <v>1329191.3701360417</v>
      </c>
      <c r="FP231" s="41">
        <v>1263549.4031596093</v>
      </c>
      <c r="FQ231" s="41">
        <v>2346588.9629115779</v>
      </c>
    </row>
    <row r="232" spans="1:174">
      <c r="D232" s="74" t="str">
        <f t="shared" si="19"/>
        <v>7124p</v>
      </c>
      <c r="E232" s="78" t="s">
        <v>47</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380185.28</v>
      </c>
      <c r="FG232" s="41">
        <v>1035686.38</v>
      </c>
      <c r="FH232" s="41">
        <v>1210812.78</v>
      </c>
      <c r="FI232" s="41">
        <v>1339504.93</v>
      </c>
      <c r="FJ232" s="41">
        <v>906261.75</v>
      </c>
      <c r="FK232" s="41">
        <v>1122699.07</v>
      </c>
      <c r="FL232" s="41">
        <v>1231289.271800064</v>
      </c>
      <c r="FM232" s="41">
        <v>1106008.2270068659</v>
      </c>
      <c r="FN232" s="41">
        <v>978940.65414091514</v>
      </c>
      <c r="FO232" s="41">
        <v>960390.70758482651</v>
      </c>
      <c r="FP232" s="41">
        <v>775847.86963662016</v>
      </c>
      <c r="FQ232" s="41">
        <v>1487086.8165227156</v>
      </c>
    </row>
    <row r="233" spans="1:174" s="9" customFormat="1">
      <c r="A233" s="139"/>
      <c r="B233" s="139"/>
      <c r="C233" s="139">
        <v>713</v>
      </c>
      <c r="D233" s="139" t="str">
        <f t="shared" si="19"/>
        <v>713p</v>
      </c>
      <c r="E233" s="140" t="s">
        <v>49</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851162.27</v>
      </c>
      <c r="FG233" s="445">
        <v>1041125.3899999999</v>
      </c>
      <c r="FH233" s="445">
        <v>1066481.8799999999</v>
      </c>
      <c r="FI233" s="445">
        <v>1290371.49</v>
      </c>
      <c r="FJ233" s="445">
        <v>1208813.17</v>
      </c>
      <c r="FK233" s="445">
        <v>1252534.6599999999</v>
      </c>
      <c r="FL233" s="445">
        <v>1795731.4641523927</v>
      </c>
      <c r="FM233" s="445">
        <v>1701456.5372229549</v>
      </c>
      <c r="FN233" s="445">
        <v>1388736.0694359436</v>
      </c>
      <c r="FO233" s="445">
        <v>1341528.8515351652</v>
      </c>
      <c r="FP233" s="445">
        <v>1134405.6022195939</v>
      </c>
      <c r="FQ233" s="445">
        <v>1246141.5409339513</v>
      </c>
    </row>
    <row r="234" spans="1:174">
      <c r="D234" s="74" t="str">
        <f t="shared" si="19"/>
        <v>7131p</v>
      </c>
      <c r="E234" s="78" t="s">
        <v>51</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649124.48</v>
      </c>
      <c r="FG234" s="41">
        <v>818776.7</v>
      </c>
      <c r="FH234" s="41">
        <v>802029.06</v>
      </c>
      <c r="FI234" s="41">
        <v>949723.87</v>
      </c>
      <c r="FJ234" s="41">
        <v>855493.95</v>
      </c>
      <c r="FK234" s="41">
        <v>789796.19</v>
      </c>
      <c r="FL234" s="41">
        <v>984551.17228491185</v>
      </c>
      <c r="FM234" s="41">
        <v>853416.19822953595</v>
      </c>
      <c r="FN234" s="41">
        <v>738178.48497195612</v>
      </c>
      <c r="FO234" s="41">
        <v>784155.59545054846</v>
      </c>
      <c r="FP234" s="41">
        <v>651585.7245731533</v>
      </c>
      <c r="FQ234" s="41">
        <v>736653.25028989522</v>
      </c>
    </row>
    <row r="235" spans="1:174">
      <c r="D235" s="74" t="str">
        <f t="shared" si="19"/>
        <v>7132p</v>
      </c>
      <c r="E235" s="78" t="s">
        <v>53</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64695</v>
      </c>
      <c r="FG235" s="41">
        <v>85955.36</v>
      </c>
      <c r="FH235" s="41">
        <v>106907.98</v>
      </c>
      <c r="FI235" s="41">
        <v>128950.69</v>
      </c>
      <c r="FJ235" s="41">
        <v>89857.44</v>
      </c>
      <c r="FK235" s="41">
        <v>90814.91</v>
      </c>
      <c r="FL235" s="41">
        <v>134342.02832402792</v>
      </c>
      <c r="FM235" s="41">
        <v>96531.805736688621</v>
      </c>
      <c r="FN235" s="41">
        <v>116877.46348794091</v>
      </c>
      <c r="FO235" s="41">
        <v>123515.88313536895</v>
      </c>
      <c r="FP235" s="41">
        <v>136136.09683521438</v>
      </c>
      <c r="FQ235" s="41">
        <v>158708.71988075945</v>
      </c>
    </row>
    <row r="236" spans="1:174">
      <c r="D236" s="74" t="str">
        <f t="shared" si="19"/>
        <v>7133p</v>
      </c>
      <c r="E236" s="78" t="s">
        <v>55</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24775.52</v>
      </c>
      <c r="FG236" s="41">
        <v>28443.63</v>
      </c>
      <c r="FH236" s="41">
        <v>40268.589999999997</v>
      </c>
      <c r="FI236" s="41">
        <v>55742.67</v>
      </c>
      <c r="FJ236" s="41">
        <v>91165.22</v>
      </c>
      <c r="FK236" s="41">
        <v>178796.84</v>
      </c>
      <c r="FL236" s="41">
        <v>363731.36010368419</v>
      </c>
      <c r="FM236" s="41">
        <v>436758.62530417839</v>
      </c>
      <c r="FN236" s="41">
        <v>242124.49155094678</v>
      </c>
      <c r="FO236" s="41">
        <v>124295.83034558724</v>
      </c>
      <c r="FP236" s="41">
        <v>81230.494036135831</v>
      </c>
      <c r="FQ236" s="41">
        <v>33134.750159467534</v>
      </c>
    </row>
    <row r="237" spans="1:174">
      <c r="D237" s="74" t="str">
        <f t="shared" ref="D237:D268" si="26">+CONCATENATE(D27,"p")</f>
        <v>7136p</v>
      </c>
      <c r="E237" s="78" t="s">
        <v>61</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112567.27</v>
      </c>
      <c r="FG237" s="41">
        <v>107949.7</v>
      </c>
      <c r="FH237" s="41">
        <v>117276.25</v>
      </c>
      <c r="FI237" s="41">
        <v>155954.26</v>
      </c>
      <c r="FJ237" s="41">
        <v>172296.56</v>
      </c>
      <c r="FK237" s="41">
        <v>193126.72</v>
      </c>
      <c r="FL237" s="41">
        <v>313106.90343976865</v>
      </c>
      <c r="FM237" s="41">
        <v>314749.90795255185</v>
      </c>
      <c r="FN237" s="41">
        <v>291555.62942509988</v>
      </c>
      <c r="FO237" s="41">
        <v>309561.54260366061</v>
      </c>
      <c r="FP237" s="41">
        <v>265453.28677509038</v>
      </c>
      <c r="FQ237" s="41">
        <v>317644.82060382888</v>
      </c>
    </row>
    <row r="238" spans="1:174" s="9" customFormat="1">
      <c r="A238" s="139"/>
      <c r="B238" s="139"/>
      <c r="C238" s="139">
        <v>714</v>
      </c>
      <c r="D238" s="139" t="str">
        <f t="shared" si="26"/>
        <v>714p</v>
      </c>
      <c r="E238" s="140" t="s">
        <v>63</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2315003.25</v>
      </c>
      <c r="FG238" s="445">
        <v>1541397.86</v>
      </c>
      <c r="FH238" s="445">
        <v>2408517.5</v>
      </c>
      <c r="FI238" s="445">
        <v>3310133.38</v>
      </c>
      <c r="FJ238" s="445">
        <v>1792591.2</v>
      </c>
      <c r="FK238" s="445">
        <v>2081141.31</v>
      </c>
      <c r="FL238" s="445">
        <v>3811615.3822946725</v>
      </c>
      <c r="FM238" s="445">
        <v>2369139.8885664819</v>
      </c>
      <c r="FN238" s="445">
        <v>2509036.584840606</v>
      </c>
      <c r="FO238" s="445">
        <v>3286740.3746407013</v>
      </c>
      <c r="FP238" s="445">
        <v>2611990.4957672656</v>
      </c>
      <c r="FQ238" s="445">
        <v>3353537.6354902741</v>
      </c>
      <c r="FR238" s="445"/>
    </row>
    <row r="239" spans="1:174" ht="30">
      <c r="D239" s="74" t="str">
        <f t="shared" si="26"/>
        <v>7141p</v>
      </c>
      <c r="E239" s="78" t="s">
        <v>65</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5596.5</v>
      </c>
      <c r="FG239" s="41">
        <v>10696.96</v>
      </c>
      <c r="FH239" s="41">
        <v>76041.279999999999</v>
      </c>
      <c r="FI239" s="41">
        <v>41798.769999999997</v>
      </c>
      <c r="FJ239" s="41">
        <v>88788.45</v>
      </c>
      <c r="FK239" s="41">
        <v>110473.68</v>
      </c>
      <c r="FL239" s="41">
        <v>109565.42037740815</v>
      </c>
      <c r="FM239" s="41">
        <v>124419.69208754679</v>
      </c>
      <c r="FN239" s="41">
        <v>85243.991563833144</v>
      </c>
      <c r="FO239" s="41">
        <v>60882.669422327868</v>
      </c>
      <c r="FP239" s="41">
        <v>95379.222478132157</v>
      </c>
      <c r="FQ239" s="41">
        <v>157547.37047075186</v>
      </c>
    </row>
    <row r="240" spans="1:174" ht="30">
      <c r="D240" s="74" t="str">
        <f t="shared" si="26"/>
        <v>7142p</v>
      </c>
      <c r="E240" s="78" t="s">
        <v>67</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111165.46</v>
      </c>
      <c r="FG240" s="41">
        <v>101009.27</v>
      </c>
      <c r="FH240" s="41">
        <v>694197.59</v>
      </c>
      <c r="FI240" s="41">
        <v>315889.09000000003</v>
      </c>
      <c r="FJ240" s="41">
        <v>290980.86</v>
      </c>
      <c r="FK240" s="41">
        <v>135939.44</v>
      </c>
      <c r="FL240" s="41">
        <v>452053.82607907202</v>
      </c>
      <c r="FM240" s="41">
        <v>424603.35461978533</v>
      </c>
      <c r="FN240" s="41">
        <v>298337.42192308779</v>
      </c>
      <c r="FO240" s="41">
        <v>330273.50681300677</v>
      </c>
      <c r="FP240" s="41">
        <v>280701.63213949924</v>
      </c>
      <c r="FQ240" s="41">
        <v>1019182.998025549</v>
      </c>
    </row>
    <row r="241" spans="1:174">
      <c r="D241" s="74" t="str">
        <f t="shared" si="26"/>
        <v>7143p</v>
      </c>
      <c r="E241" s="78" t="s">
        <v>69</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45324.14</v>
      </c>
      <c r="FG241" s="41">
        <v>46657.06</v>
      </c>
      <c r="FH241" s="41">
        <v>40888.620000000003</v>
      </c>
      <c r="FI241" s="41">
        <v>41064.94</v>
      </c>
      <c r="FJ241" s="41">
        <v>48239.28</v>
      </c>
      <c r="FK241" s="41">
        <v>41465.49</v>
      </c>
      <c r="FL241" s="41">
        <v>3829.6831968651454</v>
      </c>
      <c r="FM241" s="41">
        <v>1139.1263458106582</v>
      </c>
      <c r="FN241" s="41">
        <v>1590.8014385966756</v>
      </c>
      <c r="FO241" s="41">
        <v>39549.211171301606</v>
      </c>
      <c r="FP241" s="41">
        <v>24470.820853244768</v>
      </c>
      <c r="FQ241" s="41">
        <v>31293.971394181102</v>
      </c>
    </row>
    <row r="242" spans="1:174" ht="30">
      <c r="D242" s="74" t="str">
        <f t="shared" si="26"/>
        <v>7144p</v>
      </c>
      <c r="E242" s="78" t="s">
        <v>71</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654304.80000000005</v>
      </c>
      <c r="FG242" s="41">
        <v>660078.18000000005</v>
      </c>
      <c r="FH242" s="41">
        <v>634606.16</v>
      </c>
      <c r="FI242" s="41">
        <v>1775211.97</v>
      </c>
      <c r="FJ242" s="41">
        <v>687337.58</v>
      </c>
      <c r="FK242" s="41">
        <v>695892.2</v>
      </c>
      <c r="FL242" s="41">
        <v>963999.18196154176</v>
      </c>
      <c r="FM242" s="41">
        <v>816976.60377219575</v>
      </c>
      <c r="FN242" s="41">
        <v>918213.34360661427</v>
      </c>
      <c r="FO242" s="41">
        <v>944800.52110534231</v>
      </c>
      <c r="FP242" s="41">
        <v>826436.47532958095</v>
      </c>
      <c r="FQ242" s="41">
        <v>903868.87682472612</v>
      </c>
    </row>
    <row r="243" spans="1:174">
      <c r="D243" s="74" t="str">
        <f t="shared" si="26"/>
        <v>7148p</v>
      </c>
      <c r="E243" s="78" t="s">
        <v>79</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106207.67</v>
      </c>
      <c r="FG243" s="41">
        <v>203595.89</v>
      </c>
      <c r="FH243" s="41">
        <v>241900.04</v>
      </c>
      <c r="FI243" s="41">
        <v>248172.78</v>
      </c>
      <c r="FJ243" s="41">
        <v>300826.94</v>
      </c>
      <c r="FK243" s="41">
        <v>367688.93</v>
      </c>
      <c r="FL243" s="41">
        <v>437561.45783439319</v>
      </c>
      <c r="FM243" s="41">
        <v>373492.30937615345</v>
      </c>
      <c r="FN243" s="41">
        <v>267665.67148390395</v>
      </c>
      <c r="FO243" s="41">
        <v>283675.59637904644</v>
      </c>
      <c r="FP243" s="41">
        <v>240308.10538930705</v>
      </c>
      <c r="FQ243" s="41">
        <v>241438.34133719554</v>
      </c>
    </row>
    <row r="244" spans="1:174">
      <c r="D244" s="74" t="str">
        <f t="shared" si="26"/>
        <v>7149p</v>
      </c>
      <c r="E244" s="78" t="s">
        <v>81</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1392404.68</v>
      </c>
      <c r="FG244" s="41">
        <v>519360.5</v>
      </c>
      <c r="FH244" s="41">
        <v>720883.81</v>
      </c>
      <c r="FI244" s="41">
        <v>887995.83</v>
      </c>
      <c r="FJ244" s="41">
        <v>376418.09</v>
      </c>
      <c r="FK244" s="41">
        <v>729681.57</v>
      </c>
      <c r="FL244" s="41">
        <v>1844605.8128453919</v>
      </c>
      <c r="FM244" s="41">
        <v>628508.80236498977</v>
      </c>
      <c r="FN244" s="41">
        <v>937985.35482457001</v>
      </c>
      <c r="FO244" s="41">
        <v>1627558.8697496764</v>
      </c>
      <c r="FP244" s="41">
        <v>1144694.2395775015</v>
      </c>
      <c r="FQ244" s="41">
        <v>1000206.07743787</v>
      </c>
    </row>
    <row r="245" spans="1:174" s="9" customFormat="1">
      <c r="A245" s="139"/>
      <c r="B245" s="139"/>
      <c r="C245" s="139">
        <v>715</v>
      </c>
      <c r="D245" s="139" t="str">
        <f t="shared" si="26"/>
        <v>715p</v>
      </c>
      <c r="E245" s="140" t="s">
        <v>83</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1567288.04</v>
      </c>
      <c r="FG245" s="445">
        <v>2199531.1</v>
      </c>
      <c r="FH245" s="445">
        <v>3194097.81</v>
      </c>
      <c r="FI245" s="445">
        <v>2385711.15</v>
      </c>
      <c r="FJ245" s="445">
        <v>7159438.3900000006</v>
      </c>
      <c r="FK245" s="445">
        <v>3263135.44</v>
      </c>
      <c r="FL245" s="445">
        <v>3782335.0282840966</v>
      </c>
      <c r="FM245" s="445">
        <v>3340173.0404689522</v>
      </c>
      <c r="FN245" s="445">
        <f>37689732.0664406-35000000</f>
        <v>2689732.0664405972</v>
      </c>
      <c r="FO245" s="445">
        <f>2215962.80977053+35000000</f>
        <v>37215962.809770532</v>
      </c>
      <c r="FP245" s="445">
        <v>3512092.3071244648</v>
      </c>
      <c r="FQ245" s="445">
        <v>7138953.7303113183</v>
      </c>
      <c r="FR245" s="445"/>
    </row>
    <row r="246" spans="1:174">
      <c r="D246" s="74" t="str">
        <f t="shared" si="26"/>
        <v>7151p</v>
      </c>
      <c r="E246" s="78" t="s">
        <v>85</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319074</v>
      </c>
      <c r="FG246" s="41">
        <v>248883.21</v>
      </c>
      <c r="FH246" s="41">
        <v>186917.08</v>
      </c>
      <c r="FI246" s="41">
        <v>63899.67</v>
      </c>
      <c r="FJ246" s="41">
        <v>3605086.71</v>
      </c>
      <c r="FK246" s="41">
        <v>707894.38</v>
      </c>
      <c r="FL246" s="41">
        <v>69107.90889139846</v>
      </c>
      <c r="FM246" s="41">
        <v>21215.989032920785</v>
      </c>
      <c r="FN246" s="41">
        <f>35641038.6596607-35000000</f>
        <v>641038.65966069698</v>
      </c>
      <c r="FO246" s="41">
        <f>29471.3771226292+35000000</f>
        <v>35029471.377122626</v>
      </c>
      <c r="FP246" s="41">
        <v>82517.189184354618</v>
      </c>
      <c r="FQ246" s="41">
        <v>4275778.4187080413</v>
      </c>
    </row>
    <row r="247" spans="1:174" ht="30">
      <c r="D247" s="74" t="str">
        <f t="shared" si="26"/>
        <v>7152p</v>
      </c>
      <c r="E247" s="78" t="s">
        <v>87</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609800.16</v>
      </c>
      <c r="FG247" s="41">
        <v>943704.64</v>
      </c>
      <c r="FH247" s="41">
        <v>1029233.16</v>
      </c>
      <c r="FI247" s="41">
        <v>1018399.18</v>
      </c>
      <c r="FJ247" s="41">
        <v>1673986.28</v>
      </c>
      <c r="FK247" s="41">
        <v>1387978.01</v>
      </c>
      <c r="FL247" s="41">
        <v>1602217.3229380359</v>
      </c>
      <c r="FM247" s="41">
        <v>1482892.3832058141</v>
      </c>
      <c r="FN247" s="41">
        <v>873947.35952687939</v>
      </c>
      <c r="FO247" s="41">
        <v>916958.58916879038</v>
      </c>
      <c r="FP247" s="41">
        <v>740793.46413466823</v>
      </c>
      <c r="FQ247" s="41">
        <v>923598.4442258128</v>
      </c>
    </row>
    <row r="248" spans="1:174" ht="30">
      <c r="D248" s="74" t="str">
        <f t="shared" si="26"/>
        <v>7153p</v>
      </c>
      <c r="E248" s="78" t="s">
        <v>89</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164019.29</v>
      </c>
      <c r="FG248" s="41">
        <v>247340.36</v>
      </c>
      <c r="FH248" s="41">
        <v>328409.52</v>
      </c>
      <c r="FI248" s="41">
        <v>261152.7</v>
      </c>
      <c r="FJ248" s="41">
        <v>230706.4</v>
      </c>
      <c r="FK248" s="41">
        <v>289255.07</v>
      </c>
      <c r="FL248" s="41">
        <v>467099.66567019705</v>
      </c>
      <c r="FM248" s="41">
        <v>259070.77173300716</v>
      </c>
      <c r="FN248" s="41">
        <v>301266.9436190718</v>
      </c>
      <c r="FO248" s="41">
        <v>321644.39806882903</v>
      </c>
      <c r="FP248" s="41">
        <v>283758.85796158406</v>
      </c>
      <c r="FQ248" s="41">
        <v>301622.23954731086</v>
      </c>
    </row>
    <row r="249" spans="1:174">
      <c r="D249" s="74" t="str">
        <f t="shared" si="26"/>
        <v>7155p</v>
      </c>
      <c r="E249" s="78" t="s">
        <v>83</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474394.59</v>
      </c>
      <c r="FG249" s="41">
        <v>759602.89</v>
      </c>
      <c r="FH249" s="41">
        <v>1649538.05</v>
      </c>
      <c r="FI249" s="41">
        <v>1042259.6</v>
      </c>
      <c r="FJ249" s="41">
        <v>1649659</v>
      </c>
      <c r="FK249" s="41">
        <v>878007.98</v>
      </c>
      <c r="FL249" s="41">
        <v>1643910.130784465</v>
      </c>
      <c r="FM249" s="41">
        <v>1576993.8964972103</v>
      </c>
      <c r="FN249" s="41">
        <v>873479.10363403056</v>
      </c>
      <c r="FO249" s="41">
        <v>947888.4454102806</v>
      </c>
      <c r="FP249" s="41">
        <v>2405022.7958438578</v>
      </c>
      <c r="FQ249" s="41">
        <v>1637954.6278301545</v>
      </c>
    </row>
    <row r="250" spans="1:174" s="9" customFormat="1">
      <c r="A250" s="139"/>
      <c r="B250" s="139">
        <v>72</v>
      </c>
      <c r="C250" s="139" t="s">
        <v>94</v>
      </c>
      <c r="D250" s="139" t="str">
        <f t="shared" si="26"/>
        <v>72p</v>
      </c>
      <c r="E250" s="140" t="s">
        <v>95</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97</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99</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101</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69158.880000000005</v>
      </c>
      <c r="FG253" s="9">
        <v>378338.04</v>
      </c>
      <c r="FH253" s="9">
        <v>257172.98</v>
      </c>
      <c r="FI253" s="9">
        <v>349238.34</v>
      </c>
      <c r="FJ253" s="9">
        <v>808656.23</v>
      </c>
      <c r="FK253" s="9">
        <v>1298753.81</v>
      </c>
      <c r="FL253" s="9">
        <v>142080.0960214606</v>
      </c>
      <c r="FM253" s="9">
        <v>117083.56784272524</v>
      </c>
      <c r="FN253" s="9">
        <v>723504.94882674748</v>
      </c>
      <c r="FO253" s="9">
        <v>419152.39381785714</v>
      </c>
      <c r="FP253" s="9">
        <v>3373987.8037220733</v>
      </c>
      <c r="FQ253" s="9">
        <v>574536.91176913551</v>
      </c>
    </row>
    <row r="254" spans="1:174">
      <c r="B254" s="74" t="s">
        <v>94</v>
      </c>
      <c r="C254" s="74">
        <v>731</v>
      </c>
      <c r="D254" s="74" t="str">
        <f t="shared" si="26"/>
        <v>7311p</v>
      </c>
      <c r="E254" s="78" t="s">
        <v>103</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69158.880000000005</v>
      </c>
      <c r="FG254" s="41">
        <v>378338.04</v>
      </c>
      <c r="FH254" s="41">
        <v>257172.98</v>
      </c>
      <c r="FI254" s="41">
        <v>349238.34</v>
      </c>
      <c r="FJ254" s="41">
        <v>808656.23</v>
      </c>
      <c r="FK254" s="41">
        <v>1298753.81</v>
      </c>
      <c r="FL254" s="41">
        <v>142080.0960214606</v>
      </c>
      <c r="FM254" s="41">
        <v>117083.56784272524</v>
      </c>
      <c r="FN254" s="41">
        <v>723504.94882674748</v>
      </c>
      <c r="FO254" s="41">
        <v>419152.39381785714</v>
      </c>
      <c r="FP254" s="41">
        <v>3373987.8037220733</v>
      </c>
      <c r="FQ254" s="41">
        <v>574536.91176913551</v>
      </c>
    </row>
    <row r="255" spans="1:174" ht="30">
      <c r="C255" s="74">
        <v>732</v>
      </c>
      <c r="D255" s="74" t="str">
        <f t="shared" si="26"/>
        <v>7321p</v>
      </c>
      <c r="E255" s="78" t="s">
        <v>105</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94</v>
      </c>
      <c r="D256" s="139" t="str">
        <f t="shared" si="26"/>
        <v>74p</v>
      </c>
      <c r="E256" s="140" t="s">
        <v>107</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13526711.25</v>
      </c>
      <c r="FG256" s="9">
        <v>1001055.74</v>
      </c>
      <c r="FH256" s="9">
        <v>861265.77</v>
      </c>
      <c r="FI256" s="9">
        <v>627154.51</v>
      </c>
      <c r="FJ256" s="9">
        <v>1388870.5</v>
      </c>
      <c r="FK256" s="9">
        <v>827810.06</v>
      </c>
      <c r="FL256" s="9">
        <v>1487222.9580633398</v>
      </c>
      <c r="FM256" s="9">
        <v>1494727.7085961688</v>
      </c>
      <c r="FN256" s="9">
        <v>1256927.0639557138</v>
      </c>
      <c r="FO256" s="9">
        <v>2914661.9432842401</v>
      </c>
      <c r="FP256" s="9">
        <v>9560814.8118033875</v>
      </c>
      <c r="FQ256" s="9">
        <v>9532777.6842971519</v>
      </c>
    </row>
    <row r="257" spans="1:174">
      <c r="C257" s="74">
        <v>741</v>
      </c>
      <c r="D257" s="74" t="str">
        <f t="shared" si="26"/>
        <v>7411p</v>
      </c>
      <c r="E257" s="78" t="s">
        <v>109</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13526711.25</v>
      </c>
      <c r="FG257" s="41">
        <v>1001055.74</v>
      </c>
      <c r="FH257" s="41">
        <v>861265.77</v>
      </c>
      <c r="FI257" s="41">
        <v>627154.51</v>
      </c>
      <c r="FJ257" s="41">
        <v>1388870.5</v>
      </c>
      <c r="FK257" s="41">
        <v>827810.06</v>
      </c>
      <c r="FL257" s="41">
        <v>1487222.9580633398</v>
      </c>
      <c r="FM257" s="41">
        <v>1494727.7085961688</v>
      </c>
      <c r="FN257" s="41">
        <v>1256927.0639557138</v>
      </c>
      <c r="FO257" s="41">
        <v>2914661.9432842401</v>
      </c>
      <c r="FP257" s="41">
        <v>9560814.8118033875</v>
      </c>
      <c r="FQ257" s="41">
        <v>9532777.6842971519</v>
      </c>
    </row>
    <row r="258" spans="1:174">
      <c r="C258" s="74">
        <v>742</v>
      </c>
      <c r="D258" s="74" t="str">
        <f t="shared" si="26"/>
        <v>7421p</v>
      </c>
      <c r="E258" s="78" t="s">
        <v>111</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113</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115</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13983087.501553783</v>
      </c>
    </row>
    <row r="261" spans="1:174" ht="30">
      <c r="D261" s="74" t="str">
        <f t="shared" si="26"/>
        <v>7511p</v>
      </c>
      <c r="E261" s="78" t="s">
        <v>116</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118</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13983087.501553783</v>
      </c>
    </row>
    <row r="263" spans="1:174">
      <c r="A263" s="74">
        <v>4</v>
      </c>
      <c r="B263" s="74" t="s">
        <v>94</v>
      </c>
      <c r="D263" s="74" t="str">
        <f t="shared" si="26"/>
        <v>p</v>
      </c>
      <c r="E263" s="78" t="s">
        <v>120</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94</v>
      </c>
      <c r="B264" s="74">
        <v>41</v>
      </c>
      <c r="D264" s="74" t="str">
        <f t="shared" si="26"/>
        <v>41p</v>
      </c>
      <c r="E264" s="78" t="s">
        <v>122</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124</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38858179.001666702</v>
      </c>
      <c r="FR265" s="403">
        <v>472059398.15000004</v>
      </c>
    </row>
    <row r="266" spans="1:174">
      <c r="D266" s="74" t="str">
        <f t="shared" si="26"/>
        <v>4111p</v>
      </c>
      <c r="E266" s="78" t="s">
        <v>126</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128</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129</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131</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133</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135</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1240174.31083333</v>
      </c>
      <c r="FR271" s="403">
        <v>15072625.449999999</v>
      </c>
    </row>
    <row r="272" spans="1:174">
      <c r="D272" s="74" t="str">
        <f t="shared" si="41"/>
        <v>4121p</v>
      </c>
      <c r="E272" s="78" t="s">
        <v>137</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139</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141</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143</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145</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147</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81</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150</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152</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154</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156</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158</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160</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162</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164</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5059087.2374999989</v>
      </c>
      <c r="FM286" s="403">
        <v>5071091.2374999989</v>
      </c>
      <c r="FN286" s="403">
        <v>5175886.7374999989</v>
      </c>
      <c r="FO286" s="403">
        <v>5062253.3274999987</v>
      </c>
      <c r="FP286" s="403">
        <v>5061881.6574999988</v>
      </c>
      <c r="FQ286" s="403">
        <v>5000451.0074999994</v>
      </c>
      <c r="FR286" s="403">
        <v>63045731.57</v>
      </c>
    </row>
    <row r="287" spans="1:174">
      <c r="D287" s="74" t="str">
        <f t="shared" si="41"/>
        <v>4141p</v>
      </c>
      <c r="E287" s="78" t="s">
        <v>166</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168</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170</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172</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174</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176</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178</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180</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182</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184</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186</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188</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190</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192</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194</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196</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198</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200</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202</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204</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206</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208</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210</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212</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214</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4122049.5508333351</v>
      </c>
      <c r="FM311" s="403">
        <v>3027649.6708333334</v>
      </c>
      <c r="FN311" s="403">
        <v>2986649.6408333336</v>
      </c>
      <c r="FO311" s="403">
        <v>2977759.6208333336</v>
      </c>
      <c r="FP311" s="403">
        <v>3014504.6508333334</v>
      </c>
      <c r="FQ311" s="403">
        <v>2914612.7408333337</v>
      </c>
      <c r="FR311" s="403">
        <v>42096323.400000006</v>
      </c>
    </row>
    <row r="312" spans="1:174" ht="30">
      <c r="D312" s="74" t="str">
        <f t="shared" si="57"/>
        <v>4191p</v>
      </c>
      <c r="E312" s="78" t="s">
        <v>216</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218</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220</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222</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224</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226</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228</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49</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230</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94</v>
      </c>
      <c r="D321" s="139" t="str">
        <f t="shared" si="57"/>
        <v>p</v>
      </c>
      <c r="E321" s="140" t="s">
        <v>232</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47329512.010000005</v>
      </c>
      <c r="FP321" s="403">
        <v>47329512.010000005</v>
      </c>
      <c r="FQ321" s="403">
        <v>47329512.010000005</v>
      </c>
      <c r="FR321" s="403">
        <v>554472497.81999993</v>
      </c>
    </row>
    <row r="322" spans="1:174" s="9" customFormat="1">
      <c r="A322" s="139"/>
      <c r="B322" s="139"/>
      <c r="C322" s="139">
        <v>421</v>
      </c>
      <c r="D322" s="139" t="str">
        <f t="shared" si="57"/>
        <v>421p</v>
      </c>
      <c r="E322" s="140" t="s">
        <v>234</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94</v>
      </c>
      <c r="D323" s="74" t="str">
        <f t="shared" si="57"/>
        <v>4211p</v>
      </c>
      <c r="E323" s="78" t="s">
        <v>236</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238</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240</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242</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244</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246</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248</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250</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2359394.0699999998</v>
      </c>
      <c r="FP330" s="403">
        <v>2359394.0699999998</v>
      </c>
      <c r="FQ330" s="403">
        <v>2359394.0699999998</v>
      </c>
      <c r="FR330" s="403">
        <v>14832382.369999997</v>
      </c>
    </row>
    <row r="331" spans="1:174">
      <c r="D331" s="74" t="str">
        <f t="shared" si="73"/>
        <v>4221p</v>
      </c>
      <c r="E331" s="78" t="s">
        <v>252</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254</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256</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258</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230</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261</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263</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265</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267</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63</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270</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272</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274</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276</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278</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280</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282</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284</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286</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94</v>
      </c>
      <c r="B350" s="139">
        <v>43</v>
      </c>
      <c r="C350" s="139"/>
      <c r="D350" s="139" t="str">
        <f t="shared" si="73"/>
        <v>43p</v>
      </c>
      <c r="E350" s="140" t="s">
        <v>288</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22848909.595000003</v>
      </c>
      <c r="FM350" s="403">
        <v>17972208.524999999</v>
      </c>
      <c r="FN350" s="403">
        <v>17992208.524999999</v>
      </c>
      <c r="FO350" s="403">
        <v>17923875.184999999</v>
      </c>
      <c r="FP350" s="403">
        <v>17866375.204999998</v>
      </c>
      <c r="FQ350" s="403">
        <v>18024758.024999999</v>
      </c>
      <c r="FR350" s="403">
        <v>208898534.95999995</v>
      </c>
    </row>
    <row r="351" spans="1:174" s="9" customFormat="1" ht="45">
      <c r="A351" s="139" t="s">
        <v>94</v>
      </c>
      <c r="B351" s="139" t="s">
        <v>94</v>
      </c>
      <c r="C351" s="139">
        <v>431</v>
      </c>
      <c r="D351" s="139" t="str">
        <f t="shared" si="73"/>
        <v>431p</v>
      </c>
      <c r="E351" s="140" t="s">
        <v>288</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290</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292</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294</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296</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298</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300</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302</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304</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306</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94</v>
      </c>
      <c r="B361" s="139" t="s">
        <v>94</v>
      </c>
      <c r="C361" s="139">
        <v>432</v>
      </c>
      <c r="D361" s="139" t="str">
        <f t="shared" si="73"/>
        <v>432p</v>
      </c>
      <c r="E361" s="140" t="s">
        <v>308</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310</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312</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314</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316</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318</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320</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549</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14243749.989999998</v>
      </c>
      <c r="FQ368" s="403">
        <v>14243750.109999999</v>
      </c>
      <c r="FR368" s="403">
        <v>320925000</v>
      </c>
    </row>
    <row r="369" spans="1:174" s="9" customFormat="1" ht="30">
      <c r="A369" s="139"/>
      <c r="B369" s="139"/>
      <c r="C369" s="139">
        <v>441</v>
      </c>
      <c r="D369" s="139" t="str">
        <f t="shared" si="95"/>
        <v>440p</v>
      </c>
      <c r="E369" s="140" t="s">
        <v>420</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5014205.3275000015</v>
      </c>
      <c r="FM369" s="403">
        <v>4967667.1475000018</v>
      </c>
      <c r="FN369" s="403">
        <v>4972709.1475000018</v>
      </c>
      <c r="FO369" s="403">
        <v>4947709.1475000018</v>
      </c>
      <c r="FP369" s="403">
        <v>4786209.1475000018</v>
      </c>
      <c r="FQ369" s="403">
        <v>4798442.6775000012</v>
      </c>
      <c r="FR369" s="403">
        <v>56657059.620000012</v>
      </c>
    </row>
    <row r="370" spans="1:174" ht="30">
      <c r="D370" s="74" t="str">
        <f t="shared" si="95"/>
        <v>4411p</v>
      </c>
      <c r="E370" s="78" t="s">
        <v>324</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326</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328</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330</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332</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334</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336</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338</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340</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94</v>
      </c>
      <c r="B379" s="139">
        <v>45</v>
      </c>
      <c r="C379" s="139"/>
      <c r="D379" s="139" t="str">
        <f t="shared" si="95"/>
        <v>p</v>
      </c>
      <c r="E379" s="140" t="s">
        <v>342</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115</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344</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346</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348</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350</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352</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94</v>
      </c>
      <c r="B386" s="139">
        <v>46</v>
      </c>
      <c r="C386" s="139"/>
      <c r="D386" s="139" t="str">
        <f t="shared" si="95"/>
        <v>p</v>
      </c>
      <c r="E386" s="140" t="s">
        <v>354</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356</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357</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359</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361</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2253720.0299999998</v>
      </c>
      <c r="FG390" s="9">
        <v>0</v>
      </c>
      <c r="FH390" s="9">
        <v>7180952.3800000008</v>
      </c>
      <c r="FI390" s="9">
        <v>0</v>
      </c>
      <c r="FJ390" s="9">
        <v>0</v>
      </c>
      <c r="FK390" s="9">
        <v>0</v>
      </c>
      <c r="FL390" s="9">
        <v>0</v>
      </c>
      <c r="FM390" s="9">
        <v>0</v>
      </c>
      <c r="FN390" s="9">
        <v>0</v>
      </c>
      <c r="FO390" s="9">
        <v>0</v>
      </c>
      <c r="FP390" s="9">
        <v>0</v>
      </c>
      <c r="FQ390" s="9">
        <v>0</v>
      </c>
      <c r="FR390" s="9">
        <v>0</v>
      </c>
    </row>
    <row r="391" spans="1:174">
      <c r="D391" s="74" t="str">
        <f t="shared" si="95"/>
        <v>4621p</v>
      </c>
      <c r="E391" s="78" t="s">
        <v>363</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365</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367</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1533053.84</v>
      </c>
      <c r="FR393" s="403">
        <v>18530001</v>
      </c>
    </row>
    <row r="394" spans="1:174" s="9" customFormat="1">
      <c r="A394" s="139" t="s">
        <v>94</v>
      </c>
      <c r="B394" s="139">
        <v>47</v>
      </c>
      <c r="C394" s="139"/>
      <c r="D394" s="139" t="str">
        <f t="shared" ref="D394:D397" si="113">+CONCATENATE(D185,"p")</f>
        <v>47p</v>
      </c>
      <c r="E394" s="140" t="s">
        <v>369</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4650583.3333333302</v>
      </c>
      <c r="FM394" s="403">
        <v>1650583.3333333333</v>
      </c>
      <c r="FN394" s="403">
        <v>1650583.3333333333</v>
      </c>
      <c r="FO394" s="403">
        <v>2317250</v>
      </c>
      <c r="FP394" s="403">
        <v>2317250</v>
      </c>
      <c r="FQ394" s="403">
        <v>2317250</v>
      </c>
      <c r="FR394" s="403">
        <v>20000000</v>
      </c>
    </row>
    <row r="395" spans="1:174">
      <c r="A395" s="74" t="s">
        <v>94</v>
      </c>
      <c r="B395" s="74" t="s">
        <v>94</v>
      </c>
      <c r="C395" s="74">
        <v>471</v>
      </c>
      <c r="D395" s="74" t="str">
        <f t="shared" si="113"/>
        <v>4710p</v>
      </c>
      <c r="E395" s="78" t="s">
        <v>371</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f>1650583.33333333+3000000</f>
        <v>4650583.3333333302</v>
      </c>
      <c r="FM395" s="446">
        <v>1650583.3333333333</v>
      </c>
      <c r="FN395" s="446">
        <v>1650583.3333333333</v>
      </c>
      <c r="FO395" s="446">
        <f>3317250-1000000</f>
        <v>2317250</v>
      </c>
      <c r="FP395" s="446">
        <f>3317250-1000000</f>
        <v>2317250</v>
      </c>
      <c r="FQ395" s="446">
        <f>3317250-1000000</f>
        <v>2317250</v>
      </c>
      <c r="FR395" s="446">
        <v>20000000</v>
      </c>
    </row>
    <row r="396" spans="1:174">
      <c r="C396" s="74">
        <v>472</v>
      </c>
      <c r="D396" s="74" t="str">
        <f t="shared" si="113"/>
        <v>4720p</v>
      </c>
      <c r="E396" s="78" t="s">
        <v>373</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375</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694</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BZ6:CK6"/>
    <mergeCell ref="CL6:CW6"/>
    <mergeCell ref="CX6:DI6"/>
    <mergeCell ref="DJ6:DU6"/>
    <mergeCell ref="F6:Q6"/>
    <mergeCell ref="R6:AC6"/>
    <mergeCell ref="AD6:AO6"/>
    <mergeCell ref="AP6:BA6"/>
    <mergeCell ref="BB6:BM6"/>
    <mergeCell ref="BN6:BY6"/>
    <mergeCell ref="E6:E7"/>
    <mergeCell ref="E215:E216"/>
    <mergeCell ref="F215:Q215"/>
    <mergeCell ref="R215:AC215"/>
    <mergeCell ref="AD215:AO215"/>
    <mergeCell ref="CX215:DI215"/>
    <mergeCell ref="DJ215:DU215"/>
    <mergeCell ref="AP215:BA215"/>
    <mergeCell ref="BB215:BM215"/>
    <mergeCell ref="BN215:BY215"/>
    <mergeCell ref="BZ215:CK215"/>
    <mergeCell ref="CL215:CW215"/>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10</v>
      </c>
      <c r="C3" s="56" t="s">
        <v>1</v>
      </c>
      <c r="E3" s="9" t="s">
        <v>2</v>
      </c>
      <c r="F3" s="10" t="s">
        <v>3</v>
      </c>
      <c r="G3" s="52" t="str">
        <f>+IF(ISBLANK(IF($B$2=1,E3,F3)),"",IF($B$2=1,E3,F3))</f>
        <v>Engleski</v>
      </c>
    </row>
    <row r="4" spans="2:7" ht="15.75" thickBot="1">
      <c r="B4" s="305">
        <v>2019</v>
      </c>
      <c r="C4" s="56" t="s">
        <v>689</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792</v>
      </c>
      <c r="F8" s="34" t="s">
        <v>797</v>
      </c>
      <c r="G8" s="53" t="str">
        <f t="shared" si="0"/>
        <v>Directorate for State Budget</v>
      </c>
    </row>
    <row r="9" spans="2:7">
      <c r="D9" s="39"/>
      <c r="E9" s="40"/>
      <c r="F9" s="40"/>
      <c r="G9" s="54" t="str">
        <f t="shared" si="0"/>
        <v/>
      </c>
    </row>
    <row r="10" spans="2:7">
      <c r="D10" s="41" t="s">
        <v>9</v>
      </c>
      <c r="E10" s="11" t="s">
        <v>10</v>
      </c>
      <c r="F10" s="12" t="s">
        <v>11</v>
      </c>
      <c r="G10" s="52" t="str">
        <f t="shared" si="0"/>
        <v>Analytics Tab</v>
      </c>
    </row>
    <row r="11" spans="2:7">
      <c r="D11" s="41"/>
      <c r="E11" s="11" t="s">
        <v>776</v>
      </c>
      <c r="F11" s="12" t="s">
        <v>777</v>
      </c>
      <c r="G11" s="52" t="str">
        <f t="shared" si="0"/>
        <v>Montly Data 2019</v>
      </c>
    </row>
    <row r="12" spans="2:7">
      <c r="D12" s="41"/>
      <c r="E12" s="11" t="s">
        <v>774</v>
      </c>
      <c r="F12" s="12" t="s">
        <v>775</v>
      </c>
      <c r="G12" s="52" t="str">
        <f t="shared" si="0"/>
        <v>Montly Data 2018</v>
      </c>
    </row>
    <row r="13" spans="2:7">
      <c r="D13" s="41"/>
      <c r="E13" s="11" t="s">
        <v>749</v>
      </c>
      <c r="F13" s="12" t="s">
        <v>750</v>
      </c>
      <c r="G13" s="52" t="str">
        <f t="shared" si="0"/>
        <v>Montly Data 2017</v>
      </c>
    </row>
    <row r="14" spans="2:7">
      <c r="D14" s="41"/>
      <c r="E14" s="11" t="s">
        <v>727</v>
      </c>
      <c r="F14" s="12" t="s">
        <v>728</v>
      </c>
      <c r="G14" s="52" t="str">
        <f t="shared" si="0"/>
        <v>Montly Data 2016</v>
      </c>
    </row>
    <row r="15" spans="2:7">
      <c r="E15" s="11" t="s">
        <v>698</v>
      </c>
      <c r="F15" s="12" t="s">
        <v>699</v>
      </c>
      <c r="G15" s="52" t="str">
        <f t="shared" si="0"/>
        <v>Montly Data 2015</v>
      </c>
    </row>
    <row r="16" spans="2:7">
      <c r="E16" s="11" t="s">
        <v>12</v>
      </c>
      <c r="F16" s="12" t="s">
        <v>13</v>
      </c>
      <c r="G16" s="52" t="str">
        <f t="shared" si="0"/>
        <v>Montly Data 2014</v>
      </c>
    </row>
    <row r="17" spans="2:7">
      <c r="E17" s="11" t="s">
        <v>14</v>
      </c>
      <c r="F17" s="12" t="s">
        <v>15</v>
      </c>
      <c r="G17" s="52" t="str">
        <f t="shared" si="0"/>
        <v>Montly Data 2013</v>
      </c>
    </row>
    <row r="18" spans="2:7">
      <c r="E18" s="11" t="s">
        <v>751</v>
      </c>
      <c r="F18" s="12" t="s">
        <v>752</v>
      </c>
      <c r="G18" s="52" t="str">
        <f t="shared" si="0"/>
        <v>Montly Data 2012</v>
      </c>
    </row>
    <row r="19" spans="2:7">
      <c r="E19" s="11" t="s">
        <v>753</v>
      </c>
      <c r="F19" s="12" t="s">
        <v>754</v>
      </c>
      <c r="G19" s="52" t="str">
        <f t="shared" si="0"/>
        <v>Montly Data 2011</v>
      </c>
    </row>
    <row r="20" spans="2:7">
      <c r="E20" s="11" t="s">
        <v>16</v>
      </c>
      <c r="F20" s="12" t="s">
        <v>407</v>
      </c>
      <c r="G20" s="52" t="str">
        <f t="shared" si="0"/>
        <v>Historical Data, since 2006</v>
      </c>
    </row>
    <row r="21" spans="2:7">
      <c r="E21" s="11" t="s">
        <v>17</v>
      </c>
      <c r="F21" s="12" t="s">
        <v>18</v>
      </c>
      <c r="G21" s="52" t="str">
        <f t="shared" si="0"/>
        <v>Public Debt</v>
      </c>
    </row>
    <row r="22" spans="2:7">
      <c r="E22" s="11" t="s">
        <v>414</v>
      </c>
      <c r="F22" s="12" t="s">
        <v>414</v>
      </c>
      <c r="G22" s="52" t="str">
        <f t="shared" si="0"/>
        <v>Plan</v>
      </c>
    </row>
    <row r="23" spans="2:7">
      <c r="E23" s="11" t="s">
        <v>415</v>
      </c>
      <c r="F23" s="12" t="s">
        <v>416</v>
      </c>
      <c r="G23" s="52" t="str">
        <f t="shared" si="0"/>
        <v>Execution</v>
      </c>
    </row>
    <row r="24" spans="2:7">
      <c r="D24" s="43"/>
      <c r="E24" s="33" t="s">
        <v>417</v>
      </c>
      <c r="F24" s="34" t="s">
        <v>418</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690</v>
      </c>
      <c r="F27" s="16" t="s">
        <v>20</v>
      </c>
      <c r="G27" s="52" t="str">
        <f t="shared" si="0"/>
        <v>Total Revenues</v>
      </c>
    </row>
    <row r="28" spans="2:7">
      <c r="B28" s="13"/>
      <c r="C28" s="45"/>
      <c r="D28" s="45">
        <v>71</v>
      </c>
      <c r="E28" s="15" t="s">
        <v>21</v>
      </c>
      <c r="F28" s="16" t="s">
        <v>22</v>
      </c>
      <c r="G28" s="52" t="str">
        <f t="shared" si="0"/>
        <v>Current Revenues</v>
      </c>
    </row>
    <row r="29" spans="2:7">
      <c r="B29" s="17"/>
      <c r="C29" s="46"/>
      <c r="D29" s="45">
        <v>711</v>
      </c>
      <c r="E29" s="18" t="s">
        <v>23</v>
      </c>
      <c r="F29" s="19" t="s">
        <v>24</v>
      </c>
      <c r="G29" s="52" t="str">
        <f t="shared" si="0"/>
        <v>Taxes</v>
      </c>
    </row>
    <row r="30" spans="2:7">
      <c r="B30" s="17"/>
      <c r="C30" s="47"/>
      <c r="D30" s="47">
        <v>7111</v>
      </c>
      <c r="E30" s="21" t="s">
        <v>25</v>
      </c>
      <c r="F30" s="22" t="s">
        <v>26</v>
      </c>
      <c r="G30" s="52" t="str">
        <f t="shared" si="0"/>
        <v>Personal Income Tax</v>
      </c>
    </row>
    <row r="31" spans="2:7">
      <c r="B31" s="20"/>
      <c r="C31" s="47"/>
      <c r="D31" s="47">
        <v>7112</v>
      </c>
      <c r="E31" s="21" t="s">
        <v>27</v>
      </c>
      <c r="F31" s="22" t="s">
        <v>28</v>
      </c>
      <c r="G31" s="52" t="str">
        <f t="shared" si="0"/>
        <v>Corporate Income Tax</v>
      </c>
    </row>
    <row r="32" spans="2:7">
      <c r="B32" s="20"/>
      <c r="C32" s="47"/>
      <c r="D32" s="47">
        <v>7113</v>
      </c>
      <c r="E32" s="21" t="s">
        <v>29</v>
      </c>
      <c r="F32" s="22" t="s">
        <v>30</v>
      </c>
      <c r="G32" s="52" t="str">
        <f t="shared" si="0"/>
        <v xml:space="preserve">Taxes on Sales of Property </v>
      </c>
    </row>
    <row r="33" spans="2:7">
      <c r="B33" s="20"/>
      <c r="C33" s="47"/>
      <c r="D33" s="47">
        <v>7114</v>
      </c>
      <c r="E33" s="21" t="s">
        <v>31</v>
      </c>
      <c r="F33" s="22" t="s">
        <v>32</v>
      </c>
      <c r="G33" s="52" t="str">
        <f t="shared" si="0"/>
        <v>Value Added Tax</v>
      </c>
    </row>
    <row r="34" spans="2:7">
      <c r="B34" s="20"/>
      <c r="C34" s="47"/>
      <c r="D34" s="47">
        <v>7115</v>
      </c>
      <c r="E34" s="21" t="s">
        <v>33</v>
      </c>
      <c r="F34" s="22" t="s">
        <v>34</v>
      </c>
      <c r="G34" s="52" t="str">
        <f t="shared" si="0"/>
        <v>Excises</v>
      </c>
    </row>
    <row r="35" spans="2:7">
      <c r="B35" s="20"/>
      <c r="C35" s="47"/>
      <c r="D35" s="47">
        <v>7116</v>
      </c>
      <c r="E35" s="21" t="s">
        <v>35</v>
      </c>
      <c r="F35" s="22" t="s">
        <v>36</v>
      </c>
      <c r="G35" s="52" t="str">
        <f t="shared" si="0"/>
        <v>Tax on International Trade and Transactions</v>
      </c>
    </row>
    <row r="36" spans="2:7">
      <c r="B36" s="20"/>
      <c r="C36" s="47"/>
      <c r="D36" s="47"/>
      <c r="E36" s="21"/>
      <c r="F36" s="22"/>
    </row>
    <row r="37" spans="2:7">
      <c r="B37" s="20"/>
      <c r="C37" s="47"/>
      <c r="D37" s="47">
        <v>7118</v>
      </c>
      <c r="E37" s="21" t="s">
        <v>733</v>
      </c>
      <c r="F37" s="22" t="s">
        <v>38</v>
      </c>
      <c r="G37" s="52" t="str">
        <f t="shared" si="0"/>
        <v>Other Republic Taxes</v>
      </c>
    </row>
    <row r="38" spans="2:7">
      <c r="B38" s="20"/>
      <c r="C38" s="46"/>
      <c r="D38" s="45">
        <v>712</v>
      </c>
      <c r="E38" s="18" t="s">
        <v>39</v>
      </c>
      <c r="F38" s="19" t="s">
        <v>40</v>
      </c>
      <c r="G38" s="52" t="str">
        <f t="shared" si="0"/>
        <v>Contributions</v>
      </c>
    </row>
    <row r="39" spans="2:7">
      <c r="B39" s="17"/>
      <c r="C39" s="47"/>
      <c r="D39" s="47">
        <v>7121</v>
      </c>
      <c r="E39" s="21" t="s">
        <v>41</v>
      </c>
      <c r="F39" s="22" t="s">
        <v>42</v>
      </c>
      <c r="G39" s="52" t="str">
        <f t="shared" si="0"/>
        <v>Contributions for Pension and Disability Insurance</v>
      </c>
    </row>
    <row r="40" spans="2:7">
      <c r="B40" s="20"/>
      <c r="C40" s="47"/>
      <c r="D40" s="47">
        <v>7122</v>
      </c>
      <c r="E40" s="21" t="s">
        <v>43</v>
      </c>
      <c r="F40" s="22" t="s">
        <v>44</v>
      </c>
      <c r="G40" s="52" t="str">
        <f t="shared" si="0"/>
        <v>Contributions for Health Insurance</v>
      </c>
    </row>
    <row r="41" spans="2:7">
      <c r="B41" s="20"/>
      <c r="C41" s="47"/>
      <c r="D41" s="47">
        <v>7123</v>
      </c>
      <c r="E41" s="21" t="s">
        <v>45</v>
      </c>
      <c r="F41" s="22" t="s">
        <v>46</v>
      </c>
      <c r="G41" s="52" t="str">
        <f t="shared" si="0"/>
        <v>Contributions for  Unemployment Insurance</v>
      </c>
    </row>
    <row r="42" spans="2:7">
      <c r="B42" s="20"/>
      <c r="C42" s="47"/>
      <c r="D42" s="47">
        <v>7124</v>
      </c>
      <c r="E42" s="21" t="s">
        <v>47</v>
      </c>
      <c r="F42" s="22" t="s">
        <v>48</v>
      </c>
      <c r="G42" s="52" t="str">
        <f t="shared" si="0"/>
        <v>Other contributions</v>
      </c>
    </row>
    <row r="43" spans="2:7">
      <c r="B43" s="20"/>
      <c r="C43" s="46"/>
      <c r="D43" s="45">
        <v>713</v>
      </c>
      <c r="E43" s="18" t="s">
        <v>49</v>
      </c>
      <c r="F43" s="19" t="s">
        <v>50</v>
      </c>
      <c r="G43" s="52" t="str">
        <f t="shared" si="0"/>
        <v>Duties</v>
      </c>
    </row>
    <row r="44" spans="2:7">
      <c r="B44" s="17"/>
      <c r="C44" s="47"/>
      <c r="D44" s="47">
        <v>7131</v>
      </c>
      <c r="E44" s="21" t="s">
        <v>51</v>
      </c>
      <c r="F44" s="22" t="s">
        <v>52</v>
      </c>
      <c r="G44" s="52" t="str">
        <f t="shared" si="0"/>
        <v>Administrative Duties</v>
      </c>
    </row>
    <row r="45" spans="2:7">
      <c r="B45" s="20"/>
      <c r="C45" s="47"/>
      <c r="D45" s="47">
        <v>7132</v>
      </c>
      <c r="E45" s="21" t="s">
        <v>53</v>
      </c>
      <c r="F45" s="22" t="s">
        <v>54</v>
      </c>
      <c r="G45" s="52" t="str">
        <f t="shared" si="0"/>
        <v>Court Duties</v>
      </c>
    </row>
    <row r="46" spans="2:7">
      <c r="B46" s="20"/>
      <c r="C46" s="47"/>
      <c r="D46" s="47">
        <v>7133</v>
      </c>
      <c r="E46" s="21" t="s">
        <v>55</v>
      </c>
      <c r="F46" s="22" t="s">
        <v>56</v>
      </c>
      <c r="G46" s="52" t="str">
        <f t="shared" si="0"/>
        <v>Residential Duties</v>
      </c>
    </row>
    <row r="47" spans="2:7">
      <c r="B47" s="20"/>
      <c r="C47" s="47"/>
      <c r="D47" s="47">
        <v>7134</v>
      </c>
      <c r="E47" s="21" t="s">
        <v>57</v>
      </c>
      <c r="F47" s="22" t="s">
        <v>58</v>
      </c>
      <c r="G47" s="52" t="str">
        <f t="shared" si="0"/>
        <v>Registration Duties</v>
      </c>
    </row>
    <row r="48" spans="2:7">
      <c r="B48" s="20"/>
      <c r="C48" s="47"/>
      <c r="D48" s="47">
        <v>7135</v>
      </c>
      <c r="E48" s="21" t="s">
        <v>59</v>
      </c>
      <c r="F48" s="22" t="s">
        <v>60</v>
      </c>
      <c r="G48" s="52" t="str">
        <f t="shared" si="0"/>
        <v>Local Duties</v>
      </c>
    </row>
    <row r="49" spans="2:7">
      <c r="B49" s="20"/>
      <c r="C49" s="47"/>
      <c r="D49" s="47">
        <v>7136</v>
      </c>
      <c r="E49" s="21" t="s">
        <v>61</v>
      </c>
      <c r="F49" s="22" t="s">
        <v>62</v>
      </c>
      <c r="G49" s="52" t="str">
        <f t="shared" si="0"/>
        <v>Other duties</v>
      </c>
    </row>
    <row r="50" spans="2:7">
      <c r="B50" s="20"/>
      <c r="C50" s="46"/>
      <c r="D50" s="45">
        <v>714</v>
      </c>
      <c r="E50" s="18" t="s">
        <v>63</v>
      </c>
      <c r="F50" s="19" t="s">
        <v>64</v>
      </c>
      <c r="G50" s="52" t="str">
        <f t="shared" si="0"/>
        <v>Fees</v>
      </c>
    </row>
    <row r="51" spans="2:7" ht="23.25">
      <c r="B51" s="17"/>
      <c r="C51" s="47"/>
      <c r="D51" s="47">
        <v>7141</v>
      </c>
      <c r="E51" s="21" t="s">
        <v>65</v>
      </c>
      <c r="F51" s="22" t="s">
        <v>66</v>
      </c>
      <c r="G51" s="52" t="str">
        <f t="shared" si="0"/>
        <v>Fees for Use of Goods of Common Interest</v>
      </c>
    </row>
    <row r="52" spans="2:7">
      <c r="B52" s="20"/>
      <c r="C52" s="47"/>
      <c r="D52" s="47">
        <v>7142</v>
      </c>
      <c r="E52" s="21" t="s">
        <v>67</v>
      </c>
      <c r="F52" s="22" t="s">
        <v>68</v>
      </c>
      <c r="G52" s="52" t="str">
        <f t="shared" si="0"/>
        <v>Fees for Use of Natural Resources</v>
      </c>
    </row>
    <row r="53" spans="2:7">
      <c r="B53" s="20"/>
      <c r="C53" s="47"/>
      <c r="D53" s="47">
        <v>7143</v>
      </c>
      <c r="E53" s="21" t="s">
        <v>69</v>
      </c>
      <c r="F53" s="22" t="s">
        <v>70</v>
      </c>
      <c r="G53" s="52" t="str">
        <f t="shared" si="0"/>
        <v>Ecological Fees</v>
      </c>
    </row>
    <row r="54" spans="2:7">
      <c r="B54" s="20"/>
      <c r="C54" s="47"/>
      <c r="D54" s="47">
        <v>7144</v>
      </c>
      <c r="E54" s="21" t="s">
        <v>71</v>
      </c>
      <c r="F54" s="22" t="s">
        <v>72</v>
      </c>
      <c r="G54" s="52" t="str">
        <f t="shared" si="0"/>
        <v>Fees for Organizing Games of Chance</v>
      </c>
    </row>
    <row r="55" spans="2:7">
      <c r="B55" s="20"/>
      <c r="C55" s="47"/>
      <c r="D55" s="47">
        <v>7145</v>
      </c>
      <c r="E55" s="21" t="s">
        <v>73</v>
      </c>
      <c r="F55" s="22" t="s">
        <v>74</v>
      </c>
      <c r="G55" s="52" t="str">
        <f t="shared" si="0"/>
        <v>Fees for Usage of Construction Land</v>
      </c>
    </row>
    <row r="56" spans="2:7" ht="23.25">
      <c r="B56" s="20"/>
      <c r="C56" s="47"/>
      <c r="D56" s="47">
        <v>7146</v>
      </c>
      <c r="E56" s="21" t="s">
        <v>75</v>
      </c>
      <c r="F56" s="22" t="s">
        <v>76</v>
      </c>
      <c r="G56" s="52" t="str">
        <f t="shared" si="0"/>
        <v xml:space="preserve">Fees for Regulation and Upkeep of Construction Land </v>
      </c>
    </row>
    <row r="57" spans="2:7" ht="34.5">
      <c r="B57" s="20"/>
      <c r="C57" s="47"/>
      <c r="D57" s="47">
        <v>7147</v>
      </c>
      <c r="E57" s="21" t="s">
        <v>77</v>
      </c>
      <c r="F57" s="22" t="s">
        <v>78</v>
      </c>
      <c r="G57" s="52" t="str">
        <f t="shared" si="0"/>
        <v>Fees for Construction and Upkeep of Local Roads and Other Local Facilities</v>
      </c>
    </row>
    <row r="58" spans="2:7">
      <c r="B58" s="20"/>
      <c r="C58" s="47"/>
      <c r="D58" s="47">
        <v>7148</v>
      </c>
      <c r="E58" s="21" t="s">
        <v>79</v>
      </c>
      <c r="F58" s="22" t="s">
        <v>80</v>
      </c>
      <c r="G58" s="52" t="str">
        <f t="shared" si="0"/>
        <v>Road fees</v>
      </c>
    </row>
    <row r="59" spans="2:7">
      <c r="B59" s="20"/>
      <c r="C59" s="47"/>
      <c r="D59" s="47">
        <v>7149</v>
      </c>
      <c r="E59" s="21" t="s">
        <v>81</v>
      </c>
      <c r="F59" s="22" t="s">
        <v>82</v>
      </c>
      <c r="G59" s="52" t="str">
        <f t="shared" si="0"/>
        <v>Other fees</v>
      </c>
    </row>
    <row r="60" spans="2:7">
      <c r="B60" s="20"/>
      <c r="C60" s="46"/>
      <c r="D60" s="45">
        <v>715</v>
      </c>
      <c r="E60" s="18" t="s">
        <v>83</v>
      </c>
      <c r="F60" s="19" t="s">
        <v>84</v>
      </c>
      <c r="G60" s="52" t="str">
        <f t="shared" si="0"/>
        <v>Other revenues</v>
      </c>
    </row>
    <row r="61" spans="2:7">
      <c r="B61" s="17"/>
      <c r="C61" s="47"/>
      <c r="D61" s="47">
        <v>7151</v>
      </c>
      <c r="E61" s="21" t="s">
        <v>85</v>
      </c>
      <c r="F61" s="22" t="s">
        <v>86</v>
      </c>
      <c r="G61" s="52" t="str">
        <f t="shared" si="0"/>
        <v>Revenues from Capital</v>
      </c>
    </row>
    <row r="62" spans="2:7">
      <c r="B62" s="20"/>
      <c r="C62" s="47"/>
      <c r="D62" s="47">
        <v>7152</v>
      </c>
      <c r="E62" s="21" t="s">
        <v>87</v>
      </c>
      <c r="F62" s="22" t="s">
        <v>88</v>
      </c>
      <c r="G62" s="52" t="str">
        <f t="shared" si="0"/>
        <v>Fines and Seized Property Gains</v>
      </c>
    </row>
    <row r="63" spans="2:7" ht="23.25">
      <c r="B63" s="20"/>
      <c r="C63" s="47"/>
      <c r="D63" s="47">
        <v>7153</v>
      </c>
      <c r="E63" s="21" t="s">
        <v>89</v>
      </c>
      <c r="F63" s="22" t="s">
        <v>90</v>
      </c>
      <c r="G63" s="52" t="str">
        <f t="shared" si="0"/>
        <v>Revenues from Government Body Activities</v>
      </c>
    </row>
    <row r="64" spans="2:7">
      <c r="B64" s="20"/>
      <c r="C64" s="47"/>
      <c r="D64" s="47">
        <v>7154</v>
      </c>
      <c r="E64" s="21" t="s">
        <v>91</v>
      </c>
      <c r="F64" s="22" t="s">
        <v>92</v>
      </c>
      <c r="G64" s="52" t="str">
        <f t="shared" si="0"/>
        <v>Self contributions</v>
      </c>
    </row>
    <row r="65" spans="2:7">
      <c r="B65" s="20"/>
      <c r="C65" s="47"/>
      <c r="D65" s="47">
        <v>7155</v>
      </c>
      <c r="E65" s="21" t="s">
        <v>83</v>
      </c>
      <c r="F65" s="22" t="s">
        <v>93</v>
      </c>
      <c r="G65" s="52" t="str">
        <f t="shared" si="0"/>
        <v>Other Revenues</v>
      </c>
    </row>
    <row r="66" spans="2:7">
      <c r="B66" s="20"/>
      <c r="C66" s="45" t="s">
        <v>94</v>
      </c>
      <c r="D66" s="45">
        <v>72</v>
      </c>
      <c r="E66" s="23" t="s">
        <v>95</v>
      </c>
      <c r="F66" s="16" t="s">
        <v>96</v>
      </c>
      <c r="G66" s="52" t="str">
        <f t="shared" si="0"/>
        <v>Revenues from Selling Assets</v>
      </c>
    </row>
    <row r="67" spans="2:7">
      <c r="B67" s="17"/>
      <c r="C67" s="47">
        <v>721</v>
      </c>
      <c r="D67" s="47">
        <v>7212</v>
      </c>
      <c r="E67" s="21" t="s">
        <v>97</v>
      </c>
      <c r="F67" s="22" t="s">
        <v>98</v>
      </c>
      <c r="G67" s="52" t="str">
        <f t="shared" si="0"/>
        <v>Revenues from Selling Non-Financial Assets</v>
      </c>
    </row>
    <row r="68" spans="2:7">
      <c r="B68" s="20"/>
      <c r="C68" s="47">
        <v>722</v>
      </c>
      <c r="D68" s="47">
        <v>7222</v>
      </c>
      <c r="E68" s="21" t="s">
        <v>99</v>
      </c>
      <c r="F68" s="22" t="s">
        <v>100</v>
      </c>
      <c r="G68" s="52" t="str">
        <f t="shared" si="0"/>
        <v>Revenues from Selling Financial Assets</v>
      </c>
    </row>
    <row r="69" spans="2:7" ht="23.25">
      <c r="B69" s="20"/>
      <c r="C69" s="45"/>
      <c r="D69" s="45">
        <v>73</v>
      </c>
      <c r="E69" s="23" t="s">
        <v>101</v>
      </c>
      <c r="F69" s="16" t="s">
        <v>102</v>
      </c>
      <c r="G69" s="52" t="str">
        <f t="shared" si="0"/>
        <v>Receipts from Repayment of Loans and Funds Carried over from Previous Year</v>
      </c>
    </row>
    <row r="70" spans="2:7">
      <c r="B70" s="17"/>
      <c r="C70" s="47">
        <v>731</v>
      </c>
      <c r="D70" s="47">
        <v>7311</v>
      </c>
      <c r="E70" s="21" t="s">
        <v>103</v>
      </c>
      <c r="F70" s="22" t="s">
        <v>104</v>
      </c>
      <c r="G70" s="52" t="str">
        <f t="shared" si="0"/>
        <v>Receipts from Repayment of Loans</v>
      </c>
    </row>
    <row r="71" spans="2:7">
      <c r="B71" s="20"/>
      <c r="C71" s="47">
        <v>732</v>
      </c>
      <c r="D71" s="47">
        <v>7321</v>
      </c>
      <c r="E71" s="21" t="s">
        <v>105</v>
      </c>
      <c r="F71" s="22" t="s">
        <v>106</v>
      </c>
      <c r="G71" s="52" t="str">
        <f t="shared" si="0"/>
        <v>Funds Carried over from Previous Year</v>
      </c>
    </row>
    <row r="72" spans="2:7">
      <c r="B72" s="20"/>
      <c r="C72" s="45" t="s">
        <v>94</v>
      </c>
      <c r="D72" s="45">
        <v>74</v>
      </c>
      <c r="E72" s="23" t="s">
        <v>107</v>
      </c>
      <c r="F72" s="16" t="s">
        <v>108</v>
      </c>
      <c r="G72" s="52" t="str">
        <f t="shared" si="0"/>
        <v>Grants and Transfers</v>
      </c>
    </row>
    <row r="73" spans="2:7">
      <c r="B73" s="17"/>
      <c r="C73" s="47">
        <v>741</v>
      </c>
      <c r="D73" s="47">
        <v>7411</v>
      </c>
      <c r="E73" s="21" t="s">
        <v>109</v>
      </c>
      <c r="F73" s="22" t="s">
        <v>110</v>
      </c>
      <c r="G73" s="52" t="str">
        <f t="shared" si="0"/>
        <v>Grants</v>
      </c>
    </row>
    <row r="74" spans="2:7">
      <c r="B74" s="20"/>
      <c r="C74" s="47">
        <v>742</v>
      </c>
      <c r="D74" s="47">
        <v>7421</v>
      </c>
      <c r="E74" s="21" t="s">
        <v>111</v>
      </c>
      <c r="F74" s="22" t="s">
        <v>112</v>
      </c>
      <c r="G74" s="52" t="str">
        <f t="shared" ref="G74:G139" si="1">+IF(ISBLANK(IF($B$2=1,E74,F74)),"",IF($B$2=1,E74,F74))</f>
        <v>Transfers</v>
      </c>
    </row>
    <row r="75" spans="2:7">
      <c r="B75" s="20"/>
      <c r="C75" s="46"/>
      <c r="D75" s="45">
        <v>75</v>
      </c>
      <c r="E75" s="23" t="s">
        <v>113</v>
      </c>
      <c r="F75" s="16" t="s">
        <v>114</v>
      </c>
      <c r="G75" s="52" t="str">
        <f t="shared" si="1"/>
        <v>Loans and borrowings</v>
      </c>
    </row>
    <row r="76" spans="2:7">
      <c r="B76" s="17"/>
      <c r="C76" s="45"/>
      <c r="D76" s="45">
        <v>751</v>
      </c>
      <c r="E76" s="18" t="s">
        <v>115</v>
      </c>
      <c r="F76" s="19" t="s">
        <v>114</v>
      </c>
      <c r="G76" s="52" t="str">
        <f t="shared" si="1"/>
        <v>Loans and borrowings</v>
      </c>
    </row>
    <row r="77" spans="2:7">
      <c r="B77" s="17"/>
      <c r="C77" s="47"/>
      <c r="D77" s="47">
        <v>7511</v>
      </c>
      <c r="E77" s="21" t="s">
        <v>116</v>
      </c>
      <c r="F77" s="22" t="s">
        <v>117</v>
      </c>
      <c r="G77" s="52" t="str">
        <f t="shared" si="1"/>
        <v>Domestic Loans and Borrowings</v>
      </c>
    </row>
    <row r="78" spans="2:7">
      <c r="B78" s="20"/>
      <c r="C78" s="48"/>
      <c r="D78" s="48">
        <v>7512</v>
      </c>
      <c r="E78" s="24" t="s">
        <v>118</v>
      </c>
      <c r="F78" s="62" t="s">
        <v>119</v>
      </c>
      <c r="G78" s="53" t="str">
        <f t="shared" si="1"/>
        <v>Foreign Loans and Borrowings</v>
      </c>
    </row>
    <row r="79" spans="2:7">
      <c r="B79" s="20"/>
      <c r="C79" s="44"/>
      <c r="D79" s="44">
        <v>4</v>
      </c>
      <c r="E79" s="15" t="s">
        <v>771</v>
      </c>
      <c r="F79" s="16" t="s">
        <v>121</v>
      </c>
      <c r="G79" s="52" t="str">
        <f t="shared" si="1"/>
        <v>Total Expenditures</v>
      </c>
    </row>
    <row r="80" spans="2:7">
      <c r="B80" s="20"/>
      <c r="C80" s="44"/>
      <c r="D80" s="44">
        <v>40</v>
      </c>
      <c r="E80" s="15" t="s">
        <v>795</v>
      </c>
      <c r="F80" s="16" t="s">
        <v>796</v>
      </c>
      <c r="G80" s="52" t="str">
        <f t="shared" si="1"/>
        <v>Current Budgetary Consumption</v>
      </c>
    </row>
    <row r="81" spans="2:7">
      <c r="B81" s="13"/>
      <c r="C81" s="44"/>
      <c r="D81" s="44">
        <v>41</v>
      </c>
      <c r="E81" s="15" t="s">
        <v>122</v>
      </c>
      <c r="F81" s="16" t="s">
        <v>123</v>
      </c>
      <c r="G81" s="52" t="str">
        <f t="shared" si="1"/>
        <v>Current Expenditures</v>
      </c>
    </row>
    <row r="82" spans="2:7">
      <c r="B82" s="14" t="s">
        <v>94</v>
      </c>
      <c r="C82" s="46"/>
      <c r="D82" s="44">
        <v>411</v>
      </c>
      <c r="E82" s="18" t="s">
        <v>124</v>
      </c>
      <c r="F82" s="19" t="s">
        <v>125</v>
      </c>
      <c r="G82" s="52" t="str">
        <f t="shared" si="1"/>
        <v>Gross Salaries and Contributions</v>
      </c>
    </row>
    <row r="83" spans="2:7">
      <c r="B83" s="14"/>
      <c r="C83" s="49"/>
      <c r="D83" s="49">
        <v>4111</v>
      </c>
      <c r="E83" s="21" t="s">
        <v>126</v>
      </c>
      <c r="F83" s="22" t="s">
        <v>127</v>
      </c>
      <c r="G83" s="52" t="str">
        <f t="shared" si="1"/>
        <v>Net Salaries</v>
      </c>
    </row>
    <row r="84" spans="2:7">
      <c r="B84" s="25"/>
      <c r="C84" s="49"/>
      <c r="D84" s="49">
        <v>4112</v>
      </c>
      <c r="E84" s="21" t="s">
        <v>128</v>
      </c>
      <c r="F84" s="22" t="s">
        <v>26</v>
      </c>
      <c r="G84" s="52" t="str">
        <f t="shared" si="1"/>
        <v>Personal Income Tax</v>
      </c>
    </row>
    <row r="85" spans="2:7">
      <c r="B85" s="25"/>
      <c r="C85" s="49"/>
      <c r="D85" s="49">
        <v>4113</v>
      </c>
      <c r="E85" s="21" t="s">
        <v>129</v>
      </c>
      <c r="F85" s="22" t="s">
        <v>130</v>
      </c>
      <c r="G85" s="52" t="str">
        <f t="shared" si="1"/>
        <v>Contributions Charged to Employee</v>
      </c>
    </row>
    <row r="86" spans="2:7" ht="15.75">
      <c r="B86" s="25"/>
      <c r="C86" s="50"/>
      <c r="D86" s="49">
        <v>4114</v>
      </c>
      <c r="E86" s="21" t="s">
        <v>131</v>
      </c>
      <c r="F86" s="22" t="s">
        <v>132</v>
      </c>
      <c r="G86" s="52" t="str">
        <f t="shared" si="1"/>
        <v>Contributions Charged to Employer</v>
      </c>
    </row>
    <row r="87" spans="2:7" ht="15.75">
      <c r="B87" s="26"/>
      <c r="C87" s="49"/>
      <c r="D87" s="49">
        <v>4115</v>
      </c>
      <c r="E87" s="21" t="s">
        <v>133</v>
      </c>
      <c r="F87" s="22" t="s">
        <v>134</v>
      </c>
      <c r="G87" s="52" t="str">
        <f t="shared" si="1"/>
        <v>Surtax on PIT</v>
      </c>
    </row>
    <row r="88" spans="2:7">
      <c r="B88" s="25"/>
      <c r="C88" s="46"/>
      <c r="D88" s="44">
        <v>412</v>
      </c>
      <c r="E88" s="18" t="s">
        <v>135</v>
      </c>
      <c r="F88" s="19" t="s">
        <v>136</v>
      </c>
      <c r="G88" s="52" t="str">
        <f t="shared" si="1"/>
        <v>Other Personal Income</v>
      </c>
    </row>
    <row r="89" spans="2:7">
      <c r="B89" s="14"/>
      <c r="C89" s="49"/>
      <c r="D89" s="49">
        <v>4121</v>
      </c>
      <c r="E89" s="21" t="s">
        <v>137</v>
      </c>
      <c r="F89" s="22" t="s">
        <v>138</v>
      </c>
      <c r="G89" s="52" t="str">
        <f t="shared" si="1"/>
        <v>Compensation for Meals</v>
      </c>
    </row>
    <row r="90" spans="2:7">
      <c r="B90" s="25"/>
      <c r="C90" s="49"/>
      <c r="D90" s="49">
        <v>4122</v>
      </c>
      <c r="E90" s="21" t="s">
        <v>139</v>
      </c>
      <c r="F90" s="22" t="s">
        <v>140</v>
      </c>
      <c r="G90" s="52" t="str">
        <f t="shared" si="1"/>
        <v>Compensation for Living Costs and Separate Living</v>
      </c>
    </row>
    <row r="91" spans="2:7">
      <c r="B91" s="25"/>
      <c r="C91" s="49"/>
      <c r="D91" s="49">
        <v>4123</v>
      </c>
      <c r="E91" s="21" t="s">
        <v>141</v>
      </c>
      <c r="F91" s="22" t="s">
        <v>142</v>
      </c>
      <c r="G91" s="52" t="str">
        <f t="shared" si="1"/>
        <v>Compensation for Transport</v>
      </c>
    </row>
    <row r="92" spans="2:7">
      <c r="B92" s="25"/>
      <c r="C92" s="49"/>
      <c r="D92" s="49">
        <v>4124</v>
      </c>
      <c r="E92" s="21" t="s">
        <v>143</v>
      </c>
      <c r="F92" s="22" t="s">
        <v>144</v>
      </c>
      <c r="G92" s="52" t="str">
        <f t="shared" si="1"/>
        <v>Annual awards</v>
      </c>
    </row>
    <row r="93" spans="2:7">
      <c r="B93" s="25"/>
      <c r="C93" s="49"/>
      <c r="D93" s="49">
        <v>4125</v>
      </c>
      <c r="E93" s="21" t="s">
        <v>145</v>
      </c>
      <c r="F93" s="22" t="s">
        <v>146</v>
      </c>
      <c r="G93" s="52" t="str">
        <f t="shared" si="1"/>
        <v>Compensation for Early Retirement</v>
      </c>
    </row>
    <row r="94" spans="2:7">
      <c r="B94" s="25"/>
      <c r="C94" s="49"/>
      <c r="D94" s="49">
        <v>4126</v>
      </c>
      <c r="E94" s="21" t="s">
        <v>147</v>
      </c>
      <c r="F94" s="22" t="s">
        <v>148</v>
      </c>
      <c r="G94" s="52" t="str">
        <f t="shared" si="1"/>
        <v>Parliament Members Compensation</v>
      </c>
    </row>
    <row r="95" spans="2:7">
      <c r="B95" s="25"/>
      <c r="C95" s="49"/>
      <c r="D95" s="49">
        <v>4127</v>
      </c>
      <c r="E95" s="21" t="s">
        <v>81</v>
      </c>
      <c r="F95" s="22" t="s">
        <v>149</v>
      </c>
      <c r="G95" s="52" t="str">
        <f t="shared" si="1"/>
        <v>Other Compensations</v>
      </c>
    </row>
    <row r="96" spans="2:7">
      <c r="B96" s="25"/>
      <c r="C96" s="49"/>
      <c r="D96" s="49">
        <v>4128</v>
      </c>
      <c r="E96" s="21" t="s">
        <v>730</v>
      </c>
      <c r="F96" s="22" t="s">
        <v>732</v>
      </c>
      <c r="G96" s="52" t="str">
        <f t="shared" si="1"/>
        <v xml:space="preserve">Other </v>
      </c>
    </row>
    <row r="97" spans="2:7">
      <c r="B97" s="25"/>
      <c r="C97" s="46"/>
      <c r="D97" s="44">
        <v>413</v>
      </c>
      <c r="E97" s="18" t="s">
        <v>150</v>
      </c>
      <c r="F97" s="19" t="s">
        <v>151</v>
      </c>
      <c r="G97" s="52" t="str">
        <f t="shared" si="1"/>
        <v>Expenditures for Supplies</v>
      </c>
    </row>
    <row r="98" spans="2:7">
      <c r="B98" s="14"/>
      <c r="C98" s="49"/>
      <c r="D98" s="49">
        <v>4131</v>
      </c>
      <c r="E98" s="21" t="s">
        <v>152</v>
      </c>
      <c r="F98" s="22" t="s">
        <v>153</v>
      </c>
      <c r="G98" s="52" t="str">
        <f t="shared" si="1"/>
        <v>Administrative Supplies</v>
      </c>
    </row>
    <row r="99" spans="2:7">
      <c r="B99" s="25"/>
      <c r="C99" s="49"/>
      <c r="D99" s="49">
        <v>4132</v>
      </c>
      <c r="E99" s="21" t="s">
        <v>154</v>
      </c>
      <c r="F99" s="22" t="s">
        <v>155</v>
      </c>
      <c r="G99" s="52" t="str">
        <f t="shared" si="1"/>
        <v>Health Protection Supplies</v>
      </c>
    </row>
    <row r="100" spans="2:7">
      <c r="B100" s="25"/>
      <c r="C100" s="49"/>
      <c r="D100" s="49">
        <v>4133</v>
      </c>
      <c r="E100" s="21" t="s">
        <v>156</v>
      </c>
      <c r="F100" s="22" t="s">
        <v>157</v>
      </c>
      <c r="G100" s="52" t="str">
        <f t="shared" si="1"/>
        <v>Special Supplies</v>
      </c>
    </row>
    <row r="101" spans="2:7">
      <c r="B101" s="25"/>
      <c r="C101" s="49"/>
      <c r="D101" s="49">
        <v>4134</v>
      </c>
      <c r="E101" s="21" t="s">
        <v>158</v>
      </c>
      <c r="F101" s="22" t="s">
        <v>159</v>
      </c>
      <c r="G101" s="52" t="str">
        <f t="shared" si="1"/>
        <v>Expenditures for Energy</v>
      </c>
    </row>
    <row r="102" spans="2:7">
      <c r="B102" s="25"/>
      <c r="C102" s="49"/>
      <c r="D102" s="49">
        <v>4135</v>
      </c>
      <c r="E102" s="21" t="s">
        <v>160</v>
      </c>
      <c r="F102" s="22" t="s">
        <v>161</v>
      </c>
      <c r="G102" s="52" t="str">
        <f t="shared" si="1"/>
        <v>Expenditures for Fuel</v>
      </c>
    </row>
    <row r="103" spans="2:7">
      <c r="B103" s="25"/>
      <c r="C103" s="49"/>
      <c r="D103" s="49">
        <v>4139</v>
      </c>
      <c r="E103" s="21" t="s">
        <v>162</v>
      </c>
      <c r="F103" s="22" t="s">
        <v>163</v>
      </c>
      <c r="G103" s="52" t="str">
        <f t="shared" si="1"/>
        <v>Other Expenditures for Supplies</v>
      </c>
    </row>
    <row r="104" spans="2:7">
      <c r="B104" s="25"/>
      <c r="C104" s="46"/>
      <c r="D104" s="44">
        <v>414</v>
      </c>
      <c r="E104" s="18" t="s">
        <v>164</v>
      </c>
      <c r="F104" s="19" t="s">
        <v>165</v>
      </c>
      <c r="G104" s="52" t="str">
        <f t="shared" si="1"/>
        <v>Expenditures for Services</v>
      </c>
    </row>
    <row r="105" spans="2:7">
      <c r="B105" s="14"/>
      <c r="C105" s="49"/>
      <c r="D105" s="49">
        <v>4141</v>
      </c>
      <c r="E105" s="21" t="s">
        <v>166</v>
      </c>
      <c r="F105" s="22" t="s">
        <v>167</v>
      </c>
      <c r="G105" s="52" t="str">
        <f t="shared" si="1"/>
        <v>Business trips</v>
      </c>
    </row>
    <row r="106" spans="2:7">
      <c r="B106" s="25"/>
      <c r="C106" s="49"/>
      <c r="D106" s="49">
        <v>4142</v>
      </c>
      <c r="E106" s="21" t="s">
        <v>168</v>
      </c>
      <c r="F106" s="22" t="s">
        <v>169</v>
      </c>
      <c r="G106" s="52" t="str">
        <f t="shared" si="1"/>
        <v>Representation Costs</v>
      </c>
    </row>
    <row r="107" spans="2:7">
      <c r="B107" s="25"/>
      <c r="C107" s="49"/>
      <c r="D107" s="49">
        <v>4143</v>
      </c>
      <c r="E107" s="21" t="s">
        <v>170</v>
      </c>
      <c r="F107" s="22" t="s">
        <v>171</v>
      </c>
      <c r="G107" s="52" t="str">
        <f t="shared" si="1"/>
        <v>Communication Services</v>
      </c>
    </row>
    <row r="108" spans="2:7">
      <c r="B108" s="25"/>
      <c r="C108" s="49"/>
      <c r="D108" s="49">
        <v>4144</v>
      </c>
      <c r="E108" s="21" t="s">
        <v>172</v>
      </c>
      <c r="F108" s="22" t="s">
        <v>173</v>
      </c>
      <c r="G108" s="52" t="str">
        <f t="shared" si="1"/>
        <v>Bank Services and FX Conversion Loss</v>
      </c>
    </row>
    <row r="109" spans="2:7">
      <c r="B109" s="25"/>
      <c r="C109" s="49"/>
      <c r="D109" s="49">
        <v>4145</v>
      </c>
      <c r="E109" s="21" t="s">
        <v>174</v>
      </c>
      <c r="F109" s="22" t="s">
        <v>175</v>
      </c>
      <c r="G109" s="52" t="str">
        <f t="shared" si="1"/>
        <v>Transport Services</v>
      </c>
    </row>
    <row r="110" spans="2:7">
      <c r="B110" s="25"/>
      <c r="C110" s="49"/>
      <c r="D110" s="49">
        <v>4146</v>
      </c>
      <c r="E110" s="21" t="s">
        <v>176</v>
      </c>
      <c r="F110" s="22" t="s">
        <v>177</v>
      </c>
      <c r="G110" s="52" t="str">
        <f t="shared" si="1"/>
        <v>Legal Services (lawyers, notars and others)</v>
      </c>
    </row>
    <row r="111" spans="2:7">
      <c r="B111" s="25"/>
      <c r="C111" s="49"/>
      <c r="D111" s="49">
        <v>4147</v>
      </c>
      <c r="E111" s="21" t="s">
        <v>178</v>
      </c>
      <c r="F111" s="22" t="s">
        <v>179</v>
      </c>
      <c r="G111" s="52" t="str">
        <f t="shared" si="1"/>
        <v>Consultancy Services</v>
      </c>
    </row>
    <row r="112" spans="2:7">
      <c r="B112" s="25"/>
      <c r="C112" s="49"/>
      <c r="D112" s="49">
        <v>4148</v>
      </c>
      <c r="E112" s="21" t="s">
        <v>180</v>
      </c>
      <c r="F112" s="22" t="s">
        <v>181</v>
      </c>
      <c r="G112" s="52" t="str">
        <f t="shared" si="1"/>
        <v>Professional Training Services</v>
      </c>
    </row>
    <row r="113" spans="2:7">
      <c r="B113" s="25"/>
      <c r="C113" s="49"/>
      <c r="D113" s="49">
        <v>4149</v>
      </c>
      <c r="E113" s="21" t="s">
        <v>182</v>
      </c>
      <c r="F113" s="22" t="s">
        <v>183</v>
      </c>
      <c r="G113" s="52" t="str">
        <f t="shared" si="1"/>
        <v>Other Services</v>
      </c>
    </row>
    <row r="114" spans="2:7">
      <c r="B114" s="25"/>
      <c r="C114" s="46"/>
      <c r="D114" s="44">
        <v>415</v>
      </c>
      <c r="E114" s="18" t="s">
        <v>184</v>
      </c>
      <c r="F114" s="19" t="s">
        <v>185</v>
      </c>
      <c r="G114" s="52" t="str">
        <f t="shared" si="1"/>
        <v>Current Maintenance</v>
      </c>
    </row>
    <row r="115" spans="2:7">
      <c r="B115" s="14"/>
      <c r="C115" s="49"/>
      <c r="D115" s="49">
        <v>4151</v>
      </c>
      <c r="E115" s="21" t="s">
        <v>186</v>
      </c>
      <c r="F115" s="22" t="s">
        <v>187</v>
      </c>
      <c r="G115" s="52" t="str">
        <f t="shared" si="1"/>
        <v>Current Maintenance of Public Infrastructure</v>
      </c>
    </row>
    <row r="116" spans="2:7">
      <c r="B116" s="25"/>
      <c r="C116" s="49"/>
      <c r="D116" s="49">
        <v>4152</v>
      </c>
      <c r="E116" s="21" t="s">
        <v>188</v>
      </c>
      <c r="F116" s="22" t="s">
        <v>189</v>
      </c>
      <c r="G116" s="52" t="str">
        <f t="shared" si="1"/>
        <v>Current Maintenance of Buildings</v>
      </c>
    </row>
    <row r="117" spans="2:7">
      <c r="B117" s="25"/>
      <c r="C117" s="49"/>
      <c r="D117" s="49">
        <v>4153</v>
      </c>
      <c r="E117" s="21" t="s">
        <v>190</v>
      </c>
      <c r="F117" s="22" t="s">
        <v>191</v>
      </c>
      <c r="G117" s="52" t="str">
        <f t="shared" si="1"/>
        <v>Current Maintenance of Equipment</v>
      </c>
    </row>
    <row r="118" spans="2:7">
      <c r="B118" s="25"/>
      <c r="C118" s="46"/>
      <c r="D118" s="44">
        <v>416</v>
      </c>
      <c r="E118" s="18" t="s">
        <v>192</v>
      </c>
      <c r="F118" s="19" t="s">
        <v>193</v>
      </c>
      <c r="G118" s="52" t="str">
        <f t="shared" si="1"/>
        <v>Interests</v>
      </c>
    </row>
    <row r="119" spans="2:7">
      <c r="B119" s="14"/>
      <c r="C119" s="49"/>
      <c r="D119" s="49">
        <v>4161</v>
      </c>
      <c r="E119" s="21" t="s">
        <v>194</v>
      </c>
      <c r="F119" s="22" t="s">
        <v>195</v>
      </c>
      <c r="G119" s="52" t="str">
        <f t="shared" si="1"/>
        <v>Interests on Domestic Debt</v>
      </c>
    </row>
    <row r="120" spans="2:7">
      <c r="B120" s="25"/>
      <c r="C120" s="49"/>
      <c r="D120" s="49">
        <v>4162</v>
      </c>
      <c r="E120" s="21" t="s">
        <v>196</v>
      </c>
      <c r="F120" s="22" t="s">
        <v>197</v>
      </c>
      <c r="G120" s="52" t="str">
        <f t="shared" si="1"/>
        <v>Interests on Foreign Debt</v>
      </c>
    </row>
    <row r="121" spans="2:7">
      <c r="B121" s="25"/>
      <c r="C121" s="46"/>
      <c r="D121" s="44">
        <v>417</v>
      </c>
      <c r="E121" s="18" t="s">
        <v>198</v>
      </c>
      <c r="F121" s="19" t="s">
        <v>199</v>
      </c>
      <c r="G121" s="52" t="str">
        <f t="shared" si="1"/>
        <v>Rent</v>
      </c>
    </row>
    <row r="122" spans="2:7">
      <c r="B122" s="14"/>
      <c r="C122" s="49"/>
      <c r="D122" s="49">
        <v>4171</v>
      </c>
      <c r="E122" s="21" t="s">
        <v>200</v>
      </c>
      <c r="F122" s="22" t="s">
        <v>201</v>
      </c>
      <c r="G122" s="52" t="str">
        <f t="shared" si="1"/>
        <v>Rent of Real Estate</v>
      </c>
    </row>
    <row r="123" spans="2:7">
      <c r="B123" s="25"/>
      <c r="C123" s="49"/>
      <c r="D123" s="49">
        <v>4172</v>
      </c>
      <c r="E123" s="21" t="s">
        <v>202</v>
      </c>
      <c r="F123" s="22" t="s">
        <v>203</v>
      </c>
      <c r="G123" s="52" t="str">
        <f t="shared" si="1"/>
        <v>Rent of Equipment</v>
      </c>
    </row>
    <row r="124" spans="2:7">
      <c r="B124" s="25"/>
      <c r="C124" s="49"/>
      <c r="D124" s="49">
        <v>4173</v>
      </c>
      <c r="E124" s="21" t="s">
        <v>204</v>
      </c>
      <c r="F124" s="22" t="s">
        <v>205</v>
      </c>
      <c r="G124" s="52" t="str">
        <f t="shared" si="1"/>
        <v>Rent of Property</v>
      </c>
    </row>
    <row r="125" spans="2:7">
      <c r="B125" s="25"/>
      <c r="C125" s="46"/>
      <c r="D125" s="44">
        <v>418</v>
      </c>
      <c r="E125" s="18" t="s">
        <v>206</v>
      </c>
      <c r="F125" s="19" t="s">
        <v>207</v>
      </c>
      <c r="G125" s="52" t="str">
        <f t="shared" si="1"/>
        <v>Subsidies</v>
      </c>
    </row>
    <row r="126" spans="2:7">
      <c r="B126" s="14"/>
      <c r="C126" s="49"/>
      <c r="D126" s="49">
        <v>4181</v>
      </c>
      <c r="E126" s="21" t="s">
        <v>208</v>
      </c>
      <c r="F126" s="22" t="s">
        <v>209</v>
      </c>
      <c r="G126" s="52" t="str">
        <f t="shared" si="1"/>
        <v>Production and Services Subsidies</v>
      </c>
    </row>
    <row r="127" spans="2:7">
      <c r="B127" s="25"/>
      <c r="C127" s="49"/>
      <c r="D127" s="49">
        <v>4182</v>
      </c>
      <c r="E127" s="21" t="s">
        <v>210</v>
      </c>
      <c r="F127" s="22" t="s">
        <v>211</v>
      </c>
      <c r="G127" s="52" t="str">
        <f t="shared" si="1"/>
        <v>Export Subsidies</v>
      </c>
    </row>
    <row r="128" spans="2:7">
      <c r="B128" s="25"/>
      <c r="C128" s="49"/>
      <c r="D128" s="49">
        <v>4183</v>
      </c>
      <c r="E128" s="21" t="s">
        <v>212</v>
      </c>
      <c r="F128" s="22" t="s">
        <v>213</v>
      </c>
      <c r="G128" s="52" t="str">
        <f t="shared" si="1"/>
        <v>Import Subsidies</v>
      </c>
    </row>
    <row r="129" spans="2:7">
      <c r="B129" s="25"/>
      <c r="C129" s="46"/>
      <c r="D129" s="44">
        <v>419</v>
      </c>
      <c r="E129" s="18" t="s">
        <v>214</v>
      </c>
      <c r="F129" s="19" t="s">
        <v>215</v>
      </c>
      <c r="G129" s="52" t="str">
        <f t="shared" si="1"/>
        <v>Other expenditures</v>
      </c>
    </row>
    <row r="130" spans="2:7">
      <c r="B130" s="14"/>
      <c r="C130" s="49"/>
      <c r="D130" s="49">
        <v>4191</v>
      </c>
      <c r="E130" s="21" t="s">
        <v>216</v>
      </c>
      <c r="F130" s="22" t="s">
        <v>217</v>
      </c>
      <c r="G130" s="52" t="str">
        <f t="shared" si="1"/>
        <v xml:space="preserve">Expenditures for Service Contracts </v>
      </c>
    </row>
    <row r="131" spans="2:7">
      <c r="B131" s="25"/>
      <c r="C131" s="49"/>
      <c r="D131" s="49">
        <v>4192</v>
      </c>
      <c r="E131" s="21" t="s">
        <v>218</v>
      </c>
      <c r="F131" s="22" t="s">
        <v>219</v>
      </c>
      <c r="G131" s="52" t="str">
        <f t="shared" si="1"/>
        <v>Expenditures for Judicial Proceeding</v>
      </c>
    </row>
    <row r="132" spans="2:7">
      <c r="B132" s="25"/>
      <c r="C132" s="49"/>
      <c r="D132" s="49">
        <v>4193</v>
      </c>
      <c r="E132" s="21" t="s">
        <v>220</v>
      </c>
      <c r="F132" s="22" t="s">
        <v>221</v>
      </c>
      <c r="G132" s="52" t="str">
        <f t="shared" si="1"/>
        <v>Expenditures for Software Maintenance</v>
      </c>
    </row>
    <row r="133" spans="2:7">
      <c r="B133" s="25"/>
      <c r="C133" s="49"/>
      <c r="D133" s="49">
        <v>4194</v>
      </c>
      <c r="E133" s="21" t="s">
        <v>222</v>
      </c>
      <c r="F133" s="22" t="s">
        <v>223</v>
      </c>
      <c r="G133" s="52" t="str">
        <f t="shared" si="1"/>
        <v>Insurance</v>
      </c>
    </row>
    <row r="134" spans="2:7" ht="23.25">
      <c r="B134" s="25"/>
      <c r="C134" s="47"/>
      <c r="D134" s="47">
        <v>4195</v>
      </c>
      <c r="E134" s="27" t="s">
        <v>224</v>
      </c>
      <c r="F134" s="22" t="s">
        <v>225</v>
      </c>
      <c r="G134" s="52" t="str">
        <f t="shared" si="1"/>
        <v>Contribution for Domestic and International Institutions Membership</v>
      </c>
    </row>
    <row r="135" spans="2:7">
      <c r="B135" s="20"/>
      <c r="C135" s="49"/>
      <c r="D135" s="49">
        <v>4196</v>
      </c>
      <c r="E135" s="21" t="s">
        <v>226</v>
      </c>
      <c r="F135" s="22" t="s">
        <v>227</v>
      </c>
      <c r="G135" s="52" t="str">
        <f t="shared" si="1"/>
        <v>Utility Charges</v>
      </c>
    </row>
    <row r="136" spans="2:7">
      <c r="B136" s="25"/>
      <c r="C136" s="49"/>
      <c r="D136" s="47">
        <v>4197</v>
      </c>
      <c r="E136" s="21" t="s">
        <v>228</v>
      </c>
      <c r="F136" s="22" t="s">
        <v>229</v>
      </c>
      <c r="G136" s="52" t="str">
        <f t="shared" si="1"/>
        <v>Penalties</v>
      </c>
    </row>
    <row r="137" spans="2:7">
      <c r="B137" s="25"/>
      <c r="C137" s="49"/>
      <c r="D137" s="49">
        <v>4198</v>
      </c>
      <c r="E137" s="21" t="s">
        <v>49</v>
      </c>
      <c r="F137" s="22" t="s">
        <v>64</v>
      </c>
      <c r="G137" s="52" t="str">
        <f t="shared" si="1"/>
        <v>Fees</v>
      </c>
    </row>
    <row r="138" spans="2:7">
      <c r="B138" s="25"/>
      <c r="C138" s="49"/>
      <c r="D138" s="47">
        <v>4199</v>
      </c>
      <c r="E138" s="21" t="s">
        <v>230</v>
      </c>
      <c r="F138" s="22" t="s">
        <v>231</v>
      </c>
      <c r="G138" s="52" t="str">
        <f t="shared" si="1"/>
        <v>Others</v>
      </c>
    </row>
    <row r="139" spans="2:7">
      <c r="B139" s="25"/>
      <c r="C139" s="44" t="s">
        <v>94</v>
      </c>
      <c r="D139" s="44">
        <v>42</v>
      </c>
      <c r="E139" s="15" t="s">
        <v>232</v>
      </c>
      <c r="F139" s="16" t="s">
        <v>233</v>
      </c>
      <c r="G139" s="52" t="str">
        <f t="shared" si="1"/>
        <v>Social Security Transfers</v>
      </c>
    </row>
    <row r="140" spans="2:7">
      <c r="B140" s="14"/>
      <c r="C140" s="46"/>
      <c r="D140" s="44">
        <v>421</v>
      </c>
      <c r="E140" s="18" t="s">
        <v>234</v>
      </c>
      <c r="F140" s="19" t="s">
        <v>235</v>
      </c>
      <c r="G140" s="52" t="str">
        <f t="shared" ref="G140:G205" si="2">+IF(ISBLANK(IF($B$2=1,E140,F140)),"",IF($B$2=1,E140,F140))</f>
        <v>Social Security</v>
      </c>
    </row>
    <row r="141" spans="2:7">
      <c r="B141" s="14"/>
      <c r="C141" s="49" t="s">
        <v>94</v>
      </c>
      <c r="D141" s="49">
        <v>4211</v>
      </c>
      <c r="E141" s="21" t="s">
        <v>236</v>
      </c>
      <c r="F141" s="22" t="s">
        <v>237</v>
      </c>
      <c r="G141" s="52" t="str">
        <f t="shared" si="2"/>
        <v>Children benefits</v>
      </c>
    </row>
    <row r="142" spans="2:7">
      <c r="B142" s="25"/>
      <c r="C142" s="49"/>
      <c r="D142" s="49">
        <v>4212</v>
      </c>
      <c r="E142" s="21" t="s">
        <v>238</v>
      </c>
      <c r="F142" s="22" t="s">
        <v>239</v>
      </c>
      <c r="G142" s="52" t="str">
        <f t="shared" si="2"/>
        <v>Veteran and disability benefits</v>
      </c>
    </row>
    <row r="143" spans="2:7">
      <c r="B143" s="25"/>
      <c r="C143" s="49"/>
      <c r="D143" s="49">
        <v>4213</v>
      </c>
      <c r="E143" s="21" t="s">
        <v>240</v>
      </c>
      <c r="F143" s="22" t="s">
        <v>241</v>
      </c>
      <c r="G143" s="52" t="str">
        <f t="shared" si="2"/>
        <v>Assistance for the Family</v>
      </c>
    </row>
    <row r="144" spans="2:7">
      <c r="B144" s="25"/>
      <c r="C144" s="49"/>
      <c r="D144" s="49">
        <v>4214</v>
      </c>
      <c r="E144" s="21" t="s">
        <v>242</v>
      </c>
      <c r="F144" s="22" t="s">
        <v>243</v>
      </c>
      <c r="G144" s="52" t="str">
        <f t="shared" si="2"/>
        <v>Maternity leave</v>
      </c>
    </row>
    <row r="145" spans="2:7">
      <c r="B145" s="25"/>
      <c r="C145" s="49"/>
      <c r="D145" s="49">
        <v>4215</v>
      </c>
      <c r="E145" s="21" t="s">
        <v>244</v>
      </c>
      <c r="F145" s="22" t="s">
        <v>245</v>
      </c>
      <c r="G145" s="52" t="str">
        <f t="shared" si="2"/>
        <v>Care and Assistance Benefits</v>
      </c>
    </row>
    <row r="146" spans="2:7">
      <c r="B146" s="25"/>
      <c r="C146" s="49"/>
      <c r="D146" s="49">
        <v>4216</v>
      </c>
      <c r="E146" s="21" t="s">
        <v>246</v>
      </c>
      <c r="F146" s="22" t="s">
        <v>247</v>
      </c>
      <c r="G146" s="52" t="str">
        <f t="shared" si="2"/>
        <v>Pre-school Meal Plans</v>
      </c>
    </row>
    <row r="147" spans="2:7">
      <c r="B147" s="25"/>
      <c r="C147" s="49"/>
      <c r="D147" s="49">
        <v>4217</v>
      </c>
      <c r="E147" s="21" t="s">
        <v>248</v>
      </c>
      <c r="F147" s="22" t="s">
        <v>249</v>
      </c>
      <c r="G147" s="52" t="str">
        <f t="shared" si="2"/>
        <v>Support to Nurse Homes</v>
      </c>
    </row>
    <row r="148" spans="2:7">
      <c r="B148" s="25"/>
      <c r="C148" s="49"/>
      <c r="D148" s="49">
        <v>4218</v>
      </c>
      <c r="E148" s="21" t="s">
        <v>730</v>
      </c>
      <c r="F148" s="22" t="s">
        <v>731</v>
      </c>
      <c r="G148" s="52" t="str">
        <f t="shared" si="2"/>
        <v>Other rights from social protection</v>
      </c>
    </row>
    <row r="149" spans="2:7">
      <c r="B149" s="25"/>
      <c r="C149" s="46"/>
      <c r="D149" s="44">
        <v>422</v>
      </c>
      <c r="E149" s="18" t="s">
        <v>250</v>
      </c>
      <c r="F149" s="19" t="s">
        <v>251</v>
      </c>
      <c r="G149" s="52" t="str">
        <f t="shared" si="2"/>
        <v>Funds for redundant labor</v>
      </c>
    </row>
    <row r="150" spans="2:7">
      <c r="B150" s="14"/>
      <c r="C150" s="49"/>
      <c r="D150" s="49">
        <v>4221</v>
      </c>
      <c r="E150" s="21" t="s">
        <v>252</v>
      </c>
      <c r="F150" s="22" t="s">
        <v>253</v>
      </c>
      <c r="G150" s="52" t="str">
        <f t="shared" si="2"/>
        <v>Guaranteed Earnings</v>
      </c>
    </row>
    <row r="151" spans="2:7">
      <c r="B151" s="25"/>
      <c r="C151" s="49"/>
      <c r="D151" s="49">
        <v>4222</v>
      </c>
      <c r="E151" s="21" t="s">
        <v>254</v>
      </c>
      <c r="F151" s="22" t="s">
        <v>255</v>
      </c>
      <c r="G151" s="52" t="str">
        <f t="shared" si="2"/>
        <v>Redundant Labor Benefits</v>
      </c>
    </row>
    <row r="152" spans="2:7">
      <c r="B152" s="25"/>
      <c r="C152" s="49"/>
      <c r="D152" s="49">
        <v>4223</v>
      </c>
      <c r="E152" s="21" t="s">
        <v>256</v>
      </c>
      <c r="F152" s="22" t="s">
        <v>257</v>
      </c>
      <c r="G152" s="52" t="str">
        <f t="shared" si="2"/>
        <v>Additional Insurance Payment</v>
      </c>
    </row>
    <row r="153" spans="2:7">
      <c r="B153" s="25"/>
      <c r="C153" s="49"/>
      <c r="D153" s="49">
        <v>4224</v>
      </c>
      <c r="E153" s="21" t="s">
        <v>258</v>
      </c>
      <c r="F153" s="22" t="s">
        <v>259</v>
      </c>
      <c r="G153" s="52" t="str">
        <f t="shared" si="2"/>
        <v>Compensation to Unemployed</v>
      </c>
    </row>
    <row r="154" spans="2:7">
      <c r="B154" s="25"/>
      <c r="C154" s="49"/>
      <c r="D154" s="49">
        <v>4225</v>
      </c>
      <c r="E154" s="21" t="s">
        <v>230</v>
      </c>
      <c r="F154" s="22" t="s">
        <v>260</v>
      </c>
      <c r="G154" s="52" t="str">
        <f t="shared" si="2"/>
        <v>Other</v>
      </c>
    </row>
    <row r="155" spans="2:7">
      <c r="B155" s="25"/>
      <c r="C155" s="46"/>
      <c r="D155" s="44">
        <v>423</v>
      </c>
      <c r="E155" s="18" t="s">
        <v>261</v>
      </c>
      <c r="F155" s="19" t="s">
        <v>262</v>
      </c>
      <c r="G155" s="52" t="str">
        <f t="shared" si="2"/>
        <v>Pension and Disability Insurance</v>
      </c>
    </row>
    <row r="156" spans="2:7">
      <c r="B156" s="14"/>
      <c r="C156" s="49"/>
      <c r="D156" s="49">
        <v>4231</v>
      </c>
      <c r="E156" s="21" t="s">
        <v>263</v>
      </c>
      <c r="F156" s="22" t="s">
        <v>264</v>
      </c>
      <c r="G156" s="52" t="str">
        <f t="shared" si="2"/>
        <v>Age pension</v>
      </c>
    </row>
    <row r="157" spans="2:7">
      <c r="B157" s="25"/>
      <c r="C157" s="49"/>
      <c r="D157" s="49">
        <v>4232</v>
      </c>
      <c r="E157" s="21" t="s">
        <v>265</v>
      </c>
      <c r="F157" s="22" t="s">
        <v>266</v>
      </c>
      <c r="G157" s="52" t="str">
        <f t="shared" si="2"/>
        <v>Disability pension</v>
      </c>
    </row>
    <row r="158" spans="2:7">
      <c r="B158" s="25"/>
      <c r="C158" s="49"/>
      <c r="D158" s="49">
        <v>4233</v>
      </c>
      <c r="E158" s="21" t="s">
        <v>267</v>
      </c>
      <c r="F158" s="22" t="s">
        <v>268</v>
      </c>
      <c r="G158" s="52" t="str">
        <f t="shared" si="2"/>
        <v>Family pension</v>
      </c>
    </row>
    <row r="159" spans="2:7">
      <c r="B159" s="25"/>
      <c r="C159" s="49"/>
      <c r="D159" s="49">
        <v>4234</v>
      </c>
      <c r="E159" s="21" t="s">
        <v>63</v>
      </c>
      <c r="F159" s="22" t="s">
        <v>269</v>
      </c>
      <c r="G159" s="52" t="str">
        <f t="shared" si="2"/>
        <v>Compensations</v>
      </c>
    </row>
    <row r="160" spans="2:7">
      <c r="B160" s="25"/>
      <c r="C160" s="49"/>
      <c r="D160" s="49">
        <v>4235</v>
      </c>
      <c r="E160" s="21" t="s">
        <v>270</v>
      </c>
      <c r="F160" s="22" t="s">
        <v>271</v>
      </c>
      <c r="G160" s="52" t="str">
        <f t="shared" si="2"/>
        <v>Addendums</v>
      </c>
    </row>
    <row r="161" spans="2:7">
      <c r="B161" s="25"/>
      <c r="C161" s="49"/>
      <c r="D161" s="49">
        <v>4236</v>
      </c>
      <c r="E161" s="21" t="s">
        <v>272</v>
      </c>
      <c r="F161" s="22" t="s">
        <v>273</v>
      </c>
      <c r="G161" s="52" t="str">
        <f t="shared" si="2"/>
        <v>Other rughts</v>
      </c>
    </row>
    <row r="162" spans="2:7">
      <c r="B162" s="25"/>
      <c r="C162" s="49"/>
      <c r="D162" s="49">
        <v>4237</v>
      </c>
      <c r="E162" s="21" t="s">
        <v>274</v>
      </c>
      <c r="F162" s="22" t="s">
        <v>275</v>
      </c>
      <c r="G162" s="52" t="str">
        <f t="shared" si="2"/>
        <v>Contribution to Health Protection of Pensioners</v>
      </c>
    </row>
    <row r="163" spans="2:7">
      <c r="B163" s="25"/>
      <c r="C163" s="46"/>
      <c r="D163" s="44">
        <v>424</v>
      </c>
      <c r="E163" s="18" t="s">
        <v>276</v>
      </c>
      <c r="F163" s="19" t="s">
        <v>277</v>
      </c>
      <c r="G163" s="52" t="str">
        <f t="shared" si="2"/>
        <v>Other Health Care Transfers</v>
      </c>
    </row>
    <row r="164" spans="2:7">
      <c r="B164" s="14"/>
      <c r="C164" s="49"/>
      <c r="D164" s="49">
        <v>4241</v>
      </c>
      <c r="E164" s="21" t="s">
        <v>278</v>
      </c>
      <c r="F164" s="22" t="s">
        <v>279</v>
      </c>
      <c r="G164" s="52" t="str">
        <f t="shared" si="2"/>
        <v>Health Treatment Abroad</v>
      </c>
    </row>
    <row r="165" spans="2:7">
      <c r="B165" s="25"/>
      <c r="C165" s="46"/>
      <c r="D165" s="44">
        <v>425</v>
      </c>
      <c r="E165" s="18" t="s">
        <v>280</v>
      </c>
      <c r="F165" s="19" t="s">
        <v>281</v>
      </c>
      <c r="G165" s="52" t="str">
        <f t="shared" si="2"/>
        <v>Other Health Care Insurance</v>
      </c>
    </row>
    <row r="166" spans="2:7">
      <c r="B166" s="14"/>
      <c r="C166" s="49"/>
      <c r="D166" s="49">
        <v>4251</v>
      </c>
      <c r="E166" s="21" t="s">
        <v>282</v>
      </c>
      <c r="F166" s="22" t="s">
        <v>283</v>
      </c>
      <c r="G166" s="52" t="str">
        <f t="shared" si="2"/>
        <v>Orthopedic Devices and Supplies</v>
      </c>
    </row>
    <row r="167" spans="2:7">
      <c r="B167" s="25"/>
      <c r="C167" s="49"/>
      <c r="D167" s="49">
        <v>4252</v>
      </c>
      <c r="E167" s="21" t="s">
        <v>284</v>
      </c>
      <c r="F167" s="22" t="s">
        <v>285</v>
      </c>
      <c r="G167" s="52" t="str">
        <f t="shared" si="2"/>
        <v xml:space="preserve">Compensation for Health Leave </v>
      </c>
    </row>
    <row r="168" spans="2:7">
      <c r="B168" s="25"/>
      <c r="C168" s="49"/>
      <c r="D168" s="49">
        <v>4253</v>
      </c>
      <c r="E168" s="21" t="s">
        <v>286</v>
      </c>
      <c r="F168" s="22" t="s">
        <v>287</v>
      </c>
      <c r="G168" s="52" t="str">
        <f t="shared" si="2"/>
        <v>Compensation for Travel Costs of Insured Person</v>
      </c>
    </row>
    <row r="169" spans="2:7" ht="23.25">
      <c r="B169" s="25"/>
      <c r="C169" s="44"/>
      <c r="D169" s="44">
        <v>43</v>
      </c>
      <c r="E169" s="15" t="s">
        <v>288</v>
      </c>
      <c r="F169" s="16" t="s">
        <v>289</v>
      </c>
      <c r="G169" s="52" t="str">
        <f t="shared" si="2"/>
        <v xml:space="preserve">Transfers to Institutions, Individuals, NGO and Public Sector </v>
      </c>
    </row>
    <row r="170" spans="2:7" ht="23.25">
      <c r="B170" s="14" t="s">
        <v>94</v>
      </c>
      <c r="C170" s="46"/>
      <c r="D170" s="44">
        <v>431</v>
      </c>
      <c r="E170" s="18" t="s">
        <v>288</v>
      </c>
      <c r="F170" s="19" t="s">
        <v>289</v>
      </c>
      <c r="G170" s="52" t="str">
        <f t="shared" si="2"/>
        <v xml:space="preserve">Transfers to Institutions, Individuals, NGO and Public Sector </v>
      </c>
    </row>
    <row r="171" spans="2:7">
      <c r="B171" s="14" t="s">
        <v>94</v>
      </c>
      <c r="C171" s="49"/>
      <c r="D171" s="49">
        <v>4311</v>
      </c>
      <c r="E171" s="21" t="s">
        <v>290</v>
      </c>
      <c r="F171" s="22" t="s">
        <v>291</v>
      </c>
      <c r="G171" s="52" t="str">
        <f t="shared" si="2"/>
        <v>Transfers for Health Protection</v>
      </c>
    </row>
    <row r="172" spans="2:7">
      <c r="B172" s="25"/>
      <c r="C172" s="49"/>
      <c r="D172" s="49">
        <v>4312</v>
      </c>
      <c r="E172" s="21" t="s">
        <v>292</v>
      </c>
      <c r="F172" s="22" t="s">
        <v>293</v>
      </c>
      <c r="G172" s="52" t="str">
        <f t="shared" si="2"/>
        <v>Transfer for Education</v>
      </c>
    </row>
    <row r="173" spans="2:7">
      <c r="B173" s="25"/>
      <c r="C173" s="49"/>
      <c r="D173" s="49">
        <v>4313</v>
      </c>
      <c r="E173" s="21" t="s">
        <v>294</v>
      </c>
      <c r="F173" s="22" t="s">
        <v>295</v>
      </c>
      <c r="G173" s="52" t="str">
        <f t="shared" si="2"/>
        <v>Transfers for Culture and Sports</v>
      </c>
    </row>
    <row r="174" spans="2:7">
      <c r="B174" s="25"/>
      <c r="C174" s="49"/>
      <c r="D174" s="49">
        <v>4314</v>
      </c>
      <c r="E174" s="21" t="s">
        <v>296</v>
      </c>
      <c r="F174" s="22" t="s">
        <v>297</v>
      </c>
      <c r="G174" s="52" t="str">
        <f t="shared" si="2"/>
        <v>Transfers to NGOs</v>
      </c>
    </row>
    <row r="175" spans="2:7" ht="23.25">
      <c r="B175" s="25"/>
      <c r="C175" s="49"/>
      <c r="D175" s="49">
        <v>4315</v>
      </c>
      <c r="E175" s="21" t="s">
        <v>298</v>
      </c>
      <c r="F175" s="22" t="s">
        <v>299</v>
      </c>
      <c r="G175" s="52" t="str">
        <f t="shared" si="2"/>
        <v>Transfers to Political Parties</v>
      </c>
    </row>
    <row r="176" spans="2:7">
      <c r="B176" s="25"/>
      <c r="C176" s="49"/>
      <c r="D176" s="49">
        <v>4316</v>
      </c>
      <c r="E176" s="21" t="s">
        <v>300</v>
      </c>
      <c r="F176" s="22" t="s">
        <v>301</v>
      </c>
      <c r="G176" s="52" t="str">
        <f t="shared" si="2"/>
        <v>Transfers for Non-refundable Social Help</v>
      </c>
    </row>
    <row r="177" spans="2:7">
      <c r="B177" s="25"/>
      <c r="C177" s="49"/>
      <c r="D177" s="49">
        <v>4317</v>
      </c>
      <c r="E177" s="21" t="s">
        <v>302</v>
      </c>
      <c r="F177" s="22" t="s">
        <v>303</v>
      </c>
      <c r="G177" s="52" t="str">
        <f t="shared" si="2"/>
        <v>Trasfers for Intern's Salary</v>
      </c>
    </row>
    <row r="178" spans="2:7">
      <c r="B178" s="25"/>
      <c r="C178" s="49"/>
      <c r="D178" s="49">
        <v>4318</v>
      </c>
      <c r="E178" s="21" t="s">
        <v>304</v>
      </c>
      <c r="F178" s="22" t="s">
        <v>305</v>
      </c>
      <c r="G178" s="52" t="str">
        <f t="shared" si="2"/>
        <v>Other Transfers to Individuals</v>
      </c>
    </row>
    <row r="179" spans="2:7">
      <c r="B179" s="25"/>
      <c r="C179" s="49"/>
      <c r="D179" s="49">
        <v>4319</v>
      </c>
      <c r="E179" s="21" t="s">
        <v>306</v>
      </c>
      <c r="F179" s="22" t="s">
        <v>307</v>
      </c>
      <c r="G179" s="52" t="str">
        <f t="shared" si="2"/>
        <v>Other Transfers to Institutions</v>
      </c>
    </row>
    <row r="180" spans="2:7">
      <c r="B180" s="25"/>
      <c r="C180" s="46"/>
      <c r="D180" s="44">
        <v>432</v>
      </c>
      <c r="E180" s="18" t="s">
        <v>308</v>
      </c>
      <c r="F180" s="19" t="s">
        <v>309</v>
      </c>
      <c r="G180" s="52" t="str">
        <f t="shared" si="2"/>
        <v>Other Transfers</v>
      </c>
    </row>
    <row r="181" spans="2:7" ht="23.25">
      <c r="B181" s="14" t="s">
        <v>94</v>
      </c>
      <c r="C181" s="49"/>
      <c r="D181" s="49">
        <v>4321</v>
      </c>
      <c r="E181" s="21" t="s">
        <v>310</v>
      </c>
      <c r="F181" s="22" t="s">
        <v>311</v>
      </c>
      <c r="G181" s="52" t="str">
        <f t="shared" si="2"/>
        <v>Transfers to Fund for Pension and Disability Insurance</v>
      </c>
    </row>
    <row r="182" spans="2:7">
      <c r="B182" s="25"/>
      <c r="C182" s="49"/>
      <c r="D182" s="49">
        <v>4322</v>
      </c>
      <c r="E182" s="21" t="s">
        <v>312</v>
      </c>
      <c r="F182" s="22" t="s">
        <v>313</v>
      </c>
      <c r="G182" s="52" t="str">
        <f t="shared" si="2"/>
        <v>Transfers to Health Fund</v>
      </c>
    </row>
    <row r="183" spans="2:7">
      <c r="B183" s="25"/>
      <c r="C183" s="49"/>
      <c r="D183" s="49">
        <v>4323</v>
      </c>
      <c r="E183" s="21" t="s">
        <v>314</v>
      </c>
      <c r="F183" s="22" t="s">
        <v>315</v>
      </c>
      <c r="G183" s="52" t="str">
        <f t="shared" si="2"/>
        <v>Transfers to Employment Fund</v>
      </c>
    </row>
    <row r="184" spans="2:7">
      <c r="B184" s="25"/>
      <c r="C184" s="49"/>
      <c r="D184" s="49">
        <v>4324</v>
      </c>
      <c r="E184" s="21" t="s">
        <v>316</v>
      </c>
      <c r="F184" s="22" t="s">
        <v>317</v>
      </c>
      <c r="G184" s="52" t="str">
        <f t="shared" si="2"/>
        <v>Transfers to Municipalities</v>
      </c>
    </row>
    <row r="185" spans="2:7">
      <c r="B185" s="25"/>
      <c r="C185" s="49"/>
      <c r="D185" s="49">
        <v>4325</v>
      </c>
      <c r="E185" s="21" t="s">
        <v>318</v>
      </c>
      <c r="F185" s="22" t="s">
        <v>319</v>
      </c>
      <c r="G185" s="52" t="str">
        <f t="shared" si="2"/>
        <v>Transfers to State Budget</v>
      </c>
    </row>
    <row r="186" spans="2:7">
      <c r="B186" s="25"/>
      <c r="C186" s="49"/>
      <c r="D186" s="49">
        <v>4326</v>
      </c>
      <c r="E186" s="21" t="s">
        <v>320</v>
      </c>
      <c r="F186" s="22" t="s">
        <v>321</v>
      </c>
      <c r="G186" s="52" t="str">
        <f t="shared" si="2"/>
        <v>Transfers to State Owned Enterprises</v>
      </c>
    </row>
    <row r="187" spans="2:7">
      <c r="B187" s="25"/>
      <c r="C187" s="44" t="s">
        <v>94</v>
      </c>
      <c r="D187" s="44">
        <v>44</v>
      </c>
      <c r="E187" s="15" t="s">
        <v>549</v>
      </c>
      <c r="F187" s="16" t="s">
        <v>323</v>
      </c>
      <c r="G187" s="52" t="str">
        <f t="shared" si="2"/>
        <v>Capital Expenditure</v>
      </c>
    </row>
    <row r="188" spans="2:7">
      <c r="B188" s="25"/>
      <c r="C188" s="44"/>
      <c r="D188" s="44">
        <v>440</v>
      </c>
      <c r="E188" s="15" t="s">
        <v>420</v>
      </c>
      <c r="F188" s="16" t="s">
        <v>421</v>
      </c>
      <c r="G188" s="52" t="str">
        <f t="shared" si="2"/>
        <v>Current Capital Expenditure</v>
      </c>
    </row>
    <row r="189" spans="2:7">
      <c r="B189" s="14" t="s">
        <v>94</v>
      </c>
      <c r="C189" s="46"/>
      <c r="D189" s="44">
        <v>441</v>
      </c>
      <c r="E189" s="18" t="s">
        <v>322</v>
      </c>
      <c r="F189" s="19" t="s">
        <v>323</v>
      </c>
      <c r="G189" s="52" t="str">
        <f t="shared" si="2"/>
        <v>Capital Expenditure</v>
      </c>
    </row>
    <row r="190" spans="2:7">
      <c r="B190" s="14"/>
      <c r="C190" s="49"/>
      <c r="D190" s="49">
        <v>4411</v>
      </c>
      <c r="E190" s="21" t="s">
        <v>324</v>
      </c>
      <c r="F190" s="22" t="s">
        <v>325</v>
      </c>
      <c r="G190" s="52" t="str">
        <f t="shared" si="2"/>
        <v>Capital Expenditure for Public Infrastructure</v>
      </c>
    </row>
    <row r="191" spans="2:7">
      <c r="B191" s="25"/>
      <c r="C191" s="49"/>
      <c r="D191" s="49">
        <v>4412</v>
      </c>
      <c r="E191" s="21" t="s">
        <v>326</v>
      </c>
      <c r="F191" s="22" t="s">
        <v>327</v>
      </c>
      <c r="G191" s="52" t="str">
        <f t="shared" si="2"/>
        <v>Capital Expenditure for Local Infrastructure</v>
      </c>
    </row>
    <row r="192" spans="2:7">
      <c r="B192" s="25"/>
      <c r="C192" s="49"/>
      <c r="D192" s="49">
        <v>4413</v>
      </c>
      <c r="E192" s="21" t="s">
        <v>328</v>
      </c>
      <c r="F192" s="22" t="s">
        <v>329</v>
      </c>
      <c r="G192" s="52" t="str">
        <f t="shared" si="2"/>
        <v>Capital Expenditure for Building Construction</v>
      </c>
    </row>
    <row r="193" spans="2:7">
      <c r="B193" s="25"/>
      <c r="C193" s="49"/>
      <c r="D193" s="49">
        <v>4414</v>
      </c>
      <c r="E193" s="21" t="s">
        <v>330</v>
      </c>
      <c r="F193" s="22" t="s">
        <v>331</v>
      </c>
      <c r="G193" s="52" t="str">
        <f t="shared" si="2"/>
        <v>Capital Expenditure for Land Construction/Improvement</v>
      </c>
    </row>
    <row r="194" spans="2:7">
      <c r="B194" s="25"/>
      <c r="C194" s="49"/>
      <c r="D194" s="49">
        <v>4415</v>
      </c>
      <c r="E194" s="21" t="s">
        <v>332</v>
      </c>
      <c r="F194" s="22" t="s">
        <v>333</v>
      </c>
      <c r="G194" s="52" t="str">
        <f t="shared" si="2"/>
        <v>Capital Expenditure for Equipment</v>
      </c>
    </row>
    <row r="195" spans="2:7">
      <c r="B195" s="25"/>
      <c r="C195" s="49"/>
      <c r="D195" s="49">
        <v>4416</v>
      </c>
      <c r="E195" s="21" t="s">
        <v>334</v>
      </c>
      <c r="F195" s="22" t="s">
        <v>335</v>
      </c>
      <c r="G195" s="52" t="str">
        <f t="shared" si="2"/>
        <v>Capital Expenditure for Investment Upkeep</v>
      </c>
    </row>
    <row r="196" spans="2:7">
      <c r="B196" s="25"/>
      <c r="C196" s="49"/>
      <c r="D196" s="49">
        <v>4417</v>
      </c>
      <c r="E196" s="21" t="s">
        <v>336</v>
      </c>
      <c r="F196" s="22" t="s">
        <v>337</v>
      </c>
      <c r="G196" s="52" t="str">
        <f t="shared" si="2"/>
        <v>Capital Expenditure for Stock</v>
      </c>
    </row>
    <row r="197" spans="2:7">
      <c r="B197" s="25"/>
      <c r="C197" s="49"/>
      <c r="D197" s="49">
        <v>4418</v>
      </c>
      <c r="E197" s="21" t="s">
        <v>338</v>
      </c>
      <c r="F197" s="22" t="s">
        <v>339</v>
      </c>
      <c r="G197" s="52" t="str">
        <f t="shared" si="2"/>
        <v>Capital Expenditure for Securities</v>
      </c>
    </row>
    <row r="198" spans="2:7">
      <c r="B198" s="25"/>
      <c r="C198" s="49"/>
      <c r="D198" s="49">
        <v>4419</v>
      </c>
      <c r="E198" s="21" t="s">
        <v>340</v>
      </c>
      <c r="F198" s="22" t="s">
        <v>341</v>
      </c>
      <c r="G198" s="52" t="str">
        <f t="shared" si="2"/>
        <v>Other Capital Expenditure</v>
      </c>
    </row>
    <row r="199" spans="2:7">
      <c r="B199" s="25"/>
      <c r="C199" s="44"/>
      <c r="D199" s="44">
        <v>45</v>
      </c>
      <c r="E199" s="15" t="s">
        <v>342</v>
      </c>
      <c r="F199" s="16" t="s">
        <v>343</v>
      </c>
      <c r="G199" s="52" t="str">
        <f t="shared" si="2"/>
        <v>Credits and Borrowings</v>
      </c>
    </row>
    <row r="200" spans="2:7">
      <c r="B200" s="14" t="s">
        <v>94</v>
      </c>
      <c r="C200" s="46"/>
      <c r="D200" s="44">
        <v>451</v>
      </c>
      <c r="E200" s="18" t="s">
        <v>115</v>
      </c>
      <c r="F200" s="19" t="s">
        <v>343</v>
      </c>
      <c r="G200" s="52" t="str">
        <f t="shared" si="2"/>
        <v>Credits and Borrowings</v>
      </c>
    </row>
    <row r="201" spans="2:7" ht="23.25">
      <c r="B201" s="14"/>
      <c r="C201" s="49"/>
      <c r="D201" s="49">
        <v>4511</v>
      </c>
      <c r="E201" s="21" t="s">
        <v>344</v>
      </c>
      <c r="F201" s="22" t="s">
        <v>345</v>
      </c>
      <c r="G201" s="52" t="str">
        <f t="shared" si="2"/>
        <v>Credits and Borrowings to Non-Financial Institutions</v>
      </c>
    </row>
    <row r="202" spans="2:7">
      <c r="B202" s="25"/>
      <c r="C202" s="49"/>
      <c r="D202" s="49">
        <v>4512</v>
      </c>
      <c r="E202" s="21" t="s">
        <v>346</v>
      </c>
      <c r="F202" s="22" t="s">
        <v>347</v>
      </c>
      <c r="G202" s="52" t="str">
        <f t="shared" si="2"/>
        <v>Credits and Borrowings to Financial Institutions</v>
      </c>
    </row>
    <row r="203" spans="2:7">
      <c r="B203" s="25"/>
      <c r="C203" s="49"/>
      <c r="D203" s="49">
        <v>4513</v>
      </c>
      <c r="E203" s="21" t="s">
        <v>348</v>
      </c>
      <c r="F203" s="22" t="s">
        <v>349</v>
      </c>
      <c r="G203" s="52" t="str">
        <f t="shared" si="2"/>
        <v>Credits and Borrowings to Individuals</v>
      </c>
    </row>
    <row r="204" spans="2:7" ht="23.25">
      <c r="B204" s="25"/>
      <c r="C204" s="49"/>
      <c r="D204" s="49">
        <v>4514</v>
      </c>
      <c r="E204" s="21" t="s">
        <v>350</v>
      </c>
      <c r="F204" s="22" t="s">
        <v>351</v>
      </c>
      <c r="G204" s="52" t="str">
        <f t="shared" si="2"/>
        <v>Credits and Borrowings to Municipalities and State Funds</v>
      </c>
    </row>
    <row r="205" spans="2:7">
      <c r="B205" s="25"/>
      <c r="C205" s="49"/>
      <c r="D205" s="49">
        <v>4515</v>
      </c>
      <c r="E205" s="21" t="s">
        <v>352</v>
      </c>
      <c r="F205" s="22" t="s">
        <v>353</v>
      </c>
      <c r="G205" s="52" t="str">
        <f t="shared" si="2"/>
        <v>Other Credits and Borrowings</v>
      </c>
    </row>
    <row r="206" spans="2:7">
      <c r="B206" s="25"/>
      <c r="C206" s="44"/>
      <c r="D206" s="44">
        <v>46</v>
      </c>
      <c r="E206" s="15" t="s">
        <v>354</v>
      </c>
      <c r="F206" s="16" t="s">
        <v>355</v>
      </c>
      <c r="G206" s="52" t="str">
        <f t="shared" ref="G206:G279" si="3">+IF(ISBLANK(IF($B$2=1,E206,F206)),"",IF($B$2=1,E206,F206))</f>
        <v>Repayment of Debt</v>
      </c>
    </row>
    <row r="207" spans="2:7">
      <c r="B207" s="14" t="s">
        <v>94</v>
      </c>
      <c r="C207" s="46"/>
      <c r="D207" s="44">
        <v>461</v>
      </c>
      <c r="E207" s="18" t="s">
        <v>356</v>
      </c>
      <c r="F207" s="19" t="s">
        <v>355</v>
      </c>
      <c r="G207" s="52" t="str">
        <f t="shared" si="3"/>
        <v>Repayment of Debt</v>
      </c>
    </row>
    <row r="208" spans="2:7" ht="23.25">
      <c r="B208" s="14"/>
      <c r="C208" s="49"/>
      <c r="D208" s="49">
        <v>4611</v>
      </c>
      <c r="E208" s="21" t="s">
        <v>357</v>
      </c>
      <c r="F208" s="22" t="s">
        <v>358</v>
      </c>
      <c r="G208" s="52" t="str">
        <f t="shared" si="3"/>
        <v>Repayment of Domestic Debt</v>
      </c>
    </row>
    <row r="209" spans="2:7" ht="23.25">
      <c r="B209" s="25"/>
      <c r="C209" s="49"/>
      <c r="D209" s="49">
        <v>4612</v>
      </c>
      <c r="E209" s="21" t="s">
        <v>359</v>
      </c>
      <c r="F209" s="22" t="s">
        <v>360</v>
      </c>
      <c r="G209" s="52" t="str">
        <f t="shared" si="3"/>
        <v>Repayment of Foreign Debt</v>
      </c>
    </row>
    <row r="210" spans="2:7">
      <c r="B210" s="25"/>
      <c r="C210" s="46"/>
      <c r="D210" s="44">
        <v>462</v>
      </c>
      <c r="E210" s="18" t="s">
        <v>361</v>
      </c>
      <c r="F210" s="19" t="s">
        <v>362</v>
      </c>
      <c r="G210" s="52" t="str">
        <f t="shared" si="3"/>
        <v>Repayment of Guarantees</v>
      </c>
    </row>
    <row r="211" spans="2:7">
      <c r="B211" s="14"/>
      <c r="C211" s="49"/>
      <c r="D211" s="49">
        <v>4621</v>
      </c>
      <c r="E211" s="21" t="s">
        <v>363</v>
      </c>
      <c r="F211" s="22" t="s">
        <v>364</v>
      </c>
      <c r="G211" s="52" t="str">
        <f t="shared" si="3"/>
        <v>Repayment of Domestic Guarantees</v>
      </c>
    </row>
    <row r="212" spans="2:7">
      <c r="B212" s="25"/>
      <c r="C212" s="49"/>
      <c r="D212" s="49">
        <v>4622</v>
      </c>
      <c r="E212" s="21" t="s">
        <v>365</v>
      </c>
      <c r="F212" s="22" t="s">
        <v>366</v>
      </c>
      <c r="G212" s="52" t="str">
        <f t="shared" si="3"/>
        <v>Repayment of Foreign Guarantees</v>
      </c>
    </row>
    <row r="213" spans="2:7">
      <c r="B213" s="25"/>
      <c r="C213" s="44">
        <v>463</v>
      </c>
      <c r="D213" s="44">
        <v>4630</v>
      </c>
      <c r="E213" s="18" t="s">
        <v>367</v>
      </c>
      <c r="F213" s="19" t="s">
        <v>368</v>
      </c>
      <c r="G213" s="52" t="str">
        <f t="shared" si="3"/>
        <v>Repayments of Arrears</v>
      </c>
    </row>
    <row r="214" spans="2:7">
      <c r="B214" s="14"/>
      <c r="C214" s="44"/>
      <c r="D214" s="44">
        <v>47</v>
      </c>
      <c r="E214" s="28" t="s">
        <v>369</v>
      </c>
      <c r="F214" s="29" t="s">
        <v>370</v>
      </c>
      <c r="G214" s="52" t="str">
        <f t="shared" si="3"/>
        <v>Reserves</v>
      </c>
    </row>
    <row r="215" spans="2:7">
      <c r="B215" s="14" t="s">
        <v>94</v>
      </c>
      <c r="C215" s="49">
        <v>471</v>
      </c>
      <c r="D215" s="49">
        <v>4710</v>
      </c>
      <c r="E215" s="30" t="s">
        <v>371</v>
      </c>
      <c r="F215" s="31" t="s">
        <v>372</v>
      </c>
      <c r="G215" s="52" t="str">
        <f t="shared" si="3"/>
        <v>Current Budget Reserve</v>
      </c>
    </row>
    <row r="216" spans="2:7">
      <c r="B216" s="25" t="s">
        <v>94</v>
      </c>
      <c r="C216" s="49">
        <v>472</v>
      </c>
      <c r="D216" s="49">
        <v>4720</v>
      </c>
      <c r="E216" s="30" t="s">
        <v>373</v>
      </c>
      <c r="F216" s="31" t="s">
        <v>374</v>
      </c>
      <c r="G216" s="52" t="str">
        <f t="shared" si="3"/>
        <v>Permanent Budget Reserve</v>
      </c>
    </row>
    <row r="217" spans="2:7">
      <c r="B217" s="25"/>
      <c r="C217" s="49">
        <v>473</v>
      </c>
      <c r="D217" s="51">
        <v>4730</v>
      </c>
      <c r="E217" s="35" t="s">
        <v>375</v>
      </c>
      <c r="F217" s="36" t="s">
        <v>376</v>
      </c>
      <c r="G217" s="53" t="str">
        <f t="shared" si="3"/>
        <v>Other Reserves</v>
      </c>
    </row>
    <row r="218" spans="2:7">
      <c r="B218" s="25"/>
      <c r="C218" s="49"/>
      <c r="D218" s="92"/>
      <c r="E218" s="93"/>
      <c r="F218" s="94"/>
      <c r="G218" s="95"/>
    </row>
    <row r="219" spans="2:7">
      <c r="B219" s="25"/>
      <c r="C219" s="49"/>
      <c r="D219" s="49">
        <v>1000</v>
      </c>
      <c r="E219" s="30" t="s">
        <v>552</v>
      </c>
      <c r="F219" s="96" t="s">
        <v>553</v>
      </c>
      <c r="G219" s="52" t="str">
        <f t="shared" si="3"/>
        <v>Surplus / deficit</v>
      </c>
    </row>
    <row r="220" spans="2:7">
      <c r="B220" s="25"/>
      <c r="C220" s="49"/>
      <c r="D220" s="49">
        <v>1001</v>
      </c>
      <c r="E220" s="30" t="s">
        <v>554</v>
      </c>
      <c r="F220" s="96" t="s">
        <v>555</v>
      </c>
      <c r="G220" s="52" t="str">
        <f t="shared" si="3"/>
        <v>Primary balance</v>
      </c>
    </row>
    <row r="221" spans="2:7">
      <c r="B221" s="25"/>
      <c r="C221" s="49"/>
      <c r="D221" s="49"/>
      <c r="E221" s="30"/>
      <c r="F221" s="96" t="s">
        <v>94</v>
      </c>
      <c r="G221" s="52" t="str">
        <f t="shared" si="3"/>
        <v xml:space="preserve"> </v>
      </c>
    </row>
    <row r="222" spans="2:7">
      <c r="B222" s="25"/>
      <c r="C222" s="49"/>
      <c r="D222" s="49">
        <v>1002</v>
      </c>
      <c r="E222" s="30" t="s">
        <v>550</v>
      </c>
      <c r="F222" s="96" t="s">
        <v>556</v>
      </c>
      <c r="G222" s="52" t="str">
        <f t="shared" si="3"/>
        <v>Financing needs</v>
      </c>
    </row>
    <row r="223" spans="2:7">
      <c r="B223" s="25"/>
      <c r="C223" s="49"/>
      <c r="D223" s="49">
        <v>1003</v>
      </c>
      <c r="E223" s="30" t="s">
        <v>551</v>
      </c>
      <c r="F223" s="96" t="s">
        <v>557</v>
      </c>
      <c r="G223" s="52" t="str">
        <f t="shared" si="3"/>
        <v>Financing</v>
      </c>
    </row>
    <row r="224" spans="2:7">
      <c r="B224" s="25"/>
      <c r="C224" s="49"/>
      <c r="D224" s="49"/>
      <c r="E224" s="30"/>
      <c r="F224" s="96"/>
      <c r="G224" s="52" t="str">
        <f t="shared" si="3"/>
        <v/>
      </c>
    </row>
    <row r="225" spans="2:7">
      <c r="B225" s="25"/>
      <c r="C225" s="49"/>
      <c r="D225" s="49">
        <v>1004</v>
      </c>
      <c r="E225" s="30" t="s">
        <v>558</v>
      </c>
      <c r="F225" s="96" t="s">
        <v>559</v>
      </c>
      <c r="G225" s="52" t="str">
        <f t="shared" si="3"/>
        <v>Increase / decrease of deposits</v>
      </c>
    </row>
    <row r="226" spans="2:7">
      <c r="B226" s="25"/>
      <c r="C226" s="49"/>
      <c r="D226" s="49"/>
      <c r="E226" s="30"/>
      <c r="F226" s="96"/>
    </row>
    <row r="227" spans="2:7">
      <c r="B227" s="25"/>
      <c r="C227" s="49"/>
      <c r="D227" s="49">
        <v>1005</v>
      </c>
      <c r="E227" s="30" t="s">
        <v>694</v>
      </c>
      <c r="F227" s="96" t="s">
        <v>695</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422</v>
      </c>
      <c r="D231" s="49">
        <v>1</v>
      </c>
      <c r="E231" s="9" t="s">
        <v>377</v>
      </c>
      <c r="F231" s="10" t="s">
        <v>378</v>
      </c>
      <c r="G231" s="52" t="str">
        <f t="shared" si="3"/>
        <v>January</v>
      </c>
    </row>
    <row r="232" spans="2:7">
      <c r="C232" s="41" t="s">
        <v>427</v>
      </c>
      <c r="D232" s="49">
        <v>2</v>
      </c>
      <c r="E232" s="9" t="s">
        <v>379</v>
      </c>
      <c r="F232" s="10" t="s">
        <v>380</v>
      </c>
      <c r="G232" s="52" t="str">
        <f t="shared" si="3"/>
        <v>February</v>
      </c>
    </row>
    <row r="233" spans="2:7">
      <c r="C233" s="41" t="s">
        <v>428</v>
      </c>
      <c r="D233" s="49">
        <v>3</v>
      </c>
      <c r="E233" s="9" t="s">
        <v>381</v>
      </c>
      <c r="F233" s="10" t="s">
        <v>382</v>
      </c>
      <c r="G233" s="52" t="str">
        <f t="shared" si="3"/>
        <v>March</v>
      </c>
    </row>
    <row r="234" spans="2:7">
      <c r="D234" s="49">
        <v>4</v>
      </c>
      <c r="E234" s="9" t="s">
        <v>383</v>
      </c>
      <c r="F234" s="10" t="s">
        <v>383</v>
      </c>
      <c r="G234" s="52" t="str">
        <f t="shared" si="3"/>
        <v>April</v>
      </c>
    </row>
    <row r="235" spans="2:7">
      <c r="D235" s="49">
        <v>5</v>
      </c>
      <c r="E235" s="9" t="s">
        <v>384</v>
      </c>
      <c r="F235" s="10" t="s">
        <v>385</v>
      </c>
      <c r="G235" s="52" t="str">
        <f t="shared" si="3"/>
        <v>May</v>
      </c>
    </row>
    <row r="236" spans="2:7">
      <c r="D236" s="49">
        <v>6</v>
      </c>
      <c r="E236" s="9" t="s">
        <v>386</v>
      </c>
      <c r="F236" s="10" t="s">
        <v>387</v>
      </c>
      <c r="G236" s="52" t="str">
        <f t="shared" si="3"/>
        <v>June</v>
      </c>
    </row>
    <row r="237" spans="2:7">
      <c r="D237" s="49">
        <v>7</v>
      </c>
      <c r="E237" s="9" t="s">
        <v>388</v>
      </c>
      <c r="F237" s="10" t="s">
        <v>389</v>
      </c>
      <c r="G237" s="52" t="str">
        <f t="shared" si="3"/>
        <v>July</v>
      </c>
    </row>
    <row r="238" spans="2:7">
      <c r="D238" s="49">
        <v>8</v>
      </c>
      <c r="E238" s="9" t="s">
        <v>390</v>
      </c>
      <c r="F238" s="10" t="s">
        <v>391</v>
      </c>
      <c r="G238" s="52" t="str">
        <f t="shared" si="3"/>
        <v>August</v>
      </c>
    </row>
    <row r="239" spans="2:7">
      <c r="D239" s="49">
        <v>9</v>
      </c>
      <c r="E239" s="9" t="s">
        <v>392</v>
      </c>
      <c r="F239" s="10" t="s">
        <v>393</v>
      </c>
      <c r="G239" s="52" t="str">
        <f t="shared" si="3"/>
        <v>September</v>
      </c>
    </row>
    <row r="240" spans="2:7">
      <c r="D240" s="49">
        <v>10</v>
      </c>
      <c r="E240" s="9" t="s">
        <v>394</v>
      </c>
      <c r="F240" s="10" t="s">
        <v>395</v>
      </c>
      <c r="G240" s="52" t="str">
        <f t="shared" si="3"/>
        <v>October</v>
      </c>
    </row>
    <row r="241" spans="4:7">
      <c r="D241" s="49">
        <v>11</v>
      </c>
      <c r="E241" s="9" t="s">
        <v>396</v>
      </c>
      <c r="F241" s="10" t="s">
        <v>397</v>
      </c>
      <c r="G241" s="52" t="str">
        <f t="shared" si="3"/>
        <v>November</v>
      </c>
    </row>
    <row r="242" spans="4:7">
      <c r="D242" s="49">
        <v>12</v>
      </c>
      <c r="E242" s="9" t="s">
        <v>398</v>
      </c>
      <c r="F242" s="10" t="s">
        <v>399</v>
      </c>
      <c r="G242" s="52" t="str">
        <f t="shared" si="3"/>
        <v>December</v>
      </c>
    </row>
    <row r="243" spans="4:7">
      <c r="D243" s="49"/>
      <c r="E243" s="9"/>
      <c r="F243" s="10"/>
      <c r="G243" s="6"/>
    </row>
    <row r="244" spans="4:7">
      <c r="D244" s="49"/>
      <c r="E244" s="9"/>
      <c r="F244" s="10"/>
      <c r="G244" s="52" t="str">
        <f>+VLOOKUP($B$3,$D$231:$F$242,$B$2+1,FALSE)</f>
        <v>October</v>
      </c>
    </row>
    <row r="245" spans="4:7">
      <c r="D245" s="49"/>
      <c r="E245" s="9"/>
      <c r="F245" s="10"/>
      <c r="G245" s="52" t="str">
        <f>+CONCATENATE("Jan - ",LEFT(G244,3))</f>
        <v>Jan - Oct</v>
      </c>
    </row>
    <row r="246" spans="4:7">
      <c r="D246" s="49"/>
      <c r="E246" s="9"/>
      <c r="F246" s="10"/>
      <c r="G246" s="52" t="str">
        <f>+CONCATENATE("Jan - ",LEFT(G242,3))</f>
        <v>Jan - Dec</v>
      </c>
    </row>
    <row r="247" spans="4:7">
      <c r="D247" s="49"/>
      <c r="E247" s="9"/>
      <c r="F247" s="10"/>
    </row>
    <row r="248" spans="4:7">
      <c r="D248" s="46"/>
      <c r="E248" s="9" t="s">
        <v>425</v>
      </c>
      <c r="F248" s="10" t="s">
        <v>426</v>
      </c>
      <c r="G248" s="52" t="str">
        <f t="shared" si="3"/>
        <v>GDP</v>
      </c>
    </row>
    <row r="249" spans="4:7">
      <c r="D249" s="46"/>
      <c r="E249" s="9"/>
      <c r="F249" s="10"/>
      <c r="G249" s="52" t="str">
        <f>+CONCATENATE("% ",G248)</f>
        <v>% GDP</v>
      </c>
    </row>
    <row r="250" spans="4:7">
      <c r="D250" s="46"/>
      <c r="E250" s="9"/>
      <c r="F250" s="10"/>
    </row>
    <row r="251" spans="4:7">
      <c r="D251" s="46"/>
      <c r="E251" s="9" t="s">
        <v>563</v>
      </c>
      <c r="F251" s="10" t="s">
        <v>560</v>
      </c>
      <c r="G251" s="52" t="str">
        <f t="shared" si="3"/>
        <v>Budget Execution</v>
      </c>
    </row>
    <row r="252" spans="4:7">
      <c r="D252" s="46"/>
      <c r="E252" s="9" t="s">
        <v>561</v>
      </c>
      <c r="F252" s="10" t="s">
        <v>562</v>
      </c>
      <c r="G252" s="52" t="str">
        <f t="shared" si="3"/>
        <v>Planned Budget Execution</v>
      </c>
    </row>
    <row r="253" spans="4:7">
      <c r="D253" s="46"/>
      <c r="E253" s="9" t="str">
        <f>+CONCATENATE("Analitika za period ",G244)</f>
        <v>Analitika za period October</v>
      </c>
      <c r="F253" s="10" t="str">
        <f>+CONCATENATE("Analytics for period ",G244)</f>
        <v>Analytics for period October</v>
      </c>
      <c r="G253" s="52" t="str">
        <f>+IF(ISBLANK(IF($B$2=1,E253,F253)),"",IF($B$2=1,E253,F253))</f>
        <v>Analytics for period October</v>
      </c>
    </row>
    <row r="254" spans="4:7">
      <c r="D254" s="46"/>
      <c r="E254" s="9" t="str">
        <f>+CONCATENATE("Analitika za period ",G245)</f>
        <v>Analitika za period Jan - Oct</v>
      </c>
      <c r="F254" s="10" t="str">
        <f>+CONCATENATE("Analytics for period ",G245)</f>
        <v>Analytics for period Jan - Oct</v>
      </c>
      <c r="G254" s="52" t="str">
        <f>+IF(ISBLANK(IF($B$2=1,E254,F254)),"",IF($B$2=1,E254,F254))</f>
        <v>Analytics for period Jan - Oct</v>
      </c>
    </row>
    <row r="255" spans="4:7">
      <c r="D255" s="39"/>
      <c r="E255" s="144"/>
      <c r="F255" s="145"/>
      <c r="G255" s="54"/>
    </row>
    <row r="256" spans="4:7">
      <c r="D256" s="46"/>
      <c r="E256" s="9"/>
      <c r="F256" s="10"/>
    </row>
    <row r="257" spans="4:7">
      <c r="D257" s="46"/>
      <c r="E257" s="9" t="s">
        <v>414</v>
      </c>
      <c r="F257" s="10" t="s">
        <v>414</v>
      </c>
      <c r="G257" s="52" t="str">
        <f t="shared" si="3"/>
        <v>Plan</v>
      </c>
    </row>
    <row r="258" spans="4:7">
      <c r="D258" s="46"/>
      <c r="E258" s="9" t="s">
        <v>415</v>
      </c>
      <c r="F258" s="10" t="s">
        <v>416</v>
      </c>
      <c r="G258" s="52" t="str">
        <f t="shared" si="3"/>
        <v>Execution</v>
      </c>
    </row>
    <row r="259" spans="4:7">
      <c r="D259" s="46"/>
      <c r="E259" s="9"/>
      <c r="F259" s="10"/>
    </row>
    <row r="260" spans="4:7">
      <c r="D260" s="46"/>
      <c r="E260" s="9" t="s">
        <v>686</v>
      </c>
      <c r="F260" s="10" t="s">
        <v>687</v>
      </c>
      <c r="G260" s="52" t="str">
        <f t="shared" si="3"/>
        <v>Deviation</v>
      </c>
    </row>
    <row r="261" spans="4:7">
      <c r="D261" s="46"/>
      <c r="E261" s="9"/>
      <c r="F261" s="10"/>
    </row>
    <row r="262" spans="4:7">
      <c r="D262" s="46"/>
      <c r="E262" s="9" t="s">
        <v>691</v>
      </c>
      <c r="F262" s="10" t="s">
        <v>692</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424</v>
      </c>
      <c r="E269" s="9" t="s">
        <v>400</v>
      </c>
      <c r="F269" s="10" t="s">
        <v>401</v>
      </c>
      <c r="G269" s="52" t="str">
        <f>+CONCATENATE(IF(ISBLANK(IF($B$2=1,E269,F269)),"",IF($B$2=1,E269,F269))," ",$G$244)</f>
        <v>Revenues for October</v>
      </c>
    </row>
    <row r="270" spans="4:7">
      <c r="E270" s="9" t="s">
        <v>402</v>
      </c>
      <c r="F270" s="10" t="s">
        <v>403</v>
      </c>
      <c r="G270" s="52" t="str">
        <f>+CONCATENATE(IF(ISBLANK(IF($B$2=1,E270,F270)),"",IF($B$2=1,E270,F270))," ",$G$244)</f>
        <v>Expenditures for October</v>
      </c>
    </row>
    <row r="271" spans="4:7">
      <c r="E271" s="9" t="s">
        <v>736</v>
      </c>
      <c r="F271" s="10" t="s">
        <v>404</v>
      </c>
      <c r="G271" s="52" t="str">
        <f>+CONCATENATE(IF(ISBLANK(IF($B$2=1,E271,F271)),"",IF($B$2=1,E271,F271))," ",$G$244)</f>
        <v>Deficit for October</v>
      </c>
    </row>
    <row r="273" spans="5:7">
      <c r="E273" s="9" t="s">
        <v>405</v>
      </c>
      <c r="F273" s="10" t="s">
        <v>408</v>
      </c>
      <c r="G273" s="52" t="str">
        <f>+CONCATENATE(IF(ISBLANK(IF($B$2=1,E273,F273)),"",IF($B$2=1,E273,F273))," ",$G$244)</f>
        <v>Revenues for period January - October</v>
      </c>
    </row>
    <row r="274" spans="5:7">
      <c r="E274" s="9" t="s">
        <v>406</v>
      </c>
      <c r="F274" s="10" t="s">
        <v>409</v>
      </c>
      <c r="G274" s="52" t="str">
        <f>+CONCATENATE(IF(ISBLANK(IF($B$2=1,E274,F274)),"",IF($B$2=1,E274,F274))," ",$G$244)</f>
        <v>Expenditures for period January - October</v>
      </c>
    </row>
    <row r="275" spans="5:7">
      <c r="E275" s="9" t="s">
        <v>793</v>
      </c>
      <c r="F275" s="10" t="s">
        <v>794</v>
      </c>
      <c r="G275" s="52" t="str">
        <f>+CONCATENATE(IF(ISBLANK(IF($B$2=1,E275,F275)),"",IF($B$2=1,E275,F275))," ",$G$244)</f>
        <v>Surplus/Deficit for period January - October</v>
      </c>
    </row>
    <row r="277" spans="5:7">
      <c r="E277" s="9" t="s">
        <v>412</v>
      </c>
      <c r="F277" s="10" t="s">
        <v>413</v>
      </c>
      <c r="G277" s="52" t="str">
        <f t="shared" si="3"/>
        <v>Public debt (% GDP)</v>
      </c>
    </row>
    <row r="279" spans="5:7">
      <c r="E279" s="9" t="s">
        <v>410</v>
      </c>
      <c r="F279" s="10" t="s">
        <v>411</v>
      </c>
      <c r="G279" s="52" t="str">
        <f t="shared" si="3"/>
        <v>Breakdown</v>
      </c>
    </row>
    <row r="281" spans="5:7" ht="60">
      <c r="E281" s="301" t="s">
        <v>696</v>
      </c>
      <c r="F281" s="60" t="s">
        <v>697</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tabSelected="1" workbookViewId="0">
      <pane ySplit="5" topLeftCell="A6" activePane="bottomLeft" state="frozen"/>
      <selection activeCell="DK219" sqref="DK219"/>
      <selection pane="bottomLeft" activeCell="E34" sqref="E34"/>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Directorate for State Budget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October</v>
      </c>
      <c r="E11" s="157"/>
      <c r="F11" s="157"/>
      <c r="G11" s="157"/>
      <c r="H11" s="318" t="str">
        <f>+Master!G273</f>
        <v>Revenues for period January - October</v>
      </c>
      <c r="I11" s="319"/>
      <c r="J11" s="307"/>
      <c r="K11" s="158"/>
    </row>
    <row r="12" spans="3:11">
      <c r="C12" s="156"/>
      <c r="D12" s="160">
        <f>+'Analytics - 2019'!N10</f>
        <v>156576999.77000001</v>
      </c>
      <c r="E12" s="161">
        <f>+D12/'2019'!T7</f>
        <v>3.2504411320088855E-2</v>
      </c>
      <c r="F12" s="157"/>
      <c r="G12" s="157"/>
      <c r="H12" s="320">
        <f>+'Analytics - 2019'!G10</f>
        <v>1494736888.51</v>
      </c>
      <c r="I12" s="321">
        <f>+H12/'2019'!T7</f>
        <v>0.31029808152415356</v>
      </c>
      <c r="J12" s="307"/>
      <c r="K12" s="158"/>
    </row>
    <row r="13" spans="3:11">
      <c r="C13" s="156"/>
      <c r="D13" s="162" t="s">
        <v>423</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October</v>
      </c>
      <c r="E15" s="157"/>
      <c r="F15" s="157"/>
      <c r="G15" s="157"/>
      <c r="H15" s="318" t="str">
        <f>+Master!G274</f>
        <v>Expenditures for period January - October</v>
      </c>
      <c r="I15" s="319"/>
      <c r="J15" s="307"/>
      <c r="K15" s="158"/>
    </row>
    <row r="16" spans="3:11">
      <c r="C16" s="156"/>
      <c r="D16" s="160">
        <f>+'Analytics - 2019'!N29</f>
        <v>153584886.19</v>
      </c>
      <c r="E16" s="161">
        <f>+D16/'2019'!T7</f>
        <v>3.1883267150360176E-2</v>
      </c>
      <c r="F16" s="157"/>
      <c r="G16" s="157"/>
      <c r="H16" s="320">
        <f>+'Analytics - 2019'!G29</f>
        <v>1530113895.8600001</v>
      </c>
      <c r="I16" s="321">
        <f>+H16/'2019'!T7</f>
        <v>0.31764212822237448</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October</v>
      </c>
      <c r="E19" s="157"/>
      <c r="F19" s="157"/>
      <c r="G19" s="157"/>
      <c r="H19" s="318" t="str">
        <f>+Master!G275</f>
        <v>Surplus/Deficit for period January - October</v>
      </c>
      <c r="I19" s="319"/>
      <c r="J19" s="307"/>
      <c r="K19" s="158"/>
    </row>
    <row r="20" spans="3:11">
      <c r="C20" s="156"/>
      <c r="D20" s="160">
        <f>+'Analytics - 2019'!N55</f>
        <v>2992113.5800000131</v>
      </c>
      <c r="E20" s="161">
        <f>+D20/'2019'!T7</f>
        <v>6.2114416972867763E-4</v>
      </c>
      <c r="F20" s="157"/>
      <c r="G20" s="157"/>
      <c r="H20" s="320">
        <f>+'Analytics - 2019'!G55</f>
        <v>-35377007.350000039</v>
      </c>
      <c r="I20" s="321">
        <f>+H20/'2019'!T7</f>
        <v>-7.3440466982209298E-3</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4"/>
      <c r="E22" s="505"/>
      <c r="F22" s="505"/>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topLeftCell="B1" zoomScaleNormal="100" workbookViewId="0">
      <pane ySplit="5" topLeftCell="A6" activePane="bottomLeft" state="frozen"/>
      <selection activeCell="DK219" sqref="DK219"/>
      <selection pane="bottomLeft" activeCell="I19" sqref="I19"/>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Directorate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2019-10</v>
      </c>
      <c r="O6" s="168" t="str">
        <f>+CONCATENATE(N6,"p")</f>
        <v>2019-10p</v>
      </c>
      <c r="P6" s="152"/>
      <c r="Q6" s="152"/>
      <c r="R6" s="168" t="str">
        <f>+IF(Master!B3-10&gt;=0,CONCATENATE(Master!B4-1,"-",Master!B3),CONCATENATE(Master!B4-1,"-0",Master!B3))</f>
        <v>2018-10</v>
      </c>
      <c r="S6" s="152"/>
      <c r="T6" s="152"/>
    </row>
    <row r="7" spans="1:20">
      <c r="A7" s="169"/>
      <c r="B7" s="458" t="str">
        <f>+Master!G253</f>
        <v>Analytics for period October</v>
      </c>
      <c r="C7" s="459"/>
      <c r="D7" s="459"/>
      <c r="E7" s="459"/>
      <c r="F7" s="459"/>
      <c r="G7" s="467" t="str">
        <f>+Master!G245</f>
        <v>Jan - Oct</v>
      </c>
      <c r="H7" s="468"/>
      <c r="I7" s="468"/>
      <c r="J7" s="468"/>
      <c r="K7" s="468"/>
      <c r="L7" s="468"/>
      <c r="M7" s="469"/>
      <c r="N7" s="470" t="str">
        <f>+Master!G244</f>
        <v>October</v>
      </c>
      <c r="O7" s="468"/>
      <c r="P7" s="468"/>
      <c r="Q7" s="468"/>
      <c r="R7" s="468"/>
      <c r="S7" s="468"/>
      <c r="T7" s="471"/>
    </row>
    <row r="8" spans="1:20">
      <c r="A8" s="169"/>
      <c r="B8" s="460"/>
      <c r="C8" s="461"/>
      <c r="D8" s="461"/>
      <c r="E8" s="461"/>
      <c r="F8" s="462"/>
      <c r="G8" s="170" t="str">
        <f>+Master!G23</f>
        <v>Execution</v>
      </c>
      <c r="H8" s="170" t="str">
        <f>+Master!G22</f>
        <v>Plan</v>
      </c>
      <c r="I8" s="454" t="str">
        <f>+Master!G260</f>
        <v>Deviation</v>
      </c>
      <c r="J8" s="454"/>
      <c r="K8" s="170" t="str">
        <f>+CONCATENATE(Master!G245," ",Master!B4-1)</f>
        <v>Jan - Oct 2018</v>
      </c>
      <c r="L8" s="454" t="str">
        <f>+I8</f>
        <v>Deviation</v>
      </c>
      <c r="M8" s="466"/>
      <c r="N8" s="171" t="str">
        <f>+G8</f>
        <v>Execution</v>
      </c>
      <c r="O8" s="170" t="str">
        <f>+H8</f>
        <v>Plan</v>
      </c>
      <c r="P8" s="454" t="str">
        <f>+I8</f>
        <v>Deviation</v>
      </c>
      <c r="Q8" s="454"/>
      <c r="R8" s="170" t="str">
        <f>+CONCATENATE(Master!G244," ",Master!B4-1)</f>
        <v>October 2018</v>
      </c>
      <c r="S8" s="454" t="str">
        <f>+P8</f>
        <v>Deviation</v>
      </c>
      <c r="T8" s="455"/>
    </row>
    <row r="9" spans="1:20" ht="15.75" thickBot="1">
      <c r="A9" s="169"/>
      <c r="B9" s="463"/>
      <c r="C9" s="464"/>
      <c r="D9" s="464"/>
      <c r="E9" s="464"/>
      <c r="F9" s="465"/>
      <c r="G9" s="162" t="s">
        <v>423</v>
      </c>
      <c r="H9" s="162" t="s">
        <v>423</v>
      </c>
      <c r="I9" s="162" t="s">
        <v>423</v>
      </c>
      <c r="J9" s="162" t="s">
        <v>688</v>
      </c>
      <c r="K9" s="162" t="s">
        <v>423</v>
      </c>
      <c r="L9" s="162" t="s">
        <v>423</v>
      </c>
      <c r="M9" s="172" t="s">
        <v>688</v>
      </c>
      <c r="N9" s="173" t="s">
        <v>423</v>
      </c>
      <c r="O9" s="162" t="s">
        <v>423</v>
      </c>
      <c r="P9" s="162" t="s">
        <v>423</v>
      </c>
      <c r="Q9" s="162" t="s">
        <v>688</v>
      </c>
      <c r="R9" s="162" t="s">
        <v>423</v>
      </c>
      <c r="S9" s="162" t="s">
        <v>423</v>
      </c>
      <c r="T9" s="174" t="s">
        <v>688</v>
      </c>
    </row>
    <row r="10" spans="1:20" ht="15.75" thickBot="1">
      <c r="A10" s="175">
        <v>7</v>
      </c>
      <c r="B10" s="500" t="str">
        <f>+VLOOKUP($A10,Master!$D$27:$G$225,4,FALSE)</f>
        <v>Total Revenues</v>
      </c>
      <c r="C10" s="501"/>
      <c r="D10" s="501"/>
      <c r="E10" s="501"/>
      <c r="F10" s="501"/>
      <c r="G10" s="176">
        <f>+SUMPRODUCT(('2019'!$G10:$R10)*('2019'!$G$5:$R$5&lt;=Master!$B$3)*($A10='2019'!$A$10:$A$66))</f>
        <v>1494736888.51</v>
      </c>
      <c r="H10" s="176">
        <f>+SUMPRODUCT(('2019'!$G105:$R105)*('2019'!$G$5:$R$5&lt;=Master!$B$3))</f>
        <v>1491955477.6251152</v>
      </c>
      <c r="I10" s="177">
        <f>+G10-H10</f>
        <v>2781410.8848848343</v>
      </c>
      <c r="J10" s="178">
        <f>+IF(ISNUMBER(G10/H10-1),G10/H10-1,"…")</f>
        <v>1.8642720420265491E-3</v>
      </c>
      <c r="K10" s="176">
        <f>+SUMPRODUCT(('2018'!$G10:$R10)*('2018'!$G$5:$R$5&lt;=Master!$B$3))</f>
        <v>1418771721.2300003</v>
      </c>
      <c r="L10" s="177">
        <f>+G10-K10</f>
        <v>75965167.279999733</v>
      </c>
      <c r="M10" s="179">
        <f>+IF(ISNUMBER(G10/K10-1),G10/K10-1,"…")</f>
        <v>5.3542910493128426E-2</v>
      </c>
      <c r="N10" s="176">
        <f>+INDEX('2019'!$1:$1048576,MATCH('Analytics - 2019'!$A10,'2019'!$A:$A,0),MATCH('Analytics - 2019'!$N$6,'2019'!$6:$6,0))</f>
        <v>156576999.77000001</v>
      </c>
      <c r="O10" s="176">
        <f>+INDEX('2019'!$1:$1048576,MATCH(CONCATENATE('Analytics - 2019'!$A10,"p"),'2019'!$A:$A,0),MATCH('Analytics - 2019'!$O$6,'2019'!$101:$101,0))</f>
        <v>188402533.23753721</v>
      </c>
      <c r="P10" s="177">
        <f>+N10-O10</f>
        <v>-31825533.467537194</v>
      </c>
      <c r="Q10" s="178">
        <f>+IF(ISNUMBER(N10/O10-1),N10/O10-1,"…")</f>
        <v>-0.16892306552699943</v>
      </c>
      <c r="R10" s="176">
        <f>+INDEX('2018'!$1:$1048576,MATCH('Analytics - 2019'!$A10,'2018'!$A:$A,0),MATCH('Analytics - 2019'!$R$6,'2018'!$6:$6,0))</f>
        <v>145768654.70000002</v>
      </c>
      <c r="S10" s="177">
        <f>+N10-R10</f>
        <v>10808345.069999993</v>
      </c>
      <c r="T10" s="179">
        <f>+IF(ISNUMBER(N10/R10-1),N10/R10-1,"…")</f>
        <v>7.4147251288311455E-2</v>
      </c>
    </row>
    <row r="11" spans="1:20">
      <c r="A11" s="175">
        <v>711</v>
      </c>
      <c r="B11" s="502" t="str">
        <f>+VLOOKUP($A11,Master!$D$27:$G$225,4,FALSE)</f>
        <v>Taxes</v>
      </c>
      <c r="C11" s="503"/>
      <c r="D11" s="503"/>
      <c r="E11" s="503"/>
      <c r="F11" s="503"/>
      <c r="G11" s="341">
        <f>+SUMPRODUCT(('2019'!$G11:$R11)*('2019'!$G$5:$R$5&lt;=Master!$B$3)*($A11='2019'!$A$10:$A$66))</f>
        <v>980445452.58000004</v>
      </c>
      <c r="H11" s="341">
        <f>+SUMPRODUCT(('2019'!$G106:$R106)*('2019'!$G$5:$R$5&lt;=Master!$B$3))</f>
        <v>945386429.14778745</v>
      </c>
      <c r="I11" s="183">
        <f t="shared" ref="I11:I59" si="0">+G11-H11</f>
        <v>35059023.432212591</v>
      </c>
      <c r="J11" s="184">
        <f t="shared" ref="J11:J59" si="1">+IF(ISNUMBER(G11/H11-1),G11/H11-1,"…")</f>
        <v>3.7084331180654129E-2</v>
      </c>
      <c r="K11" s="341">
        <f>+SUMPRODUCT(('2018'!$G11:$R11)*('2018'!$G$5:$R$5&lt;=Master!$B$3))</f>
        <v>895725585.26999998</v>
      </c>
      <c r="L11" s="183">
        <f>+G11-K11</f>
        <v>84719867.310000062</v>
      </c>
      <c r="M11" s="185">
        <f t="shared" ref="M11:M59" si="2">+IF(ISNUMBER(G11/K11-1),G11/K11-1,"…")</f>
        <v>9.4582390749129663E-2</v>
      </c>
      <c r="N11" s="341">
        <f>+INDEX('2019'!$1:$1048576,MATCH('Analytics - 2019'!$A11,'2019'!$A:$A,0),MATCH('Analytics - 2019'!$N$6,'2019'!$6:$6,0))</f>
        <v>101600991.11</v>
      </c>
      <c r="O11" s="341">
        <f>+INDEX('2019'!$1:$1048576,MATCH(CONCATENATE('Analytics - 2019'!$A11,"p"),'2019'!$A:$A,0),MATCH('Analytics - 2019'!$O$6,'2019'!$101:$101,0))</f>
        <v>96295636.228585869</v>
      </c>
      <c r="P11" s="183">
        <f t="shared" ref="P11:P59" si="3">+N11-O11</f>
        <v>5305354.8814141303</v>
      </c>
      <c r="Q11" s="184">
        <f t="shared" ref="Q11:Q59" si="4">+IF(ISNUMBER(N11/O11-1),N11/O11-1,"…")</f>
        <v>5.5094447569984606E-2</v>
      </c>
      <c r="R11" s="341">
        <f>+INDEX('2018'!$1:$1048576,MATCH('Analytics - 2019'!$A11,'2018'!$A:$A,0),MATCH('Analytics - 2019'!$R$6,'2018'!$6:$6,0))</f>
        <v>89707200.510000005</v>
      </c>
      <c r="S11" s="183">
        <f t="shared" ref="S11:S59" si="5">+N11-R11</f>
        <v>11893790.599999994</v>
      </c>
      <c r="T11" s="185">
        <f t="shared" ref="T11:T59" si="6">+IF(ISNUMBER(N11/R11-1),N11/R11-1,"…")</f>
        <v>0.1325845699384427</v>
      </c>
    </row>
    <row r="12" spans="1:20">
      <c r="A12" s="175">
        <v>7111</v>
      </c>
      <c r="B12" s="488" t="str">
        <f>+VLOOKUP($A12,Master!$D$27:$G$225,4,FALSE)</f>
        <v>Personal Income Tax</v>
      </c>
      <c r="C12" s="489"/>
      <c r="D12" s="489"/>
      <c r="E12" s="489"/>
      <c r="F12" s="489"/>
      <c r="G12" s="188">
        <f>+SUMPRODUCT(('2019'!$G12:$R12)*('2019'!$G$5:$R$5&lt;=Master!$B$3)*($A12='2019'!$A$10:$A$66))</f>
        <v>96372014.319999993</v>
      </c>
      <c r="H12" s="188">
        <f>+SUMPRODUCT(('2019'!$G107:$R107)*('2019'!$G$5:$R$5&lt;=Master!$B$3))</f>
        <v>93338868.012191847</v>
      </c>
      <c r="I12" s="189">
        <f t="shared" si="0"/>
        <v>3033146.3078081459</v>
      </c>
      <c r="J12" s="190">
        <f t="shared" si="1"/>
        <v>3.2496069133942873E-2</v>
      </c>
      <c r="K12" s="188">
        <f>+SUMPRODUCT(('2018'!$G12:$R12)*('2018'!$G$5:$R$5&lt;=Master!$B$3))</f>
        <v>95520952.170000017</v>
      </c>
      <c r="L12" s="189">
        <f>+G12-K12</f>
        <v>851062.14999997616</v>
      </c>
      <c r="M12" s="191">
        <f t="shared" si="2"/>
        <v>8.9096908130199548E-3</v>
      </c>
      <c r="N12" s="188">
        <f>+INDEX('2019'!$1:$1048576,MATCH('Analytics - 2019'!$A12,'2019'!$A:$A,0),MATCH('Analytics - 2019'!$N$6,'2019'!$6:$6,0))</f>
        <v>10824900.91</v>
      </c>
      <c r="O12" s="188">
        <f>+INDEX('2019'!$1:$1048576,MATCH(CONCATENATE('Analytics - 2019'!$A12,"p"),'2019'!$A:$A,0),MATCH('Analytics - 2019'!$O$6,'2019'!$101:$101,0))</f>
        <v>9589847.5886837803</v>
      </c>
      <c r="P12" s="189">
        <f t="shared" si="3"/>
        <v>1235053.3213162199</v>
      </c>
      <c r="Q12" s="190">
        <f t="shared" si="4"/>
        <v>0.1287875860272909</v>
      </c>
      <c r="R12" s="188">
        <f>+INDEX('2018'!$1:$1048576,MATCH('Analytics - 2019'!$A12,'2018'!$A:$A,0),MATCH('Analytics - 2019'!$R$6,'2018'!$6:$6,0))</f>
        <v>10275884.26</v>
      </c>
      <c r="S12" s="189">
        <f t="shared" si="5"/>
        <v>549016.65000000037</v>
      </c>
      <c r="T12" s="191">
        <f t="shared" si="6"/>
        <v>5.3427679419970397E-2</v>
      </c>
    </row>
    <row r="13" spans="1:20">
      <c r="A13" s="175">
        <v>7112</v>
      </c>
      <c r="B13" s="488" t="str">
        <f>+VLOOKUP($A13,Master!$D$27:$G$225,4,FALSE)</f>
        <v>Corporate Income Tax</v>
      </c>
      <c r="C13" s="489"/>
      <c r="D13" s="489"/>
      <c r="E13" s="489"/>
      <c r="F13" s="489"/>
      <c r="G13" s="188">
        <f>+SUMPRODUCT(('2019'!$G13:$R13)*('2019'!$G$5:$R$5&lt;=Master!$B$3)*($A13='2019'!$A$10:$A$66))</f>
        <v>64150550.75</v>
      </c>
      <c r="H13" s="188">
        <f>+SUMPRODUCT(('2019'!$G108:$R108)*('2019'!$G$5:$R$5&lt;=Master!$B$3))</f>
        <v>69031674.782190576</v>
      </c>
      <c r="I13" s="189">
        <f t="shared" si="0"/>
        <v>-4881124.0321905762</v>
      </c>
      <c r="J13" s="190">
        <f t="shared" si="1"/>
        <v>-7.0708468939679414E-2</v>
      </c>
      <c r="K13" s="188">
        <f>+SUMPRODUCT(('2018'!$G13:$R13)*('2018'!$G$5:$R$5&lt;=Master!$B$3))</f>
        <v>65557425.61999999</v>
      </c>
      <c r="L13" s="189">
        <f t="shared" ref="L13:L59" si="7">+G13-K13</f>
        <v>-1406874.8699999899</v>
      </c>
      <c r="M13" s="191">
        <f t="shared" si="2"/>
        <v>-2.1460190919558975E-2</v>
      </c>
      <c r="N13" s="188">
        <f>+INDEX('2019'!$1:$1048576,MATCH('Analytics - 2019'!$A13,'2019'!$A:$A,0),MATCH('Analytics - 2019'!$N$6,'2019'!$6:$6,0))</f>
        <v>690017.25</v>
      </c>
      <c r="O13" s="188">
        <f>+INDEX('2019'!$1:$1048576,MATCH(CONCATENATE('Analytics - 2019'!$A13,"p"),'2019'!$A:$A,0),MATCH('Analytics - 2019'!$O$6,'2019'!$101:$101,0))</f>
        <v>5099414.7304318398</v>
      </c>
      <c r="P13" s="189">
        <f t="shared" si="3"/>
        <v>-4409397.4804318398</v>
      </c>
      <c r="Q13" s="190">
        <f t="shared" si="4"/>
        <v>-0.86468697164751562</v>
      </c>
      <c r="R13" s="188">
        <f>+INDEX('2018'!$1:$1048576,MATCH('Analytics - 2019'!$A13,'2018'!$A:$A,0),MATCH('Analytics - 2019'!$R$6,'2018'!$6:$6,0))</f>
        <v>1043872.54</v>
      </c>
      <c r="S13" s="189">
        <f t="shared" si="5"/>
        <v>-353855.29000000004</v>
      </c>
      <c r="T13" s="191">
        <f t="shared" si="6"/>
        <v>-0.33898323448569689</v>
      </c>
    </row>
    <row r="14" spans="1:20">
      <c r="A14" s="175">
        <v>7113</v>
      </c>
      <c r="B14" s="488" t="str">
        <f>+VLOOKUP($A14,Master!$D$27:$G$225,4,FALSE)</f>
        <v xml:space="preserve">Taxes on Sales of Property </v>
      </c>
      <c r="C14" s="489"/>
      <c r="D14" s="489"/>
      <c r="E14" s="489"/>
      <c r="F14" s="489"/>
      <c r="G14" s="188">
        <f>+SUMPRODUCT(('2019'!$G14:$R14)*('2019'!$G$5:$R$5&lt;=Master!$B$3)*($A14='2019'!$A$10:$A$66))</f>
        <v>1575091.19</v>
      </c>
      <c r="H14" s="188">
        <f>+SUMPRODUCT(('2019'!$G109:$R109)*('2019'!$G$5:$R$5&lt;=Master!$B$3))</f>
        <v>1498730.4263851847</v>
      </c>
      <c r="I14" s="189">
        <f t="shared" si="0"/>
        <v>76360.763614815194</v>
      </c>
      <c r="J14" s="190">
        <f t="shared" si="1"/>
        <v>5.0950299180214209E-2</v>
      </c>
      <c r="K14" s="188">
        <f>+SUMPRODUCT(('2018'!$G14:$R14)*('2018'!$G$5:$R$5&lt;=Master!$B$3))</f>
        <v>1433468.22</v>
      </c>
      <c r="L14" s="189">
        <f t="shared" si="7"/>
        <v>141622.96999999997</v>
      </c>
      <c r="M14" s="191">
        <f t="shared" si="2"/>
        <v>9.8797425728768484E-2</v>
      </c>
      <c r="N14" s="188">
        <f>+INDEX('2019'!$1:$1048576,MATCH('Analytics - 2019'!$A14,'2019'!$A:$A,0),MATCH('Analytics - 2019'!$N$6,'2019'!$6:$6,0))</f>
        <v>174049.01</v>
      </c>
      <c r="O14" s="188">
        <f>+INDEX('2019'!$1:$1048576,MATCH(CONCATENATE('Analytics - 2019'!$A14,"p"),'2019'!$A:$A,0),MATCH('Analytics - 2019'!$O$6,'2019'!$101:$101,0))</f>
        <v>134863.8150111227</v>
      </c>
      <c r="P14" s="189">
        <f t="shared" si="3"/>
        <v>39185.194988877309</v>
      </c>
      <c r="Q14" s="190">
        <f t="shared" si="4"/>
        <v>0.29055380782195406</v>
      </c>
      <c r="R14" s="188">
        <f>+INDEX('2018'!$1:$1048576,MATCH('Analytics - 2019'!$A14,'2018'!$A:$A,0),MATCH('Analytics - 2019'!$R$6,'2018'!$6:$6,0))</f>
        <v>155540.06</v>
      </c>
      <c r="S14" s="189">
        <f t="shared" si="5"/>
        <v>18508.950000000012</v>
      </c>
      <c r="T14" s="191">
        <f t="shared" si="6"/>
        <v>0.11899796103974758</v>
      </c>
    </row>
    <row r="15" spans="1:20">
      <c r="A15" s="175">
        <v>7114</v>
      </c>
      <c r="B15" s="488" t="str">
        <f>+VLOOKUP($A15,Master!$D$27:$G$225,4,FALSE)</f>
        <v>Value Added Tax</v>
      </c>
      <c r="C15" s="489"/>
      <c r="D15" s="489"/>
      <c r="E15" s="489"/>
      <c r="F15" s="489"/>
      <c r="G15" s="188">
        <f>+SUMPRODUCT(('2019'!$G15:$R15)*('2019'!$G$5:$R$5&lt;=Master!$B$3)*($A15='2019'!$A$10:$A$66))</f>
        <v>583727136.10000002</v>
      </c>
      <c r="H15" s="188">
        <f>+SUMPRODUCT(('2019'!$G110:$R110)*('2019'!$G$5:$R$5&lt;=Master!$B$3))</f>
        <v>553977493.28527355</v>
      </c>
      <c r="I15" s="189">
        <f t="shared" si="0"/>
        <v>29749642.814726472</v>
      </c>
      <c r="J15" s="190">
        <f t="shared" si="1"/>
        <v>5.3701897956722089E-2</v>
      </c>
      <c r="K15" s="188">
        <f>+SUMPRODUCT(('2018'!$G15:$R15)*('2018'!$G$5:$R$5&lt;=Master!$B$3))</f>
        <v>518208928.78000003</v>
      </c>
      <c r="L15" s="189">
        <f t="shared" si="7"/>
        <v>65518207.319999993</v>
      </c>
      <c r="M15" s="191">
        <f t="shared" si="2"/>
        <v>0.12643203094598743</v>
      </c>
      <c r="N15" s="188">
        <f>+INDEX('2019'!$1:$1048576,MATCH('Analytics - 2019'!$A15,'2019'!$A:$A,0),MATCH('Analytics - 2019'!$N$6,'2019'!$6:$6,0))</f>
        <v>65908952.759999998</v>
      </c>
      <c r="O15" s="188">
        <f>+INDEX('2019'!$1:$1048576,MATCH(CONCATENATE('Analytics - 2019'!$A15,"p"),'2019'!$A:$A,0),MATCH('Analytics - 2019'!$O$6,'2019'!$101:$101,0))</f>
        <v>59046360.535818897</v>
      </c>
      <c r="P15" s="189">
        <f t="shared" si="3"/>
        <v>6862592.2241811007</v>
      </c>
      <c r="Q15" s="190">
        <f t="shared" si="4"/>
        <v>0.1162237970622777</v>
      </c>
      <c r="R15" s="188">
        <f>+INDEX('2018'!$1:$1048576,MATCH('Analytics - 2019'!$A15,'2018'!$A:$A,0),MATCH('Analytics - 2019'!$R$6,'2018'!$6:$6,0))</f>
        <v>56740213.189999998</v>
      </c>
      <c r="S15" s="189">
        <f t="shared" si="5"/>
        <v>9168739.5700000003</v>
      </c>
      <c r="T15" s="191">
        <f t="shared" si="6"/>
        <v>0.16159156010390019</v>
      </c>
    </row>
    <row r="16" spans="1:20">
      <c r="A16" s="175">
        <v>7115</v>
      </c>
      <c r="B16" s="488" t="str">
        <f>+VLOOKUP($A16,Master!$D$27:$G$225,4,FALSE)</f>
        <v>Excises</v>
      </c>
      <c r="C16" s="489"/>
      <c r="D16" s="489"/>
      <c r="E16" s="489"/>
      <c r="F16" s="489"/>
      <c r="G16" s="188">
        <f>+SUMPRODUCT(('2019'!$G16:$R16)*('2019'!$G$5:$R$5&lt;=Master!$B$3)*($A16='2019'!$A$10:$A$66))</f>
        <v>199295138.15000001</v>
      </c>
      <c r="H16" s="188">
        <f>+SUMPRODUCT(('2019'!$G111:$R111)*('2019'!$G$5:$R$5&lt;=Master!$B$3))</f>
        <v>195449257.76261634</v>
      </c>
      <c r="I16" s="189">
        <f t="shared" si="0"/>
        <v>3845880.3873836696</v>
      </c>
      <c r="J16" s="190">
        <f t="shared" si="1"/>
        <v>1.9677129662240445E-2</v>
      </c>
      <c r="K16" s="188">
        <f>+SUMPRODUCT(('2018'!$G16:$R16)*('2018'!$G$5:$R$5&lt;=Master!$B$3))</f>
        <v>184638453.90000001</v>
      </c>
      <c r="L16" s="189">
        <f t="shared" si="7"/>
        <v>14656684.25</v>
      </c>
      <c r="M16" s="191">
        <f t="shared" si="2"/>
        <v>7.9380453748481017E-2</v>
      </c>
      <c r="N16" s="188">
        <f>+INDEX('2019'!$1:$1048576,MATCH('Analytics - 2019'!$A16,'2019'!$A:$A,0),MATCH('Analytics - 2019'!$N$6,'2019'!$6:$6,0))</f>
        <v>20585777.449999999</v>
      </c>
      <c r="O16" s="188">
        <f>+INDEX('2019'!$1:$1048576,MATCH(CONCATENATE('Analytics - 2019'!$A16,"p"),'2019'!$A:$A,0),MATCH('Analytics - 2019'!$O$6,'2019'!$101:$101,0))</f>
        <v>19593872.367677551</v>
      </c>
      <c r="P16" s="189">
        <f t="shared" si="3"/>
        <v>991905.08232244849</v>
      </c>
      <c r="Q16" s="190">
        <f t="shared" si="4"/>
        <v>5.0623228717092017E-2</v>
      </c>
      <c r="R16" s="188">
        <f>+INDEX('2018'!$1:$1048576,MATCH('Analytics - 2019'!$A16,'2018'!$A:$A,0),MATCH('Analytics - 2019'!$R$6,'2018'!$6:$6,0))</f>
        <v>18141856.039999999</v>
      </c>
      <c r="S16" s="189">
        <f t="shared" si="5"/>
        <v>2443921.41</v>
      </c>
      <c r="T16" s="191">
        <f t="shared" si="6"/>
        <v>0.1347117629316168</v>
      </c>
    </row>
    <row r="17" spans="1:20">
      <c r="A17" s="175">
        <v>7116</v>
      </c>
      <c r="B17" s="488" t="str">
        <f>+VLOOKUP($A17,Master!$D$27:$G$225,4,FALSE)</f>
        <v>Tax on International Trade and Transactions</v>
      </c>
      <c r="C17" s="489"/>
      <c r="D17" s="489"/>
      <c r="E17" s="489"/>
      <c r="F17" s="489"/>
      <c r="G17" s="188">
        <f>+SUMPRODUCT(('2019'!$G17:$R17)*('2019'!$G$5:$R$5&lt;=Master!$B$3)*($A17='2019'!$A$10:$A$66))</f>
        <v>24063585.800000001</v>
      </c>
      <c r="H17" s="188">
        <f>+SUMPRODUCT(('2019'!$G112:$R112)*('2019'!$G$5:$R$5&lt;=Master!$B$3))</f>
        <v>23314664.046618193</v>
      </c>
      <c r="I17" s="189">
        <f t="shared" si="0"/>
        <v>748921.75338180736</v>
      </c>
      <c r="J17" s="190">
        <f t="shared" si="1"/>
        <v>3.2122348058900574E-2</v>
      </c>
      <c r="K17" s="188">
        <f>+SUMPRODUCT(('2018'!$G17:$R17)*('2018'!$G$5:$R$5&lt;=Master!$B$3))</f>
        <v>22682604.940000001</v>
      </c>
      <c r="L17" s="189">
        <f t="shared" si="7"/>
        <v>1380980.8599999994</v>
      </c>
      <c r="M17" s="191">
        <f t="shared" si="2"/>
        <v>6.0882815869383933E-2</v>
      </c>
      <c r="N17" s="188">
        <f>+INDEX('2019'!$1:$1048576,MATCH('Analytics - 2019'!$A17,'2019'!$A:$A,0),MATCH('Analytics - 2019'!$N$6,'2019'!$6:$6,0))</f>
        <v>2492699.6800000002</v>
      </c>
      <c r="O17" s="188">
        <f>+INDEX('2019'!$1:$1048576,MATCH(CONCATENATE('Analytics - 2019'!$A17,"p"),'2019'!$A:$A,0),MATCH('Analytics - 2019'!$O$6,'2019'!$101:$101,0))</f>
        <v>2505449.340977564</v>
      </c>
      <c r="P17" s="189">
        <f t="shared" si="3"/>
        <v>-12749.660977563821</v>
      </c>
      <c r="Q17" s="190">
        <f t="shared" si="4"/>
        <v>-5.0887722090557919E-3</v>
      </c>
      <c r="R17" s="188">
        <f>+INDEX('2018'!$1:$1048576,MATCH('Analytics - 2019'!$A17,'2018'!$A:$A,0),MATCH('Analytics - 2019'!$R$6,'2018'!$6:$6,0))</f>
        <v>2570061.1800000002</v>
      </c>
      <c r="S17" s="189">
        <f t="shared" si="5"/>
        <v>-77361.5</v>
      </c>
      <c r="T17" s="191">
        <f t="shared" si="6"/>
        <v>-3.0101034404169336E-2</v>
      </c>
    </row>
    <row r="18" spans="1:20">
      <c r="A18" s="175">
        <v>7118</v>
      </c>
      <c r="B18" s="488" t="str">
        <f>+VLOOKUP($A18,Master!$D$27:$G$225,4,FALSE)</f>
        <v>Other Republic Taxes</v>
      </c>
      <c r="C18" s="489"/>
      <c r="D18" s="489"/>
      <c r="E18" s="489"/>
      <c r="F18" s="489"/>
      <c r="G18" s="188">
        <f>+SUMPRODUCT(('2019'!$G18:$R18)*('2019'!$G$5:$R$5&lt;=Master!$B$3)*($A18='2019'!$A$10:$A$66))</f>
        <v>11261936.270000001</v>
      </c>
      <c r="H18" s="188">
        <f>+SUMPRODUCT(('2019'!$G113:$R113)*('2019'!$G$5:$R$5&lt;=Master!$B$3))</f>
        <v>8775740.8325116765</v>
      </c>
      <c r="I18" s="189">
        <f t="shared" si="0"/>
        <v>2486195.4374883249</v>
      </c>
      <c r="J18" s="190">
        <f t="shared" si="1"/>
        <v>0.28330319740957521</v>
      </c>
      <c r="K18" s="188">
        <f>+SUMPRODUCT(('2018'!$G18:$R18)*('2018'!$G$5:$R$5&lt;=Master!$B$3))</f>
        <v>7683751.6399999997</v>
      </c>
      <c r="L18" s="189">
        <f t="shared" si="7"/>
        <v>3578184.6300000018</v>
      </c>
      <c r="M18" s="191">
        <f t="shared" si="2"/>
        <v>0.46568197381246978</v>
      </c>
      <c r="N18" s="188">
        <f>+INDEX('2019'!$1:$1048576,MATCH('Analytics - 2019'!$A18,'2019'!$A:$A,0),MATCH('Analytics - 2019'!$N$6,'2019'!$6:$6,0))</f>
        <v>924594.05</v>
      </c>
      <c r="O18" s="188">
        <f>+INDEX('2019'!$1:$1048576,MATCH(CONCATENATE('Analytics - 2019'!$A18,"p"),'2019'!$A:$A,0),MATCH('Analytics - 2019'!$O$6,'2019'!$101:$101,0))</f>
        <v>325827.84998510586</v>
      </c>
      <c r="P18" s="189">
        <f t="shared" si="3"/>
        <v>598766.20001489413</v>
      </c>
      <c r="Q18" s="190">
        <f t="shared" si="4"/>
        <v>1.8376765523335861</v>
      </c>
      <c r="R18" s="188">
        <f>+INDEX('2018'!$1:$1048576,MATCH('Analytics - 2019'!$A18,'2018'!$A:$A,0),MATCH('Analytics - 2019'!$R$6,'2018'!$6:$6,0))</f>
        <v>779773.24</v>
      </c>
      <c r="S18" s="189">
        <f t="shared" si="5"/>
        <v>144820.81000000006</v>
      </c>
      <c r="T18" s="191">
        <f t="shared" si="6"/>
        <v>0.18572169775921021</v>
      </c>
    </row>
    <row r="19" spans="1:20">
      <c r="A19" s="175">
        <v>712</v>
      </c>
      <c r="B19" s="498" t="str">
        <f>+VLOOKUP($A19,Master!$D$27:$G$225,4,FALSE)</f>
        <v>Contributions</v>
      </c>
      <c r="C19" s="499"/>
      <c r="D19" s="499"/>
      <c r="E19" s="499"/>
      <c r="F19" s="499"/>
      <c r="G19" s="194">
        <f>+SUMPRODUCT(('2019'!$G19:$R19)*('2019'!$G$5:$R$5&lt;=Master!$B$3)*($A19='2019'!$A$10:$A$66))</f>
        <v>417058690.01999998</v>
      </c>
      <c r="H19" s="194">
        <f>+SUMPRODUCT(('2019'!$G114:$R114)*('2019'!$G$5:$R$5&lt;=Master!$B$3))</f>
        <v>411458838.29926628</v>
      </c>
      <c r="I19" s="195">
        <f t="shared" si="0"/>
        <v>5599851.7207337022</v>
      </c>
      <c r="J19" s="196">
        <f t="shared" si="1"/>
        <v>1.3609749504665647E-2</v>
      </c>
      <c r="K19" s="194">
        <f>+SUMPRODUCT(('2018'!$G19:$R19)*('2018'!$G$5:$R$5&lt;=Master!$B$3))</f>
        <v>399152737.57999998</v>
      </c>
      <c r="L19" s="195">
        <f t="shared" si="7"/>
        <v>17905952.439999998</v>
      </c>
      <c r="M19" s="197">
        <f t="shared" si="2"/>
        <v>4.4859901371492317E-2</v>
      </c>
      <c r="N19" s="194">
        <f>+INDEX('2019'!$1:$1048576,MATCH('Analytics - 2019'!$A19,'2019'!$A:$A,0),MATCH('Analytics - 2019'!$N$6,'2019'!$6:$6,0))</f>
        <v>46487647.670000002</v>
      </c>
      <c r="O19" s="194">
        <f>+INDEX('2019'!$1:$1048576,MATCH(CONCATENATE('Analytics - 2019'!$A19,"p"),'2019'!$A:$A,0),MATCH('Analytics - 2019'!$O$6,'2019'!$101:$101,0))</f>
        <v>46928850.635902815</v>
      </c>
      <c r="P19" s="195">
        <f t="shared" si="3"/>
        <v>-441202.96590281278</v>
      </c>
      <c r="Q19" s="196">
        <f t="shared" si="4"/>
        <v>-9.4015293348197471E-3</v>
      </c>
      <c r="R19" s="194">
        <f>+INDEX('2018'!$1:$1048576,MATCH('Analytics - 2019'!$A19,'2018'!$A:$A,0),MATCH('Analytics - 2019'!$R$6,'2018'!$6:$6,0))</f>
        <v>47821348.07</v>
      </c>
      <c r="S19" s="195">
        <f t="shared" si="5"/>
        <v>-1333700.3999999985</v>
      </c>
      <c r="T19" s="197">
        <f t="shared" si="6"/>
        <v>-2.7889226335647277E-2</v>
      </c>
    </row>
    <row r="20" spans="1:20">
      <c r="A20" s="175">
        <v>7121</v>
      </c>
      <c r="B20" s="488" t="str">
        <f>+VLOOKUP($A20,Master!$D$27:$G$225,4,FALSE)</f>
        <v>Contributions for Pension and Disability Insurance</v>
      </c>
      <c r="C20" s="489"/>
      <c r="D20" s="489"/>
      <c r="E20" s="489"/>
      <c r="F20" s="489"/>
      <c r="G20" s="188">
        <f>+SUMPRODUCT(('2019'!$G20:$R20)*('2019'!$G$5:$R$5&lt;=Master!$B$3)*($A20='2019'!$A$10:$A$66))</f>
        <v>248756258.93000001</v>
      </c>
      <c r="H20" s="188">
        <f>+SUMPRODUCT(('2019'!$G115:$R115)*('2019'!$G$5:$R$5&lt;=Master!$B$3))</f>
        <v>249227018.98225045</v>
      </c>
      <c r="I20" s="189">
        <f t="shared" si="0"/>
        <v>-470760.05225044489</v>
      </c>
      <c r="J20" s="190">
        <f t="shared" si="1"/>
        <v>-1.8888804840375695E-3</v>
      </c>
      <c r="K20" s="188">
        <f>+SUMPRODUCT(('2018'!$G20:$R20)*('2018'!$G$5:$R$5&lt;=Master!$B$3))</f>
        <v>241005373.69000003</v>
      </c>
      <c r="L20" s="189">
        <f t="shared" si="7"/>
        <v>7750885.2399999797</v>
      </c>
      <c r="M20" s="191">
        <f t="shared" si="2"/>
        <v>3.2160632442867376E-2</v>
      </c>
      <c r="N20" s="188">
        <f>+INDEX('2019'!$1:$1048576,MATCH('Analytics - 2019'!$A20,'2019'!$A:$A,0),MATCH('Analytics - 2019'!$N$6,'2019'!$6:$6,0))</f>
        <v>28563512.620000001</v>
      </c>
      <c r="O20" s="188">
        <f>+INDEX('2019'!$1:$1048576,MATCH(CONCATENATE('Analytics - 2019'!$A20,"p"),'2019'!$A:$A,0),MATCH('Analytics - 2019'!$O$6,'2019'!$101:$101,0))</f>
        <v>30509092.335605875</v>
      </c>
      <c r="P20" s="189">
        <f t="shared" si="3"/>
        <v>-1945579.7156058736</v>
      </c>
      <c r="Q20" s="190">
        <f t="shared" si="4"/>
        <v>-6.3770488292608785E-2</v>
      </c>
      <c r="R20" s="188">
        <f>+INDEX('2018'!$1:$1048576,MATCH('Analytics - 2019'!$A20,'2018'!$A:$A,0),MATCH('Analytics - 2019'!$R$6,'2018'!$6:$6,0))</f>
        <v>29472537.77</v>
      </c>
      <c r="S20" s="189">
        <f t="shared" si="5"/>
        <v>-909025.14999999851</v>
      </c>
      <c r="T20" s="191">
        <f t="shared" si="6"/>
        <v>-3.0843124439907998E-2</v>
      </c>
    </row>
    <row r="21" spans="1:20">
      <c r="A21" s="175">
        <v>7122</v>
      </c>
      <c r="B21" s="488" t="str">
        <f>+VLOOKUP($A21,Master!$D$27:$G$225,4,FALSE)</f>
        <v>Contributions for Health Insurance</v>
      </c>
      <c r="C21" s="489"/>
      <c r="D21" s="489"/>
      <c r="E21" s="489"/>
      <c r="F21" s="489"/>
      <c r="G21" s="188">
        <f>+SUMPRODUCT(('2019'!$G21:$R21)*('2019'!$G$5:$R$5&lt;=Master!$B$3)*($A21='2019'!$A$10:$A$66))</f>
        <v>146082649.25</v>
      </c>
      <c r="H21" s="188">
        <f>+SUMPRODUCT(('2019'!$G116:$R116)*('2019'!$G$5:$R$5&lt;=Master!$B$3))</f>
        <v>140619469.19293359</v>
      </c>
      <c r="I21" s="189">
        <f t="shared" si="0"/>
        <v>5463180.0570664108</v>
      </c>
      <c r="J21" s="190">
        <f t="shared" si="1"/>
        <v>3.8850808415233029E-2</v>
      </c>
      <c r="K21" s="188">
        <f>+SUMPRODUCT(('2018'!$G21:$R21)*('2018'!$G$5:$R$5&lt;=Master!$B$3))</f>
        <v>138395746.62</v>
      </c>
      <c r="L21" s="189">
        <f t="shared" si="7"/>
        <v>7686902.6299999952</v>
      </c>
      <c r="M21" s="191">
        <f t="shared" si="2"/>
        <v>5.5542910947301793E-2</v>
      </c>
      <c r="N21" s="188">
        <f>+INDEX('2019'!$1:$1048576,MATCH('Analytics - 2019'!$A21,'2019'!$A:$A,0),MATCH('Analytics - 2019'!$N$6,'2019'!$6:$6,0))</f>
        <v>15344312.359999999</v>
      </c>
      <c r="O21" s="188">
        <f>+INDEX('2019'!$1:$1048576,MATCH(CONCATENATE('Analytics - 2019'!$A21,"p"),'2019'!$A:$A,0),MATCH('Analytics - 2019'!$O$6,'2019'!$101:$101,0))</f>
        <v>14130176.222576067</v>
      </c>
      <c r="P21" s="189">
        <f t="shared" si="3"/>
        <v>1214136.1374239326</v>
      </c>
      <c r="Q21" s="190">
        <f t="shared" si="4"/>
        <v>8.5925052759362019E-2</v>
      </c>
      <c r="R21" s="188">
        <f>+INDEX('2018'!$1:$1048576,MATCH('Analytics - 2019'!$A21,'2018'!$A:$A,0),MATCH('Analytics - 2019'!$R$6,'2018'!$6:$6,0))</f>
        <v>16132677.16</v>
      </c>
      <c r="S21" s="189">
        <f t="shared" si="5"/>
        <v>-788364.80000000075</v>
      </c>
      <c r="T21" s="191">
        <f t="shared" si="6"/>
        <v>-4.8867574313995688E-2</v>
      </c>
    </row>
    <row r="22" spans="1:20">
      <c r="A22" s="175">
        <v>7123</v>
      </c>
      <c r="B22" s="488" t="str">
        <f>+VLOOKUP($A22,Master!$D$27:$G$225,4,FALSE)</f>
        <v>Contributions for  Unemployment Insurance</v>
      </c>
      <c r="C22" s="489"/>
      <c r="D22" s="489"/>
      <c r="E22" s="489"/>
      <c r="F22" s="489"/>
      <c r="G22" s="188">
        <f>+SUMPRODUCT(('2019'!$G22:$R22)*('2019'!$G$5:$R$5&lt;=Master!$B$3)*($A22='2019'!$A$10:$A$66))</f>
        <v>11508054.73</v>
      </c>
      <c r="H22" s="188">
        <f>+SUMPRODUCT(('2019'!$G117:$R117)*('2019'!$G$5:$R$5&lt;=Master!$B$3))</f>
        <v>11340571.073549554</v>
      </c>
      <c r="I22" s="189">
        <f t="shared" si="0"/>
        <v>167483.6564504467</v>
      </c>
      <c r="J22" s="190">
        <f t="shared" si="1"/>
        <v>1.4768538141882503E-2</v>
      </c>
      <c r="K22" s="188">
        <f>+SUMPRODUCT(('2018'!$G22:$R22)*('2018'!$G$5:$R$5&lt;=Master!$B$3))</f>
        <v>10284198.550000001</v>
      </c>
      <c r="L22" s="189">
        <f t="shared" si="7"/>
        <v>1223856.1799999997</v>
      </c>
      <c r="M22" s="191">
        <f t="shared" si="2"/>
        <v>0.11900355424390363</v>
      </c>
      <c r="N22" s="188">
        <f>+INDEX('2019'!$1:$1048576,MATCH('Analytics - 2019'!$A22,'2019'!$A:$A,0),MATCH('Analytics - 2019'!$N$6,'2019'!$6:$6,0))</f>
        <v>1311319.78</v>
      </c>
      <c r="O22" s="188">
        <f>+INDEX('2019'!$1:$1048576,MATCH(CONCATENATE('Analytics - 2019'!$A22,"p"),'2019'!$A:$A,0),MATCH('Analytics - 2019'!$O$6,'2019'!$101:$101,0))</f>
        <v>1329191.3701360417</v>
      </c>
      <c r="P22" s="189">
        <f t="shared" si="3"/>
        <v>-17871.590136041632</v>
      </c>
      <c r="Q22" s="190">
        <f t="shared" si="4"/>
        <v>-1.3445460554120547E-2</v>
      </c>
      <c r="R22" s="188">
        <f>+INDEX('2018'!$1:$1048576,MATCH('Analytics - 2019'!$A22,'2018'!$A:$A,0),MATCH('Analytics - 2019'!$R$6,'2018'!$6:$6,0))</f>
        <v>1217359.6499999999</v>
      </c>
      <c r="S22" s="189">
        <f t="shared" si="5"/>
        <v>93960.130000000121</v>
      </c>
      <c r="T22" s="191">
        <f t="shared" si="6"/>
        <v>7.7183542267069694E-2</v>
      </c>
    </row>
    <row r="23" spans="1:20">
      <c r="A23" s="175">
        <v>7124</v>
      </c>
      <c r="B23" s="488" t="str">
        <f>+VLOOKUP($A23,Master!$D$27:$G$225,4,FALSE)</f>
        <v>Other contributions</v>
      </c>
      <c r="C23" s="489"/>
      <c r="D23" s="489"/>
      <c r="E23" s="489"/>
      <c r="F23" s="489"/>
      <c r="G23" s="188">
        <f>+SUMPRODUCT(('2019'!$G23:$R23)*('2019'!$G$5:$R$5&lt;=Master!$B$3)*($A23='2019'!$A$10:$A$66))</f>
        <v>10711727.109999999</v>
      </c>
      <c r="H23" s="188">
        <f>+SUMPRODUCT(('2019'!$G118:$R118)*('2019'!$G$5:$R$5&lt;=Master!$B$3))</f>
        <v>10271779.050532673</v>
      </c>
      <c r="I23" s="189">
        <f t="shared" si="0"/>
        <v>439948.05946732685</v>
      </c>
      <c r="J23" s="190">
        <f t="shared" si="1"/>
        <v>4.2830755734033499E-2</v>
      </c>
      <c r="K23" s="188">
        <f>+SUMPRODUCT(('2018'!$G23:$R23)*('2018'!$G$5:$R$5&lt;=Master!$B$3))</f>
        <v>9467418.7200000007</v>
      </c>
      <c r="L23" s="189">
        <f t="shared" si="7"/>
        <v>1244308.3899999987</v>
      </c>
      <c r="M23" s="191">
        <f t="shared" si="2"/>
        <v>0.13143058597074475</v>
      </c>
      <c r="N23" s="188">
        <f>+INDEX('2019'!$1:$1048576,MATCH('Analytics - 2019'!$A23,'2019'!$A:$A,0),MATCH('Analytics - 2019'!$N$6,'2019'!$6:$6,0))</f>
        <v>1268502.9099999999</v>
      </c>
      <c r="O23" s="188">
        <f>+INDEX('2019'!$1:$1048576,MATCH(CONCATENATE('Analytics - 2019'!$A23,"p"),'2019'!$A:$A,0),MATCH('Analytics - 2019'!$O$6,'2019'!$101:$101,0))</f>
        <v>960390.70758482651</v>
      </c>
      <c r="P23" s="189">
        <f t="shared" si="3"/>
        <v>308112.20241517341</v>
      </c>
      <c r="Q23" s="190">
        <f t="shared" si="4"/>
        <v>0.3208196414040787</v>
      </c>
      <c r="R23" s="188">
        <f>+INDEX('2018'!$1:$1048576,MATCH('Analytics - 2019'!$A23,'2018'!$A:$A,0),MATCH('Analytics - 2019'!$R$6,'2018'!$6:$6,0))</f>
        <v>998773.49</v>
      </c>
      <c r="S23" s="189">
        <f t="shared" si="5"/>
        <v>269729.41999999993</v>
      </c>
      <c r="T23" s="191">
        <f t="shared" si="6"/>
        <v>0.27006065209039543</v>
      </c>
    </row>
    <row r="24" spans="1:20">
      <c r="A24" s="175">
        <v>713</v>
      </c>
      <c r="B24" s="490" t="str">
        <f>+VLOOKUP($A24,Master!$D$27:$G$225,4,FALSE)</f>
        <v>Duties</v>
      </c>
      <c r="C24" s="491"/>
      <c r="D24" s="491"/>
      <c r="E24" s="491"/>
      <c r="F24" s="491"/>
      <c r="G24" s="200">
        <f>+SUMPRODUCT(('2019'!$G24:$R24)*('2019'!$G$5:$R$5&lt;=Master!$B$3)*($A24='2019'!$A$10:$A$66))</f>
        <v>13127353.759999998</v>
      </c>
      <c r="H24" s="200">
        <f>+SUMPRODUCT(('2019'!$G119:$R119)*('2019'!$G$5:$R$5&lt;=Master!$B$3))</f>
        <v>12937941.782346457</v>
      </c>
      <c r="I24" s="201">
        <f t="shared" si="0"/>
        <v>189411.97765354067</v>
      </c>
      <c r="J24" s="202">
        <f t="shared" si="1"/>
        <v>1.4640039415851236E-2</v>
      </c>
      <c r="K24" s="200">
        <f>+SUMPRODUCT(('2018'!$G24:$R24)*('2018'!$G$5:$R$5&lt;=Master!$B$3))</f>
        <v>14122179.120000001</v>
      </c>
      <c r="L24" s="201">
        <f t="shared" si="7"/>
        <v>-994825.36000000313</v>
      </c>
      <c r="M24" s="203">
        <f t="shared" si="2"/>
        <v>-7.0444182271496625E-2</v>
      </c>
      <c r="N24" s="200">
        <f>+INDEX('2019'!$1:$1048576,MATCH('Analytics - 2019'!$A24,'2019'!$A:$A,0),MATCH('Analytics - 2019'!$N$6,'2019'!$6:$6,0))</f>
        <v>1334131.8600000001</v>
      </c>
      <c r="O24" s="200">
        <f>+INDEX('2019'!$1:$1048576,MATCH(CONCATENATE('Analytics - 2019'!$A24,"p"),'2019'!$A:$A,0),MATCH('Analytics - 2019'!$O$6,'2019'!$101:$101,0))</f>
        <v>1341528.8515351652</v>
      </c>
      <c r="P24" s="201">
        <f t="shared" si="3"/>
        <v>-7396.9915351651143</v>
      </c>
      <c r="Q24" s="202">
        <f t="shared" si="4"/>
        <v>-5.5138519955798548E-3</v>
      </c>
      <c r="R24" s="200">
        <f>+INDEX('2018'!$1:$1048576,MATCH('Analytics - 2019'!$A24,'2018'!$A:$A,0),MATCH('Analytics - 2019'!$R$6,'2018'!$6:$6,0))</f>
        <v>1572482.29</v>
      </c>
      <c r="S24" s="201">
        <f t="shared" si="5"/>
        <v>-238350.42999999993</v>
      </c>
      <c r="T24" s="203">
        <f t="shared" si="6"/>
        <v>-0.1515759074145121</v>
      </c>
    </row>
    <row r="25" spans="1:20">
      <c r="A25" s="175">
        <v>714</v>
      </c>
      <c r="B25" s="490" t="str">
        <f>+VLOOKUP($A25,Master!$D$27:$G$225,4,FALSE)</f>
        <v>Fees</v>
      </c>
      <c r="C25" s="491"/>
      <c r="D25" s="491"/>
      <c r="E25" s="491"/>
      <c r="F25" s="491"/>
      <c r="G25" s="200">
        <f>+SUMPRODUCT(('2019'!$G25:$R25)*('2019'!$G$5:$R$5&lt;=Master!$B$3)*($A25='2019'!$A$10:$A$66))</f>
        <v>22961589.420000002</v>
      </c>
      <c r="H25" s="200">
        <f>+SUMPRODUCT(('2019'!$G120:$R120)*('2019'!$G$5:$R$5&lt;=Master!$B$3))</f>
        <v>25425316.730342463</v>
      </c>
      <c r="I25" s="201">
        <f t="shared" si="0"/>
        <v>-2463727.3103424609</v>
      </c>
      <c r="J25" s="202">
        <f t="shared" si="1"/>
        <v>-9.6900555319425319E-2</v>
      </c>
      <c r="K25" s="200">
        <f>+SUMPRODUCT(('2018'!$G25:$R25)*('2018'!$G$5:$R$5&lt;=Master!$B$3))</f>
        <v>21699377.060000002</v>
      </c>
      <c r="L25" s="201">
        <f t="shared" si="7"/>
        <v>1262212.3599999994</v>
      </c>
      <c r="M25" s="203">
        <f t="shared" si="2"/>
        <v>5.816813803041021E-2</v>
      </c>
      <c r="N25" s="200">
        <f>+INDEX('2019'!$1:$1048576,MATCH('Analytics - 2019'!$A25,'2019'!$A:$A,0),MATCH('Analytics - 2019'!$N$6,'2019'!$6:$6,0))</f>
        <v>2477150.35</v>
      </c>
      <c r="O25" s="200">
        <f>+INDEX('2019'!$1:$1048576,MATCH(CONCATENATE('Analytics - 2019'!$A25,"p"),'2019'!$A:$A,0),MATCH('Analytics - 2019'!$O$6,'2019'!$101:$101,0))</f>
        <v>3286740.3746407013</v>
      </c>
      <c r="P25" s="201">
        <f t="shared" si="3"/>
        <v>-809590.02464070125</v>
      </c>
      <c r="Q25" s="202">
        <f t="shared" si="4"/>
        <v>-0.24632004124426887</v>
      </c>
      <c r="R25" s="200">
        <f>+INDEX('2018'!$1:$1048576,MATCH('Analytics - 2019'!$A25,'2018'!$A:$A,0),MATCH('Analytics - 2019'!$R$6,'2018'!$6:$6,0))</f>
        <v>2347083.83</v>
      </c>
      <c r="S25" s="201">
        <f t="shared" si="5"/>
        <v>130066.52000000002</v>
      </c>
      <c r="T25" s="203">
        <f t="shared" si="6"/>
        <v>5.5416222606757159E-2</v>
      </c>
    </row>
    <row r="26" spans="1:20">
      <c r="A26" s="175">
        <v>715</v>
      </c>
      <c r="B26" s="490" t="str">
        <f>+VLOOKUP($A26,Master!$D$27:$G$225,4,FALSE)</f>
        <v>Other revenues</v>
      </c>
      <c r="C26" s="491"/>
      <c r="D26" s="491"/>
      <c r="E26" s="491"/>
      <c r="F26" s="491"/>
      <c r="G26" s="200">
        <f>+SUMPRODUCT(('2019'!$G26:$R26)*('2019'!$G$5:$R$5&lt;=Master!$B$3)*($A26='2019'!$A$10:$A$66))</f>
        <v>31207274.899999999</v>
      </c>
      <c r="H26" s="200">
        <f>+SUMPRODUCT(('2019'!$G121:$R121)*('2019'!$G$5:$R$5&lt;=Master!$B$3))</f>
        <v>66797404.874964178</v>
      </c>
      <c r="I26" s="201">
        <f t="shared" si="0"/>
        <v>-35590129.974964179</v>
      </c>
      <c r="J26" s="202">
        <f t="shared" si="1"/>
        <v>-0.53280707598722055</v>
      </c>
      <c r="K26" s="200">
        <f>+SUMPRODUCT(('2018'!$G26:$R26)*('2018'!$G$5:$R$5&lt;=Master!$B$3))</f>
        <v>63519334.240000002</v>
      </c>
      <c r="L26" s="201">
        <f t="shared" si="7"/>
        <v>-32312059.340000004</v>
      </c>
      <c r="M26" s="203">
        <f t="shared" si="2"/>
        <v>-0.50869644221888177</v>
      </c>
      <c r="N26" s="200">
        <f>+INDEX('2019'!$1:$1048576,MATCH('Analytics - 2019'!$A26,'2019'!$A:$A,0),MATCH('Analytics - 2019'!$N$6,'2019'!$6:$6,0))</f>
        <v>2505030.61</v>
      </c>
      <c r="O26" s="200">
        <f>+INDEX('2019'!$1:$1048576,MATCH(CONCATENATE('Analytics - 2019'!$A26,"p"),'2019'!$A:$A,0),MATCH('Analytics - 2019'!$O$6,'2019'!$101:$101,0))</f>
        <v>37215962.809770532</v>
      </c>
      <c r="P26" s="201">
        <f t="shared" si="3"/>
        <v>-34710932.199770533</v>
      </c>
      <c r="Q26" s="202">
        <f t="shared" si="4"/>
        <v>-0.93268935099692385</v>
      </c>
      <c r="R26" s="200">
        <f>+INDEX('2018'!$1:$1048576,MATCH('Analytics - 2019'!$A26,'2018'!$A:$A,0),MATCH('Analytics - 2019'!$R$6,'2018'!$6:$6,0))</f>
        <v>2268381.7599999998</v>
      </c>
      <c r="S26" s="201">
        <f t="shared" si="5"/>
        <v>236648.85000000009</v>
      </c>
      <c r="T26" s="203" t="s">
        <v>773</v>
      </c>
    </row>
    <row r="27" spans="1:20">
      <c r="A27" s="175">
        <v>73</v>
      </c>
      <c r="B27" s="490" t="str">
        <f>+VLOOKUP($A27,Master!$D$27:$G$225,4,FALSE)</f>
        <v>Receipts from Repayment of Loans and Funds Carried over from Previous Year</v>
      </c>
      <c r="C27" s="491"/>
      <c r="D27" s="491"/>
      <c r="E27" s="491"/>
      <c r="F27" s="491"/>
      <c r="G27" s="200">
        <f>+SUMPRODUCT(('2019'!$G27:$R27)*('2019'!$G$5:$R$5&lt;=Master!$B$3)*($A27='2019'!$A$10:$A$66))</f>
        <v>4998655.8099999996</v>
      </c>
      <c r="H27" s="200">
        <f>+SUMPRODUCT(('2019'!$G122:$R122)*('2019'!$G$5:$R$5&lt;=Master!$B$3))</f>
        <v>4563139.2865087902</v>
      </c>
      <c r="I27" s="201">
        <f t="shared" si="0"/>
        <v>435516.52349120937</v>
      </c>
      <c r="J27" s="202">
        <f t="shared" si="1"/>
        <v>9.544230323602898E-2</v>
      </c>
      <c r="K27" s="200">
        <f>+SUMPRODUCT(('2018'!$G27:$R27)*('2018'!$G$5:$R$5&lt;=Master!$B$3))</f>
        <v>6113279.2800000003</v>
      </c>
      <c r="L27" s="201">
        <f t="shared" si="7"/>
        <v>-1114623.4700000007</v>
      </c>
      <c r="M27" s="203">
        <f t="shared" si="2"/>
        <v>-0.1823282429851627</v>
      </c>
      <c r="N27" s="200">
        <f>+INDEX('2019'!$1:$1048576,MATCH('Analytics - 2019'!$A27,'2019'!$A:$A,0),MATCH('Analytics - 2019'!$N$6,'2019'!$6:$6,0))</f>
        <v>223272.51</v>
      </c>
      <c r="O27" s="200">
        <f>+INDEX('2019'!$1:$1048576,MATCH(CONCATENATE('Analytics - 2019'!$A27,"p"),'2019'!$A:$A,0),MATCH('Analytics - 2019'!$O$6,'2019'!$101:$101,0))</f>
        <v>419152.39381785714</v>
      </c>
      <c r="P27" s="201">
        <f t="shared" si="3"/>
        <v>-195879.88381785713</v>
      </c>
      <c r="Q27" s="202">
        <f t="shared" si="4"/>
        <v>-0.46732378654379536</v>
      </c>
      <c r="R27" s="200">
        <f>+INDEX('2018'!$1:$1048576,MATCH('Analytics - 2019'!$A27,'2018'!$A:$A,0),MATCH('Analytics - 2019'!$R$6,'2018'!$6:$6,0))</f>
        <v>525509.51</v>
      </c>
      <c r="S27" s="201">
        <f t="shared" si="5"/>
        <v>-302237</v>
      </c>
      <c r="T27" s="203" t="s">
        <v>773</v>
      </c>
    </row>
    <row r="28" spans="1:20" ht="15.75" thickBot="1">
      <c r="A28" s="175">
        <v>74</v>
      </c>
      <c r="B28" s="492" t="str">
        <f>+VLOOKUP($A28,Master!$D$27:$G$225,4,FALSE)</f>
        <v>Grants and Transfers</v>
      </c>
      <c r="C28" s="493"/>
      <c r="D28" s="493"/>
      <c r="E28" s="493"/>
      <c r="F28" s="493"/>
      <c r="G28" s="200">
        <f>+SUMPRODUCT(('2019'!$G28:$R28)*('2019'!$G$5:$R$5&lt;=Master!$B$3)*($A28='2019'!$A$10:$A$66))</f>
        <v>24937872.019999996</v>
      </c>
      <c r="H28" s="200">
        <f>+SUMPRODUCT(('2019'!$G123:$R123)*('2019'!$G$5:$R$5&lt;=Master!$B$3))</f>
        <v>25386407.503899463</v>
      </c>
      <c r="I28" s="201">
        <f t="shared" si="0"/>
        <v>-448535.48389946669</v>
      </c>
      <c r="J28" s="202">
        <f t="shared" si="1"/>
        <v>-1.7668332308561907E-2</v>
      </c>
      <c r="K28" s="200">
        <f>+SUMPRODUCT(('2018'!$G28:$R28)*('2018'!$G$5:$R$5&lt;=Master!$B$3))</f>
        <v>18439228.680000003</v>
      </c>
      <c r="L28" s="201">
        <f t="shared" si="7"/>
        <v>6498643.3399999924</v>
      </c>
      <c r="M28" s="203">
        <f t="shared" si="2"/>
        <v>0.352435747328667</v>
      </c>
      <c r="N28" s="200">
        <f>+INDEX('2019'!$1:$1048576,MATCH('Analytics - 2019'!$A28,'2019'!$A:$A,0),MATCH('Analytics - 2019'!$N$6,'2019'!$6:$6,0))</f>
        <v>1948775.66</v>
      </c>
      <c r="O28" s="200">
        <f>+INDEX('2019'!$1:$1048576,MATCH(CONCATENATE('Analytics - 2019'!$A28,"p"),'2019'!$A:$A,0),MATCH('Analytics - 2019'!$O$6,'2019'!$101:$101,0))</f>
        <v>2914661.9432842401</v>
      </c>
      <c r="P28" s="201">
        <f t="shared" si="3"/>
        <v>-965886.28328424017</v>
      </c>
      <c r="Q28" s="202">
        <f t="shared" si="4"/>
        <v>-0.33138878610254185</v>
      </c>
      <c r="R28" s="200">
        <f>+INDEX('2018'!$1:$1048576,MATCH('Analytics - 2019'!$A28,'2018'!$A:$A,0),MATCH('Analytics - 2019'!$R$6,'2018'!$6:$6,0))</f>
        <v>1526648.73</v>
      </c>
      <c r="S28" s="201">
        <f t="shared" si="5"/>
        <v>422126.92999999993</v>
      </c>
      <c r="T28" s="203">
        <f t="shared" si="6"/>
        <v>0.27650560453418782</v>
      </c>
    </row>
    <row r="29" spans="1:20" ht="15.75" thickBot="1">
      <c r="A29" s="175">
        <v>4</v>
      </c>
      <c r="B29" s="478" t="str">
        <f>+VLOOKUP($A29,Master!$D$27:$G$225,4,FALSE)</f>
        <v>Total Expenditures</v>
      </c>
      <c r="C29" s="479"/>
      <c r="D29" s="479"/>
      <c r="E29" s="479"/>
      <c r="F29" s="479"/>
      <c r="G29" s="176">
        <f>+SUMPRODUCT(('2019'!$G29:$R29)*('2019'!$G$5:$R$5&lt;=Master!$B$3)*($A29='2019'!$A$10:$A$66))</f>
        <v>1530113895.8600001</v>
      </c>
      <c r="H29" s="176">
        <f>+SUMPRODUCT(('2019'!$G124:$R124)*('2019'!$G$5:$R$5&lt;=Master!$B$3))</f>
        <v>1678251234.0983334</v>
      </c>
      <c r="I29" s="177">
        <f t="shared" si="0"/>
        <v>-148137338.23833323</v>
      </c>
      <c r="J29" s="178">
        <f t="shared" si="1"/>
        <v>-8.8268868944358259E-2</v>
      </c>
      <c r="K29" s="176">
        <f>+SUMPRODUCT(('2018'!$G29:$R29)*('2018'!$G$5:$R$5&lt;=Master!$B$3))</f>
        <v>1471744715.1700001</v>
      </c>
      <c r="L29" s="177">
        <f t="shared" si="7"/>
        <v>58369180.690000057</v>
      </c>
      <c r="M29" s="179">
        <f t="shared" si="2"/>
        <v>3.9659854109452608E-2</v>
      </c>
      <c r="N29" s="176">
        <f>+INDEX('2019'!$1:$1048576,MATCH('Analytics - 2019'!$A29,'2019'!$A:$A,0),MATCH('Analytics - 2019'!$N$6,'2019'!$6:$6,0))</f>
        <v>153584886.19</v>
      </c>
      <c r="O29" s="176">
        <f>+INDEX('2019'!$1:$1048576,MATCH(CONCATENATE('Analytics - 2019'!$A29,"p"),'2019'!$A:$A,0),MATCH('Analytics - 2019'!$O$6,'2019'!$101:$101,0))</f>
        <v>158508019.66083336</v>
      </c>
      <c r="P29" s="177">
        <f t="shared" si="3"/>
        <v>-4923133.4708333611</v>
      </c>
      <c r="Q29" s="178">
        <f t="shared" si="4"/>
        <v>-3.1059207485953144E-2</v>
      </c>
      <c r="R29" s="176">
        <f>+INDEX('2018'!$1:$1048576,MATCH('Analytics - 2019'!$A29,'2018'!$A:$A,0),MATCH('Analytics - 2019'!$R$6,'2018'!$6:$6,0))</f>
        <v>158133326.80000001</v>
      </c>
      <c r="S29" s="177">
        <f t="shared" si="5"/>
        <v>-4548440.6100000143</v>
      </c>
      <c r="T29" s="179">
        <f t="shared" si="6"/>
        <v>-2.8763327136933525E-2</v>
      </c>
    </row>
    <row r="30" spans="1:20" ht="15.75" thickBot="1">
      <c r="A30" s="175">
        <v>40</v>
      </c>
      <c r="B30" s="494" t="str">
        <f>+VLOOKUP($A30,Master!$D$27:$G$225,4,FALSE)</f>
        <v>Current Budgetary Consumption</v>
      </c>
      <c r="C30" s="495"/>
      <c r="D30" s="495"/>
      <c r="E30" s="495"/>
      <c r="F30" s="495"/>
      <c r="G30" s="342">
        <f>+SUMPRODUCT(('2019'!$G30:$R30)*('2019'!$G$5:$R$5&lt;=Master!$B$3)*($A30='2019'!$A$10:$A$66))</f>
        <v>1355686701.8800001</v>
      </c>
      <c r="H30" s="342">
        <f>+SUMPRODUCT(('2019'!$G125:$R125)*('2019'!$G$5:$R$5&lt;=Master!$B$3))</f>
        <v>1410813734.1983335</v>
      </c>
      <c r="I30" s="207">
        <f t="shared" si="0"/>
        <v>-55127032.318333387</v>
      </c>
      <c r="J30" s="208">
        <f t="shared" si="1"/>
        <v>-3.9074635426382676E-2</v>
      </c>
      <c r="K30" s="342">
        <f>+SUMPRODUCT(('2018'!$G30:$R30)*('2018'!$G$5:$R$5&lt;=Master!$B$3))</f>
        <v>1297652744.1000001</v>
      </c>
      <c r="L30" s="207">
        <f t="shared" si="7"/>
        <v>58033957.779999971</v>
      </c>
      <c r="M30" s="209">
        <f t="shared" si="2"/>
        <v>4.4722255660353927E-2</v>
      </c>
      <c r="N30" s="342">
        <f>+INDEX('2019'!$1:$1048576,MATCH('Analytics - 2019'!$A30,'2019'!$A:$A,0),MATCH('Analytics - 2019'!$N$6,'2019'!$6:$6,0))</f>
        <v>73614713.349999994</v>
      </c>
      <c r="O30" s="342">
        <f>+INDEX('2019'!$1:$1048576,MATCH(CONCATENATE('Analytics - 2019'!$A30,"p"),'2019'!$A:$A,0),MATCH('Analytics - 2019'!$O$6,'2019'!$101:$101,0))</f>
        <v>62629581.782500006</v>
      </c>
      <c r="P30" s="207">
        <f t="shared" si="3"/>
        <v>10985131.567499988</v>
      </c>
      <c r="Q30" s="208">
        <f t="shared" si="4"/>
        <v>0.1753984499792629</v>
      </c>
      <c r="R30" s="342">
        <f>+INDEX('2018'!$1:$1048576,MATCH('Analytics - 2019'!$A30,'2018'!$A:$A,0),MATCH('Analytics - 2019'!$R$6,'2018'!$6:$6,0))</f>
        <v>65885930.929999992</v>
      </c>
      <c r="S30" s="207">
        <f t="shared" si="5"/>
        <v>7728782.4200000018</v>
      </c>
      <c r="T30" s="209">
        <f t="shared" si="6"/>
        <v>0.11730550530144868</v>
      </c>
    </row>
    <row r="31" spans="1:20">
      <c r="A31" s="175">
        <v>41</v>
      </c>
      <c r="B31" s="496" t="str">
        <f>+VLOOKUP($A31,Master!$D$27:$G$225,4,FALSE)</f>
        <v>Current Expenditures</v>
      </c>
      <c r="C31" s="497"/>
      <c r="D31" s="497"/>
      <c r="E31" s="497"/>
      <c r="F31" s="497"/>
      <c r="G31" s="389">
        <f>+SUMPRODUCT(('2019'!$G31:$R31)*('2019'!$G$5:$R$5&lt;=Master!$B$3)*($A31='2019'!$A$10:$A$66))</f>
        <v>677199353.99000001</v>
      </c>
      <c r="H31" s="389">
        <f>+SUMPRODUCT(('2019'!$G126:$R126)*('2019'!$G$5:$R$5&lt;=Master!$B$3))</f>
        <v>715324408.25500011</v>
      </c>
      <c r="I31" s="213">
        <f t="shared" si="0"/>
        <v>-38125054.265000105</v>
      </c>
      <c r="J31" s="214">
        <f t="shared" si="1"/>
        <v>-5.3297572157511519E-2</v>
      </c>
      <c r="K31" s="389">
        <f>+SUMPRODUCT(('2018'!$G31:$R31)*('2018'!$G$5:$R$5&lt;=Master!$B$3))</f>
        <v>657517934.26999986</v>
      </c>
      <c r="L31" s="213">
        <f t="shared" si="7"/>
        <v>19681419.720000148</v>
      </c>
      <c r="M31" s="215">
        <f t="shared" si="2"/>
        <v>2.9932901741837936E-2</v>
      </c>
      <c r="N31" s="389">
        <f>+INDEX('2019'!$1:$1048576,MATCH('Analytics - 2019'!$A31,'2019'!$A:$A,0),MATCH('Analytics - 2019'!$N$6,'2019'!$6:$6,0))</f>
        <v>139144020.84999999</v>
      </c>
      <c r="O31" s="389">
        <f>+INDEX('2019'!$1:$1048576,MATCH(CONCATENATE('Analytics - 2019'!$A31,"p"),'2019'!$A:$A,0),MATCH('Analytics - 2019'!$O$6,'2019'!$101:$101,0))</f>
        <v>131764269.67083336</v>
      </c>
      <c r="P31" s="213">
        <f t="shared" si="3"/>
        <v>7379751.1791666299</v>
      </c>
      <c r="Q31" s="214">
        <f t="shared" si="4"/>
        <v>5.6007225612848988E-2</v>
      </c>
      <c r="R31" s="389">
        <f>+INDEX('2018'!$1:$1048576,MATCH('Analytics - 2019'!$A31,'2018'!$A:$A,0),MATCH('Analytics - 2019'!$R$6,'2018'!$6:$6,0))</f>
        <v>130847228.48000002</v>
      </c>
      <c r="S31" s="213">
        <f t="shared" si="5"/>
        <v>8296792.369999975</v>
      </c>
      <c r="T31" s="215">
        <f t="shared" si="6"/>
        <v>6.3408239260246413E-2</v>
      </c>
    </row>
    <row r="32" spans="1:20">
      <c r="A32" s="175">
        <v>411</v>
      </c>
      <c r="B32" s="488" t="str">
        <f>+VLOOKUP($A32,Master!$D$27:$G$225,4,FALSE)</f>
        <v>Gross Salaries and Contributions</v>
      </c>
      <c r="C32" s="489"/>
      <c r="D32" s="489"/>
      <c r="E32" s="489"/>
      <c r="F32" s="489"/>
      <c r="G32" s="188">
        <f>+SUMPRODUCT(('2019'!$G32:$R32)*('2019'!$G$5:$R$5&lt;=Master!$B$3)*($A32='2019'!$A$10:$A$66))</f>
        <v>389584862.09000003</v>
      </c>
      <c r="H32" s="188">
        <f>+SUMPRODUCT(('2019'!$G127:$R127)*('2019'!$G$5:$R$5&lt;=Master!$B$3))</f>
        <v>394088672.20666671</v>
      </c>
      <c r="I32" s="189">
        <f t="shared" si="0"/>
        <v>-4503810.1166666746</v>
      </c>
      <c r="J32" s="190">
        <f t="shared" si="1"/>
        <v>-1.1428418105620675E-2</v>
      </c>
      <c r="K32" s="188">
        <f>+SUMPRODUCT(('2018'!$G32:$R32)*('2018'!$G$5:$R$5&lt;=Master!$B$3))</f>
        <v>379670766.99000001</v>
      </c>
      <c r="L32" s="189">
        <f t="shared" si="7"/>
        <v>9914095.1000000238</v>
      </c>
      <c r="M32" s="191">
        <f t="shared" si="2"/>
        <v>2.611234775486726E-2</v>
      </c>
      <c r="N32" s="188">
        <f>+INDEX('2019'!$1:$1048576,MATCH('Analytics - 2019'!$A32,'2019'!$A:$A,0),MATCH('Analytics - 2019'!$N$6,'2019'!$6:$6,0))</f>
        <v>38895006.189999998</v>
      </c>
      <c r="O32" s="188">
        <f>+INDEX('2019'!$1:$1048576,MATCH(CONCATENATE('Analytics - 2019'!$A32,"p"),'2019'!$A:$A,0),MATCH('Analytics - 2019'!$O$6,'2019'!$101:$101,0))</f>
        <v>39107584.94166667</v>
      </c>
      <c r="P32" s="189">
        <f t="shared" si="3"/>
        <v>-212578.75166667253</v>
      </c>
      <c r="Q32" s="190">
        <f t="shared" si="4"/>
        <v>-5.4357422475398431E-3</v>
      </c>
      <c r="R32" s="188">
        <f>+INDEX('2018'!$1:$1048576,MATCH('Analytics - 2019'!$A32,'2018'!$A:$A,0),MATCH('Analytics - 2019'!$R$6,'2018'!$6:$6,0))</f>
        <v>39555048.049999997</v>
      </c>
      <c r="S32" s="189">
        <f t="shared" si="5"/>
        <v>-660041.8599999994</v>
      </c>
      <c r="T32" s="191">
        <f t="shared" si="6"/>
        <v>-1.6686665610054829E-2</v>
      </c>
    </row>
    <row r="33" spans="1:20">
      <c r="A33" s="175">
        <v>412</v>
      </c>
      <c r="B33" s="488" t="str">
        <f>+VLOOKUP($A33,Master!$D$27:$G$225,4,FALSE)</f>
        <v>Other Personal Income</v>
      </c>
      <c r="C33" s="489"/>
      <c r="D33" s="489"/>
      <c r="E33" s="489"/>
      <c r="F33" s="489"/>
      <c r="G33" s="188">
        <f>+SUMPRODUCT(('2019'!$G33:$R33)*('2019'!$G$5:$R$5&lt;=Master!$B$3)*($A33='2019'!$A$10:$A$66))</f>
        <v>10187345.27</v>
      </c>
      <c r="H33" s="188">
        <f>+SUMPRODUCT(('2019'!$G128:$R128)*('2019'!$G$5:$R$5&lt;=Master!$B$3))</f>
        <v>12598853.898333333</v>
      </c>
      <c r="I33" s="189">
        <f t="shared" si="0"/>
        <v>-2411508.6283333339</v>
      </c>
      <c r="J33" s="190">
        <f t="shared" si="1"/>
        <v>-0.19140698414260882</v>
      </c>
      <c r="K33" s="188">
        <f>+SUMPRODUCT(('2018'!$G33:$R33)*('2018'!$G$5:$R$5&lt;=Master!$B$3))</f>
        <v>8762759.75</v>
      </c>
      <c r="L33" s="189">
        <f t="shared" si="7"/>
        <v>1424585.5199999996</v>
      </c>
      <c r="M33" s="191">
        <f t="shared" si="2"/>
        <v>0.16257270091194731</v>
      </c>
      <c r="N33" s="188">
        <f>+INDEX('2019'!$1:$1048576,MATCH('Analytics - 2019'!$A33,'2019'!$A:$A,0),MATCH('Analytics - 2019'!$N$6,'2019'!$6:$6,0))</f>
        <v>1121431.44</v>
      </c>
      <c r="O33" s="188">
        <f>+INDEX('2019'!$1:$1048576,MATCH(CONCATENATE('Analytics - 2019'!$A33,"p"),'2019'!$A:$A,0),MATCH('Analytics - 2019'!$O$6,'2019'!$101:$101,0))</f>
        <v>1239658.6108333331</v>
      </c>
      <c r="P33" s="189">
        <f t="shared" si="3"/>
        <v>-118227.17083333316</v>
      </c>
      <c r="Q33" s="190">
        <f t="shared" si="4"/>
        <v>-9.5370749495183649E-2</v>
      </c>
      <c r="R33" s="188">
        <f>+INDEX('2018'!$1:$1048576,MATCH('Analytics - 2019'!$A33,'2018'!$A:$A,0),MATCH('Analytics - 2019'!$R$6,'2018'!$6:$6,0))</f>
        <v>1011368.26</v>
      </c>
      <c r="S33" s="189">
        <f t="shared" si="5"/>
        <v>110063.17999999993</v>
      </c>
      <c r="T33" s="191">
        <f t="shared" si="6"/>
        <v>0.10882601753786503</v>
      </c>
    </row>
    <row r="34" spans="1:20">
      <c r="A34" s="175">
        <v>413</v>
      </c>
      <c r="B34" s="488" t="str">
        <f>+VLOOKUP($A34,Master!$D$27:$G$225,4,FALSE)</f>
        <v>Expenditures for Supplies</v>
      </c>
      <c r="C34" s="489"/>
      <c r="D34" s="489"/>
      <c r="E34" s="489"/>
      <c r="F34" s="489"/>
      <c r="G34" s="188">
        <f>+SUMPRODUCT(('2019'!$G34:$R34)*('2019'!$G$5:$R$5&lt;=Master!$B$3)*($A34='2019'!$A$10:$A$66))</f>
        <v>24534158.16</v>
      </c>
      <c r="H34" s="188">
        <f>+SUMPRODUCT(('2019'!$G129:$R129)*('2019'!$G$5:$R$5&lt;=Master!$B$3))</f>
        <v>30547104.028333336</v>
      </c>
      <c r="I34" s="189">
        <f t="shared" si="0"/>
        <v>-6012945.868333336</v>
      </c>
      <c r="J34" s="190">
        <f t="shared" si="1"/>
        <v>-0.19684176486111915</v>
      </c>
      <c r="K34" s="188">
        <f>+SUMPRODUCT(('2018'!$G34:$R34)*('2018'!$G$5:$R$5&lt;=Master!$B$3))</f>
        <v>24805075.480000004</v>
      </c>
      <c r="L34" s="189">
        <f t="shared" si="7"/>
        <v>-270917.32000000402</v>
      </c>
      <c r="M34" s="191">
        <f t="shared" si="2"/>
        <v>-1.0921850256752519E-2</v>
      </c>
      <c r="N34" s="188">
        <f>+INDEX('2019'!$1:$1048576,MATCH('Analytics - 2019'!$A34,'2019'!$A:$A,0),MATCH('Analytics - 2019'!$N$6,'2019'!$6:$6,0))</f>
        <v>3210622.86</v>
      </c>
      <c r="O34" s="188">
        <f>+INDEX('2019'!$1:$1048576,MATCH(CONCATENATE('Analytics - 2019'!$A34,"p"),'2019'!$A:$A,0),MATCH('Analytics - 2019'!$O$6,'2019'!$101:$101,0))</f>
        <v>3063161.8058333341</v>
      </c>
      <c r="P34" s="189">
        <f t="shared" si="3"/>
        <v>147461.05416666577</v>
      </c>
      <c r="Q34" s="190">
        <f t="shared" si="4"/>
        <v>4.8140145220487041E-2</v>
      </c>
      <c r="R34" s="188">
        <f>+INDEX('2018'!$1:$1048576,MATCH('Analytics - 2019'!$A34,'2018'!$A:$A,0),MATCH('Analytics - 2019'!$R$6,'2018'!$6:$6,0))</f>
        <v>2993464.74</v>
      </c>
      <c r="S34" s="189">
        <f t="shared" si="5"/>
        <v>217158.11999999965</v>
      </c>
      <c r="T34" s="191">
        <f t="shared" si="6"/>
        <v>7.254407145614139E-2</v>
      </c>
    </row>
    <row r="35" spans="1:20">
      <c r="A35" s="175">
        <v>414</v>
      </c>
      <c r="B35" s="488" t="str">
        <f>+VLOOKUP($A35,Master!$D$27:$G$225,4,FALSE)</f>
        <v>Expenditures for Services</v>
      </c>
      <c r="C35" s="489"/>
      <c r="D35" s="489"/>
      <c r="E35" s="489"/>
      <c r="F35" s="489"/>
      <c r="G35" s="188">
        <f>+SUMPRODUCT(('2019'!$G35:$R35)*('2019'!$G$5:$R$5&lt;=Master!$B$3)*($A35='2019'!$A$10:$A$66))</f>
        <v>53997656.910000004</v>
      </c>
      <c r="H35" s="188">
        <f>+SUMPRODUCT(('2019'!$G130:$R130)*('2019'!$G$5:$R$5&lt;=Master!$B$3))</f>
        <v>53064713.304999992</v>
      </c>
      <c r="I35" s="189">
        <f t="shared" si="0"/>
        <v>932943.60500001162</v>
      </c>
      <c r="J35" s="190">
        <f t="shared" si="1"/>
        <v>1.7581242729753921E-2</v>
      </c>
      <c r="K35" s="188">
        <f>+SUMPRODUCT(('2018'!$G35:$R35)*('2018'!$G$5:$R$5&lt;=Master!$B$3))</f>
        <v>52525019.039999999</v>
      </c>
      <c r="L35" s="189">
        <f t="shared" si="7"/>
        <v>1472637.8700000048</v>
      </c>
      <c r="M35" s="191">
        <f t="shared" si="2"/>
        <v>2.8036884077634161E-2</v>
      </c>
      <c r="N35" s="188">
        <f>+INDEX('2019'!$1:$1048576,MATCH('Analytics - 2019'!$A35,'2019'!$A:$A,0),MATCH('Analytics - 2019'!$N$6,'2019'!$6:$6,0))</f>
        <v>6798582.2800000003</v>
      </c>
      <c r="O35" s="188">
        <f>+INDEX('2019'!$1:$1048576,MATCH(CONCATENATE('Analytics - 2019'!$A35,"p"),'2019'!$A:$A,0),MATCH('Analytics - 2019'!$O$6,'2019'!$101:$101,0))</f>
        <v>5062253.3274999987</v>
      </c>
      <c r="P35" s="189">
        <f t="shared" si="3"/>
        <v>1736328.9525000015</v>
      </c>
      <c r="Q35" s="190">
        <f t="shared" si="4"/>
        <v>0.34299527111131156</v>
      </c>
      <c r="R35" s="188">
        <f>+INDEX('2018'!$1:$1048576,MATCH('Analytics - 2019'!$A35,'2018'!$A:$A,0),MATCH('Analytics - 2019'!$R$6,'2018'!$6:$6,0))</f>
        <v>5584761.9900000002</v>
      </c>
      <c r="S35" s="189">
        <f t="shared" si="5"/>
        <v>1213820.29</v>
      </c>
      <c r="T35" s="191">
        <f t="shared" si="6"/>
        <v>0.21734503496719304</v>
      </c>
    </row>
    <row r="36" spans="1:20">
      <c r="A36" s="175">
        <v>415</v>
      </c>
      <c r="B36" s="488" t="str">
        <f>+VLOOKUP($A36,Master!$D$27:$G$225,4,FALSE)</f>
        <v>Current Maintenance</v>
      </c>
      <c r="C36" s="489"/>
      <c r="D36" s="489"/>
      <c r="E36" s="489"/>
      <c r="F36" s="489"/>
      <c r="G36" s="188">
        <f>+SUMPRODUCT(('2019'!$G36:$R36)*('2019'!$G$5:$R$5&lt;=Master!$B$3)*($A36='2019'!$A$10:$A$66))</f>
        <v>15548860.599999998</v>
      </c>
      <c r="H36" s="188">
        <f>+SUMPRODUCT(('2019'!$G131:$R131)*('2019'!$G$5:$R$5&lt;=Master!$B$3))</f>
        <v>19282333.526666667</v>
      </c>
      <c r="I36" s="189">
        <f t="shared" si="0"/>
        <v>-3733472.9266666695</v>
      </c>
      <c r="J36" s="190">
        <f t="shared" si="1"/>
        <v>-0.19362142665478899</v>
      </c>
      <c r="K36" s="188">
        <f>+SUMPRODUCT(('2018'!$G36:$R36)*('2018'!$G$5:$R$5&lt;=Master!$B$3))</f>
        <v>14980301.689999999</v>
      </c>
      <c r="L36" s="189">
        <f t="shared" si="7"/>
        <v>568558.90999999829</v>
      </c>
      <c r="M36" s="191">
        <f t="shared" si="2"/>
        <v>3.7953769007171401E-2</v>
      </c>
      <c r="N36" s="188">
        <f>+INDEX('2019'!$1:$1048576,MATCH('Analytics - 2019'!$A36,'2019'!$A:$A,0),MATCH('Analytics - 2019'!$N$6,'2019'!$6:$6,0))</f>
        <v>2761754.3</v>
      </c>
      <c r="O36" s="188">
        <f>+INDEX('2019'!$1:$1048576,MATCH(CONCATENATE('Analytics - 2019'!$A36,"p"),'2019'!$A:$A,0),MATCH('Analytics - 2019'!$O$6,'2019'!$101:$101,0))</f>
        <v>1926887.7016666669</v>
      </c>
      <c r="P36" s="189">
        <f t="shared" si="3"/>
        <v>834866.59833333292</v>
      </c>
      <c r="Q36" s="190">
        <f t="shared" si="4"/>
        <v>0.43327205711636063</v>
      </c>
      <c r="R36" s="188">
        <f>+INDEX('2018'!$1:$1048576,MATCH('Analytics - 2019'!$A36,'2018'!$A:$A,0),MATCH('Analytics - 2019'!$R$6,'2018'!$6:$6,0))</f>
        <v>1824056.36</v>
      </c>
      <c r="S36" s="189">
        <f t="shared" si="5"/>
        <v>937697.93999999971</v>
      </c>
      <c r="T36" s="191">
        <f t="shared" si="6"/>
        <v>0.51407289849311444</v>
      </c>
    </row>
    <row r="37" spans="1:20">
      <c r="A37" s="175">
        <v>416</v>
      </c>
      <c r="B37" s="488" t="str">
        <f>+VLOOKUP($A37,Master!$D$27:$G$225,4,FALSE)</f>
        <v>Interests</v>
      </c>
      <c r="C37" s="489"/>
      <c r="D37" s="489"/>
      <c r="E37" s="489"/>
      <c r="F37" s="489"/>
      <c r="G37" s="188">
        <f>+SUMPRODUCT(('2019'!$G37:$R37)*('2019'!$G$5:$R$5&lt;=Master!$B$3)*($A37='2019'!$A$10:$A$66))</f>
        <v>84681703.470000014</v>
      </c>
      <c r="H37" s="188">
        <f>+SUMPRODUCT(('2019'!$G132:$R132)*('2019'!$G$5:$R$5&lt;=Master!$B$3))</f>
        <v>86111614.899999991</v>
      </c>
      <c r="I37" s="189">
        <f t="shared" si="0"/>
        <v>-1429911.4299999774</v>
      </c>
      <c r="J37" s="190">
        <f t="shared" si="1"/>
        <v>-1.6605325909408553E-2</v>
      </c>
      <c r="K37" s="188">
        <f>+SUMPRODUCT(('2018'!$G37:$R37)*('2018'!$G$5:$R$5&lt;=Master!$B$3))</f>
        <v>87636411.619999975</v>
      </c>
      <c r="L37" s="189">
        <f t="shared" si="7"/>
        <v>-2954708.1499999613</v>
      </c>
      <c r="M37" s="191">
        <f t="shared" si="2"/>
        <v>-3.3715530969157692E-2</v>
      </c>
      <c r="N37" s="188">
        <f>+INDEX('2019'!$1:$1048576,MATCH('Analytics - 2019'!$A37,'2019'!$A:$A,0),MATCH('Analytics - 2019'!$N$6,'2019'!$6:$6,0))</f>
        <v>1628126.12</v>
      </c>
      <c r="O37" s="188">
        <f>+INDEX('2019'!$1:$1048576,MATCH(CONCATENATE('Analytics - 2019'!$A37,"p"),'2019'!$A:$A,0),MATCH('Analytics - 2019'!$O$6,'2019'!$101:$101,0))</f>
        <v>1321292.0800000008</v>
      </c>
      <c r="P37" s="189">
        <f t="shared" si="3"/>
        <v>306834.03999999934</v>
      </c>
      <c r="Q37" s="190">
        <f t="shared" si="4"/>
        <v>0.23222271944595252</v>
      </c>
      <c r="R37" s="188">
        <f>+INDEX('2018'!$1:$1048576,MATCH('Analytics - 2019'!$A37,'2018'!$A:$A,0),MATCH('Analytics - 2019'!$R$6,'2018'!$6:$6,0))</f>
        <v>1538688.3</v>
      </c>
      <c r="S37" s="189">
        <f t="shared" si="5"/>
        <v>89437.820000000065</v>
      </c>
      <c r="T37" s="191">
        <f t="shared" si="6"/>
        <v>5.8126015515943097E-2</v>
      </c>
    </row>
    <row r="38" spans="1:20">
      <c r="A38" s="175">
        <v>417</v>
      </c>
      <c r="B38" s="488" t="str">
        <f>+VLOOKUP($A38,Master!$D$27:$G$225,4,FALSE)</f>
        <v>Rent</v>
      </c>
      <c r="C38" s="489"/>
      <c r="D38" s="489"/>
      <c r="E38" s="489"/>
      <c r="F38" s="489"/>
      <c r="G38" s="188">
        <f>+SUMPRODUCT(('2019'!$G38:$R38)*('2019'!$G$5:$R$5&lt;=Master!$B$3)*($A38='2019'!$A$10:$A$66))</f>
        <v>8214469.4900000002</v>
      </c>
      <c r="H38" s="188">
        <f>+SUMPRODUCT(('2019'!$G133:$R133)*('2019'!$G$5:$R$5&lt;=Master!$B$3))</f>
        <v>8148960.9799999986</v>
      </c>
      <c r="I38" s="189">
        <f t="shared" si="0"/>
        <v>65508.510000001639</v>
      </c>
      <c r="J38" s="190">
        <f t="shared" si="1"/>
        <v>8.0388788412142365E-3</v>
      </c>
      <c r="K38" s="188">
        <f>+SUMPRODUCT(('2018'!$G38:$R38)*('2018'!$G$5:$R$5&lt;=Master!$B$3))</f>
        <v>7397249.0600000005</v>
      </c>
      <c r="L38" s="189">
        <f t="shared" si="7"/>
        <v>817220.4299999997</v>
      </c>
      <c r="M38" s="191">
        <f t="shared" si="2"/>
        <v>0.11047626264458899</v>
      </c>
      <c r="N38" s="188">
        <f>+INDEX('2019'!$1:$1048576,MATCH('Analytics - 2019'!$A38,'2019'!$A:$A,0),MATCH('Analytics - 2019'!$N$6,'2019'!$6:$6,0))</f>
        <v>807250.67</v>
      </c>
      <c r="O38" s="188">
        <f>+INDEX('2019'!$1:$1048576,MATCH(CONCATENATE('Analytics - 2019'!$A38,"p"),'2019'!$A:$A,0),MATCH('Analytics - 2019'!$O$6,'2019'!$101:$101,0))</f>
        <v>826570.39</v>
      </c>
      <c r="P38" s="189">
        <f t="shared" si="3"/>
        <v>-19319.719999999972</v>
      </c>
      <c r="Q38" s="190">
        <f t="shared" si="4"/>
        <v>-2.3373351179443946E-2</v>
      </c>
      <c r="R38" s="188">
        <f>+INDEX('2018'!$1:$1048576,MATCH('Analytics - 2019'!$A38,'2018'!$A:$A,0),MATCH('Analytics - 2019'!$R$6,'2018'!$6:$6,0))</f>
        <v>827176.94</v>
      </c>
      <c r="S38" s="189">
        <f t="shared" si="5"/>
        <v>-19926.269999999902</v>
      </c>
      <c r="T38" s="191">
        <f t="shared" si="6"/>
        <v>-2.4089489245190832E-2</v>
      </c>
    </row>
    <row r="39" spans="1:20">
      <c r="A39" s="175">
        <v>418</v>
      </c>
      <c r="B39" s="488" t="str">
        <f>+VLOOKUP($A39,Master!$D$27:$G$225,4,FALSE)</f>
        <v>Subsidies</v>
      </c>
      <c r="C39" s="489"/>
      <c r="D39" s="489"/>
      <c r="E39" s="489"/>
      <c r="F39" s="489"/>
      <c r="G39" s="188">
        <f>+SUMPRODUCT(('2019'!$G39:$R39)*('2019'!$G$5:$R$5&lt;=Master!$B$3)*($A39='2019'!$A$10:$A$66))</f>
        <v>23804788.5</v>
      </c>
      <c r="H39" s="188">
        <f>+SUMPRODUCT(('2019'!$G134:$R134)*('2019'!$G$5:$R$5&lt;=Master!$B$3))</f>
        <v>26742541.606666662</v>
      </c>
      <c r="I39" s="189">
        <f t="shared" si="0"/>
        <v>-2937753.1066666618</v>
      </c>
      <c r="J39" s="190">
        <f t="shared" si="1"/>
        <v>-0.10985317513479376</v>
      </c>
      <c r="K39" s="188">
        <f>+SUMPRODUCT(('2018'!$G39:$R39)*('2018'!$G$5:$R$5&lt;=Master!$B$3))</f>
        <v>21533573.569999997</v>
      </c>
      <c r="L39" s="189">
        <f t="shared" si="7"/>
        <v>2271214.9300000034</v>
      </c>
      <c r="M39" s="191">
        <f t="shared" si="2"/>
        <v>0.1054732008422512</v>
      </c>
      <c r="N39" s="188">
        <f>+INDEX('2019'!$1:$1048576,MATCH('Analytics - 2019'!$A39,'2019'!$A:$A,0),MATCH('Analytics - 2019'!$N$6,'2019'!$6:$6,0))</f>
        <v>4843530.18</v>
      </c>
      <c r="O39" s="188">
        <f>+INDEX('2019'!$1:$1048576,MATCH(CONCATENATE('Analytics - 2019'!$A39,"p"),'2019'!$A:$A,0),MATCH('Analytics - 2019'!$O$6,'2019'!$101:$101,0))</f>
        <v>2156704.1566666663</v>
      </c>
      <c r="P39" s="189">
        <f t="shared" si="3"/>
        <v>2686826.0233333334</v>
      </c>
      <c r="Q39" s="190">
        <f t="shared" si="4"/>
        <v>1.2458018477072939</v>
      </c>
      <c r="R39" s="188">
        <f>+INDEX('2018'!$1:$1048576,MATCH('Analytics - 2019'!$A39,'2018'!$A:$A,0),MATCH('Analytics - 2019'!$R$6,'2018'!$6:$6,0))</f>
        <v>3547724.18</v>
      </c>
      <c r="S39" s="189">
        <f t="shared" si="5"/>
        <v>1295805.9999999995</v>
      </c>
      <c r="T39" s="191">
        <f t="shared" si="6"/>
        <v>0.36524992763107056</v>
      </c>
    </row>
    <row r="40" spans="1:20">
      <c r="A40" s="175">
        <v>419</v>
      </c>
      <c r="B40" s="488" t="str">
        <f>+VLOOKUP($A40,Master!$D$27:$G$225,4,FALSE)</f>
        <v>Other expenditures</v>
      </c>
      <c r="C40" s="489"/>
      <c r="D40" s="489"/>
      <c r="E40" s="489"/>
      <c r="F40" s="489"/>
      <c r="G40" s="188">
        <f>+SUMPRODUCT(('2019'!$G40:$R40)*('2019'!$G$5:$R$5&lt;=Master!$B$3)*($A40='2019'!$A$10:$A$66))</f>
        <v>33317939.010000002</v>
      </c>
      <c r="H40" s="188">
        <f>+SUMPRODUCT(('2019'!$G135:$R135)*('2019'!$G$5:$R$5&lt;=Master!$B$3))</f>
        <v>35267206.00833334</v>
      </c>
      <c r="I40" s="189">
        <f t="shared" si="0"/>
        <v>-1949266.9983333386</v>
      </c>
      <c r="J40" s="190">
        <f t="shared" si="1"/>
        <v>-5.5271375846239201E-2</v>
      </c>
      <c r="K40" s="188">
        <f>+SUMPRODUCT(('2018'!$G40:$R40)*('2018'!$G$5:$R$5&lt;=Master!$B$3))</f>
        <v>27948863.069999997</v>
      </c>
      <c r="L40" s="189">
        <f t="shared" si="7"/>
        <v>5369075.9400000051</v>
      </c>
      <c r="M40" s="191">
        <f t="shared" si="2"/>
        <v>0.19210355450068772</v>
      </c>
      <c r="N40" s="188">
        <f>+INDEX('2019'!$1:$1048576,MATCH('Analytics - 2019'!$A40,'2019'!$A:$A,0),MATCH('Analytics - 2019'!$N$6,'2019'!$6:$6,0))</f>
        <v>3045009.82</v>
      </c>
      <c r="O40" s="188">
        <f>+INDEX('2019'!$1:$1048576,MATCH(CONCATENATE('Analytics - 2019'!$A40,"p"),'2019'!$A:$A,0),MATCH('Analytics - 2019'!$O$6,'2019'!$101:$101,0))</f>
        <v>2977759.6208333336</v>
      </c>
      <c r="P40" s="189">
        <f t="shared" si="3"/>
        <v>67250.199166666251</v>
      </c>
      <c r="Q40" s="190">
        <f t="shared" si="4"/>
        <v>2.2584159814701854E-2</v>
      </c>
      <c r="R40" s="188">
        <f>+INDEX('2018'!$1:$1048576,MATCH('Analytics - 2019'!$A40,'2018'!$A:$A,0),MATCH('Analytics - 2019'!$R$6,'2018'!$6:$6,0))</f>
        <v>3091262.43</v>
      </c>
      <c r="S40" s="189">
        <f t="shared" si="5"/>
        <v>-46252.610000000335</v>
      </c>
      <c r="T40" s="191">
        <f t="shared" si="6"/>
        <v>-1.4962369273837539E-2</v>
      </c>
    </row>
    <row r="41" spans="1:20">
      <c r="A41" s="175">
        <v>440</v>
      </c>
      <c r="B41" s="488" t="str">
        <f>+VLOOKUP($A41,Master!$D$27:$G$225,4,FALSE)</f>
        <v>Current Capital Expenditure</v>
      </c>
      <c r="C41" s="489"/>
      <c r="D41" s="489"/>
      <c r="E41" s="489"/>
      <c r="F41" s="489"/>
      <c r="G41" s="188">
        <f>+SUMPRODUCT(('2019'!$G41:$R41)*('2019'!$G$5:$R$5&lt;=Master!$B$3)*($A41='2019'!$A$10:$A$66))</f>
        <v>33327570.490000002</v>
      </c>
      <c r="H41" s="188">
        <f>+SUMPRODUCT(('2019'!$G136:$R136)*('2019'!$G$5:$R$5&lt;=Master!$B$3))</f>
        <v>49472407.795000009</v>
      </c>
      <c r="I41" s="189">
        <f t="shared" si="0"/>
        <v>-16144837.305000007</v>
      </c>
      <c r="J41" s="190">
        <f t="shared" si="1"/>
        <v>-0.32634023740869356</v>
      </c>
      <c r="K41" s="188">
        <f>+SUMPRODUCT(('2018'!$G41:$R41)*('2018'!$G$5:$R$5&lt;=Master!$B$3))</f>
        <v>32257914.000000004</v>
      </c>
      <c r="L41" s="189">
        <f t="shared" si="7"/>
        <v>1069656.4899999984</v>
      </c>
      <c r="M41" s="191">
        <f t="shared" si="2"/>
        <v>3.3159505912254472E-2</v>
      </c>
      <c r="N41" s="188">
        <f>+INDEX('2019'!$1:$1048576,MATCH('Analytics - 2019'!$A41,'2019'!$A:$A,0),MATCH('Analytics - 2019'!$N$6,'2019'!$6:$6,0))</f>
        <v>10503399.49</v>
      </c>
      <c r="O41" s="188">
        <f>+INDEX('2019'!$1:$1048576,MATCH(CONCATENATE('Analytics - 2019'!$A41,"p"),'2019'!$A:$A,0),MATCH('Analytics - 2019'!$O$6,'2019'!$101:$101,0))</f>
        <v>4947709.1475000018</v>
      </c>
      <c r="P41" s="189">
        <f t="shared" si="3"/>
        <v>5555690.3424999984</v>
      </c>
      <c r="Q41" s="190">
        <f t="shared" si="4"/>
        <v>1.1228813531424335</v>
      </c>
      <c r="R41" s="188">
        <f>+INDEX('2018'!$1:$1048576,MATCH('Analytics - 2019'!$A41,'2018'!$A:$A,0),MATCH('Analytics - 2019'!$R$6,'2018'!$6:$6,0))</f>
        <v>5912379.6799999997</v>
      </c>
      <c r="S41" s="189">
        <f t="shared" si="5"/>
        <v>4591019.8100000005</v>
      </c>
      <c r="T41" s="191">
        <f t="shared" si="6"/>
        <v>0.77650963883970325</v>
      </c>
    </row>
    <row r="42" spans="1:20">
      <c r="A42" s="175">
        <v>42</v>
      </c>
      <c r="B42" s="484" t="str">
        <f>+VLOOKUP($A42,Master!$D$27:$G$225,4,FALSE)</f>
        <v>Social Security Transfers</v>
      </c>
      <c r="C42" s="485"/>
      <c r="D42" s="485"/>
      <c r="E42" s="485"/>
      <c r="F42" s="485"/>
      <c r="G42" s="200">
        <f>+SUMPRODUCT(('2019'!$G42:$R42)*('2019'!$G$5:$R$5&lt;=Master!$B$3)*($A42='2019'!$A$10:$A$66))</f>
        <v>456110654.27000004</v>
      </c>
      <c r="H42" s="200">
        <f>+SUMPRODUCT(('2019'!$G137:$R137)*('2019'!$G$5:$R$5&lt;=Master!$B$3))</f>
        <v>463183560.39999998</v>
      </c>
      <c r="I42" s="219">
        <f t="shared" si="0"/>
        <v>-7072906.1299999356</v>
      </c>
      <c r="J42" s="220">
        <f t="shared" si="1"/>
        <v>-1.5270201135575423E-2</v>
      </c>
      <c r="K42" s="200">
        <f>+SUMPRODUCT(('2018'!$G42:$R42)*('2018'!$G$5:$R$5&lt;=Master!$B$3))</f>
        <v>447159508.73000002</v>
      </c>
      <c r="L42" s="219">
        <f t="shared" si="7"/>
        <v>8951145.5400000215</v>
      </c>
      <c r="M42" s="221">
        <f t="shared" si="2"/>
        <v>2.0017790889480525E-2</v>
      </c>
      <c r="N42" s="200">
        <f>+INDEX('2019'!$1:$1048576,MATCH('Analytics - 2019'!$A42,'2019'!$A:$A,0),MATCH('Analytics - 2019'!$N$6,'2019'!$6:$6,0))</f>
        <v>46756374.820000008</v>
      </c>
      <c r="O42" s="200">
        <f>+INDEX('2019'!$1:$1048576,MATCH(CONCATENATE('Analytics - 2019'!$A42,"p"),'2019'!$A:$A,0),MATCH('Analytics - 2019'!$O$6,'2019'!$101:$101,0))</f>
        <v>47329512.010000005</v>
      </c>
      <c r="P42" s="219">
        <f t="shared" si="3"/>
        <v>-573137.18999999762</v>
      </c>
      <c r="Q42" s="220">
        <f t="shared" si="4"/>
        <v>-1.210950981026182E-2</v>
      </c>
      <c r="R42" s="200">
        <f>+INDEX('2018'!$1:$1048576,MATCH('Analytics - 2019'!$A42,'2018'!$A:$A,0),MATCH('Analytics - 2019'!$R$6,'2018'!$6:$6,0))</f>
        <v>45490648.009999998</v>
      </c>
      <c r="S42" s="219">
        <f t="shared" si="5"/>
        <v>1265726.8100000098</v>
      </c>
      <c r="T42" s="221">
        <f t="shared" si="6"/>
        <v>2.7823890521888606E-2</v>
      </c>
    </row>
    <row r="43" spans="1:20">
      <c r="A43" s="175">
        <v>421</v>
      </c>
      <c r="B43" s="488" t="str">
        <f>+VLOOKUP($A43,Master!$D$27:$G$225,4,FALSE)</f>
        <v>Social Security</v>
      </c>
      <c r="C43" s="489"/>
      <c r="D43" s="489"/>
      <c r="E43" s="489"/>
      <c r="F43" s="489"/>
      <c r="G43" s="188">
        <f>+SUMPRODUCT(('2019'!$G43:$R43)*('2019'!$G$5:$R$5&lt;=Master!$B$3)*($A43='2019'!$A$10:$A$66))</f>
        <v>66115340.469999991</v>
      </c>
      <c r="H43" s="188">
        <f>+SUMPRODUCT(('2019'!$G138:$R138)*('2019'!$G$5:$R$5&lt;=Master!$B$3))</f>
        <v>67491450.000000015</v>
      </c>
      <c r="I43" s="189">
        <f t="shared" si="0"/>
        <v>-1376109.5300000235</v>
      </c>
      <c r="J43" s="190">
        <f t="shared" si="1"/>
        <v>-2.0389390507983163E-2</v>
      </c>
      <c r="K43" s="188">
        <f>+SUMPRODUCT(('2018'!$G43:$R43)*('2018'!$G$5:$R$5&lt;=Master!$B$3))</f>
        <v>64808568.329999998</v>
      </c>
      <c r="L43" s="189">
        <f t="shared" si="7"/>
        <v>1306772.1399999931</v>
      </c>
      <c r="M43" s="191">
        <f t="shared" si="2"/>
        <v>2.0163570553603627E-2</v>
      </c>
      <c r="N43" s="188">
        <f>+INDEX('2019'!$1:$1048576,MATCH('Analytics - 2019'!$A43,'2019'!$A:$A,0),MATCH('Analytics - 2019'!$N$6,'2019'!$6:$6,0))</f>
        <v>6933312.3200000003</v>
      </c>
      <c r="O43" s="188">
        <f>+INDEX('2019'!$1:$1048576,MATCH(CONCATENATE('Analytics - 2019'!$A43,"p"),'2019'!$A:$A,0),MATCH('Analytics - 2019'!$O$6,'2019'!$101:$101,0))</f>
        <v>6749275.0000000028</v>
      </c>
      <c r="P43" s="189">
        <f t="shared" si="3"/>
        <v>184037.3199999975</v>
      </c>
      <c r="Q43" s="190">
        <f t="shared" si="4"/>
        <v>2.7267716902926287E-2</v>
      </c>
      <c r="R43" s="188">
        <f>+INDEX('2018'!$1:$1048576,MATCH('Analytics - 2019'!$A43,'2018'!$A:$A,0),MATCH('Analytics - 2019'!$R$6,'2018'!$6:$6,0))</f>
        <v>7143348.9900000002</v>
      </c>
      <c r="S43" s="189">
        <f t="shared" si="5"/>
        <v>-210036.66999999993</v>
      </c>
      <c r="T43" s="191">
        <f t="shared" si="6"/>
        <v>-2.9403109143068762E-2</v>
      </c>
    </row>
    <row r="44" spans="1:20">
      <c r="A44" s="175">
        <v>422</v>
      </c>
      <c r="B44" s="488" t="str">
        <f>+VLOOKUP($A44,Master!$D$27:$G$225,4,FALSE)</f>
        <v>Funds for redundant labor</v>
      </c>
      <c r="C44" s="489"/>
      <c r="D44" s="489"/>
      <c r="E44" s="489"/>
      <c r="F44" s="489"/>
      <c r="G44" s="188">
        <f>+SUMPRODUCT(('2019'!$G44:$R44)*('2019'!$G$5:$R$5&lt;=Master!$B$3)*($A44='2019'!$A$10:$A$66))</f>
        <v>12674038.429999998</v>
      </c>
      <c r="H44" s="188">
        <f>+SUMPRODUCT(('2019'!$G139:$R139)*('2019'!$G$5:$R$5&lt;=Master!$B$3))</f>
        <v>13483680.83</v>
      </c>
      <c r="I44" s="189">
        <f t="shared" si="0"/>
        <v>-809642.40000000224</v>
      </c>
      <c r="J44" s="190">
        <f t="shared" si="1"/>
        <v>-6.0046096478241995E-2</v>
      </c>
      <c r="K44" s="188">
        <f>+SUMPRODUCT(('2018'!$G44:$R44)*('2018'!$G$5:$R$5&lt;=Master!$B$3))</f>
        <v>10269444.299999999</v>
      </c>
      <c r="L44" s="189">
        <f t="shared" si="7"/>
        <v>2404594.129999999</v>
      </c>
      <c r="M44" s="191">
        <f t="shared" si="2"/>
        <v>0.23415036488391094</v>
      </c>
      <c r="N44" s="188">
        <f>+INDEX('2019'!$1:$1048576,MATCH('Analytics - 2019'!$A44,'2019'!$A:$A,0),MATCH('Analytics - 2019'!$N$6,'2019'!$6:$6,0))</f>
        <v>1710317.34</v>
      </c>
      <c r="O44" s="188">
        <f>+INDEX('2019'!$1:$1048576,MATCH(CONCATENATE('Analytics - 2019'!$A44,"p"),'2019'!$A:$A,0),MATCH('Analytics - 2019'!$O$6,'2019'!$101:$101,0))</f>
        <v>2359394.0699999998</v>
      </c>
      <c r="P44" s="189">
        <f t="shared" si="3"/>
        <v>-649076.72999999975</v>
      </c>
      <c r="Q44" s="190">
        <f t="shared" si="4"/>
        <v>-0.27510314544445713</v>
      </c>
      <c r="R44" s="188">
        <f>+INDEX('2018'!$1:$1048576,MATCH('Analytics - 2019'!$A44,'2018'!$A:$A,0),MATCH('Analytics - 2019'!$R$6,'2018'!$6:$6,0))</f>
        <v>1282662.6599999999</v>
      </c>
      <c r="S44" s="189">
        <f t="shared" si="5"/>
        <v>427654.68000000017</v>
      </c>
      <c r="T44" s="191">
        <f t="shared" si="6"/>
        <v>0.33341165478380752</v>
      </c>
    </row>
    <row r="45" spans="1:20">
      <c r="A45" s="175">
        <v>423</v>
      </c>
      <c r="B45" s="488" t="str">
        <f>+VLOOKUP($A45,Master!$D$27:$G$225,4,FALSE)</f>
        <v>Pension and Disability Insurance</v>
      </c>
      <c r="C45" s="489"/>
      <c r="D45" s="489"/>
      <c r="E45" s="489"/>
      <c r="F45" s="489"/>
      <c r="G45" s="188">
        <f>+SUMPRODUCT(('2019'!$G45:$R45)*('2019'!$G$5:$R$5&lt;=Master!$B$3)*($A45='2019'!$A$10:$A$66))</f>
        <v>350934442.38</v>
      </c>
      <c r="H45" s="188">
        <f>+SUMPRODUCT(('2019'!$G140:$R140)*('2019'!$G$5:$R$5&lt;=Master!$B$3))</f>
        <v>357520845.38999999</v>
      </c>
      <c r="I45" s="189">
        <f t="shared" si="0"/>
        <v>-6586403.0099999905</v>
      </c>
      <c r="J45" s="190">
        <f t="shared" si="1"/>
        <v>-1.8422430733556983E-2</v>
      </c>
      <c r="K45" s="188">
        <f>+SUMPRODUCT(('2018'!$G45:$R45)*('2018'!$G$5:$R$5&lt;=Master!$B$3))</f>
        <v>345575530.38</v>
      </c>
      <c r="L45" s="189">
        <f t="shared" si="7"/>
        <v>5358912</v>
      </c>
      <c r="M45" s="191">
        <f t="shared" si="2"/>
        <v>1.5507209072665784E-2</v>
      </c>
      <c r="N45" s="188">
        <f>+INDEX('2019'!$1:$1048576,MATCH('Analytics - 2019'!$A45,'2019'!$A:$A,0),MATCH('Analytics - 2019'!$N$6,'2019'!$6:$6,0))</f>
        <v>34922457.960000001</v>
      </c>
      <c r="O45" s="188">
        <f>+INDEX('2019'!$1:$1048576,MATCH(CONCATENATE('Analytics - 2019'!$A45,"p"),'2019'!$A:$A,0),MATCH('Analytics - 2019'!$O$6,'2019'!$101:$101,0))</f>
        <v>35752084.530000001</v>
      </c>
      <c r="P45" s="189">
        <f t="shared" si="3"/>
        <v>-829626.5700000003</v>
      </c>
      <c r="Q45" s="190">
        <f t="shared" si="4"/>
        <v>-2.3204984573804377E-2</v>
      </c>
      <c r="R45" s="188">
        <f>+INDEX('2018'!$1:$1048576,MATCH('Analytics - 2019'!$A45,'2018'!$A:$A,0),MATCH('Analytics - 2019'!$R$6,'2018'!$6:$6,0))</f>
        <v>34511618.530000001</v>
      </c>
      <c r="S45" s="189">
        <f t="shared" si="5"/>
        <v>410839.4299999997</v>
      </c>
      <c r="T45" s="191">
        <f t="shared" si="6"/>
        <v>1.1904380249302626E-2</v>
      </c>
    </row>
    <row r="46" spans="1:20">
      <c r="A46" s="175">
        <v>424</v>
      </c>
      <c r="B46" s="488" t="str">
        <f>+VLOOKUP($A46,Master!$D$27:$G$225,4,FALSE)</f>
        <v>Other Health Care Transfers</v>
      </c>
      <c r="C46" s="489"/>
      <c r="D46" s="489"/>
      <c r="E46" s="489"/>
      <c r="F46" s="489"/>
      <c r="G46" s="188">
        <f>+SUMPRODUCT(('2019'!$G46:$R46)*('2019'!$G$5:$R$5&lt;=Master!$B$3)*($A46='2019'!$A$10:$A$66))</f>
        <v>17285745.990000002</v>
      </c>
      <c r="H46" s="188">
        <f>+SUMPRODUCT(('2019'!$G141:$R141)*('2019'!$G$5:$R$5&lt;=Master!$B$3))</f>
        <v>15833416.68</v>
      </c>
      <c r="I46" s="189">
        <f t="shared" si="0"/>
        <v>1452329.3100000024</v>
      </c>
      <c r="J46" s="190">
        <f t="shared" si="1"/>
        <v>9.17255788407636E-2</v>
      </c>
      <c r="K46" s="188">
        <f>+SUMPRODUCT(('2018'!$G46:$R46)*('2018'!$G$5:$R$5&lt;=Master!$B$3))</f>
        <v>15614601</v>
      </c>
      <c r="L46" s="189">
        <f t="shared" si="7"/>
        <v>1671144.9900000021</v>
      </c>
      <c r="M46" s="191">
        <f t="shared" si="2"/>
        <v>0.1070245080229717</v>
      </c>
      <c r="N46" s="188">
        <f>+INDEX('2019'!$1:$1048576,MATCH('Analytics - 2019'!$A46,'2019'!$A:$A,0),MATCH('Analytics - 2019'!$N$6,'2019'!$6:$6,0))</f>
        <v>2220320.35</v>
      </c>
      <c r="O46" s="188">
        <f>+INDEX('2019'!$1:$1048576,MATCH(CONCATENATE('Analytics - 2019'!$A46,"p"),'2019'!$A:$A,0),MATCH('Analytics - 2019'!$O$6,'2019'!$101:$101,0))</f>
        <v>1583341.6600000001</v>
      </c>
      <c r="P46" s="189">
        <f t="shared" si="3"/>
        <v>636978.68999999994</v>
      </c>
      <c r="Q46" s="190">
        <f t="shared" si="4"/>
        <v>0.40230021485065959</v>
      </c>
      <c r="R46" s="188">
        <f>+INDEX('2018'!$1:$1048576,MATCH('Analytics - 2019'!$A46,'2018'!$A:$A,0),MATCH('Analytics - 2019'!$R$6,'2018'!$6:$6,0))</f>
        <v>1661059.04</v>
      </c>
      <c r="S46" s="189">
        <f t="shared" si="5"/>
        <v>559261.31000000006</v>
      </c>
      <c r="T46" s="191">
        <f t="shared" si="6"/>
        <v>0.33668960376026136</v>
      </c>
    </row>
    <row r="47" spans="1:20">
      <c r="A47" s="175">
        <v>425</v>
      </c>
      <c r="B47" s="488" t="str">
        <f>+VLOOKUP($A47,Master!$D$27:$G$225,4,FALSE)</f>
        <v>Other Health Care Insurance</v>
      </c>
      <c r="C47" s="489"/>
      <c r="D47" s="489"/>
      <c r="E47" s="489"/>
      <c r="F47" s="489"/>
      <c r="G47" s="188">
        <f>+SUMPRODUCT(('2019'!$G47:$R47)*('2019'!$G$5:$R$5&lt;=Master!$B$3)*($A47='2019'!$A$10:$A$66))</f>
        <v>9101087.0000000019</v>
      </c>
      <c r="H47" s="188">
        <f>+SUMPRODUCT(('2019'!$G142:$R142)*('2019'!$G$5:$R$5&lt;=Master!$B$3))</f>
        <v>8854167.5</v>
      </c>
      <c r="I47" s="189">
        <f t="shared" si="0"/>
        <v>246919.50000000186</v>
      </c>
      <c r="J47" s="190">
        <f t="shared" si="1"/>
        <v>2.7887376198835412E-2</v>
      </c>
      <c r="K47" s="188">
        <f>+SUMPRODUCT(('2018'!$G47:$R47)*('2018'!$G$5:$R$5&lt;=Master!$B$3))</f>
        <v>10891364.719999999</v>
      </c>
      <c r="L47" s="189">
        <f t="shared" si="7"/>
        <v>-1790277.7199999969</v>
      </c>
      <c r="M47" s="191">
        <f t="shared" si="2"/>
        <v>-0.16437588548590976</v>
      </c>
      <c r="N47" s="188">
        <f>+INDEX('2019'!$1:$1048576,MATCH('Analytics - 2019'!$A47,'2019'!$A:$A,0),MATCH('Analytics - 2019'!$N$6,'2019'!$6:$6,0))</f>
        <v>969966.85</v>
      </c>
      <c r="O47" s="188">
        <f>+INDEX('2019'!$1:$1048576,MATCH(CONCATENATE('Analytics - 2019'!$A47,"p"),'2019'!$A:$A,0),MATCH('Analytics - 2019'!$O$6,'2019'!$101:$101,0))</f>
        <v>885416.75</v>
      </c>
      <c r="P47" s="189">
        <f t="shared" si="3"/>
        <v>84550.099999999977</v>
      </c>
      <c r="Q47" s="190">
        <f t="shared" si="4"/>
        <v>9.5491868659588697E-2</v>
      </c>
      <c r="R47" s="188">
        <f>+INDEX('2018'!$1:$1048576,MATCH('Analytics - 2019'!$A47,'2018'!$A:$A,0),MATCH('Analytics - 2019'!$R$6,'2018'!$6:$6,0))</f>
        <v>891958.79</v>
      </c>
      <c r="S47" s="189">
        <f t="shared" si="5"/>
        <v>78008.059999999939</v>
      </c>
      <c r="T47" s="191">
        <f t="shared" si="6"/>
        <v>8.7457022538003137E-2</v>
      </c>
    </row>
    <row r="48" spans="1:20">
      <c r="A48" s="175">
        <v>43</v>
      </c>
      <c r="B48" s="486" t="str">
        <f>+VLOOKUP($A48,Master!$D$27:$G$225,4,FALSE)</f>
        <v xml:space="preserve">Transfers to Institutions, Individuals, NGO and Public Sector </v>
      </c>
      <c r="C48" s="487"/>
      <c r="D48" s="487"/>
      <c r="E48" s="487"/>
      <c r="F48" s="487"/>
      <c r="G48" s="200">
        <f>+SUMPRODUCT(('2019'!$G48:$R48)*('2019'!$G$5:$R$5&lt;=Master!$B$3)*($A48='2019'!$A$10:$A$66))</f>
        <v>178467676.83999997</v>
      </c>
      <c r="H48" s="200">
        <f>+SUMPRODUCT(('2019'!$G143:$R143)*('2019'!$G$5:$R$5&lt;=Master!$B$3))</f>
        <v>185056653.72999999</v>
      </c>
      <c r="I48" s="201">
        <f t="shared" si="0"/>
        <v>-6588976.8900000155</v>
      </c>
      <c r="J48" s="202">
        <f t="shared" si="1"/>
        <v>-3.5605187693566576E-2</v>
      </c>
      <c r="K48" s="200">
        <f>+SUMPRODUCT(('2018'!$G48:$R48)*('2018'!$G$5:$R$5&lt;=Master!$B$3))</f>
        <v>157726219.20999998</v>
      </c>
      <c r="L48" s="201">
        <f t="shared" si="7"/>
        <v>20741457.629999995</v>
      </c>
      <c r="M48" s="203">
        <f t="shared" si="2"/>
        <v>0.13150291520260415</v>
      </c>
      <c r="N48" s="200">
        <f>+INDEX('2019'!$1:$1048576,MATCH('Analytics - 2019'!$A48,'2019'!$A:$A,0),MATCH('Analytics - 2019'!$N$6,'2019'!$6:$6,0))</f>
        <v>17069504.329999998</v>
      </c>
      <c r="O48" s="200">
        <f>+INDEX('2019'!$1:$1048576,MATCH(CONCATENATE('Analytics - 2019'!$A48,"p"),'2019'!$A:$A,0),MATCH('Analytics - 2019'!$O$6,'2019'!$101:$101,0))</f>
        <v>17923875.184999999</v>
      </c>
      <c r="P48" s="201">
        <f t="shared" si="3"/>
        <v>-854370.85500000045</v>
      </c>
      <c r="Q48" s="202">
        <f t="shared" si="4"/>
        <v>-4.766663716309516E-2</v>
      </c>
      <c r="R48" s="200">
        <f>+INDEX('2018'!$1:$1048576,MATCH('Analytics - 2019'!$A48,'2018'!$A:$A,0),MATCH('Analytics - 2019'!$R$6,'2018'!$6:$6,0))</f>
        <v>16865388.859999999</v>
      </c>
      <c r="S48" s="201">
        <f t="shared" si="5"/>
        <v>204115.46999999881</v>
      </c>
      <c r="T48" s="203">
        <f t="shared" si="6"/>
        <v>1.2102624593738565E-2</v>
      </c>
    </row>
    <row r="49" spans="1:23">
      <c r="A49" s="175">
        <v>44</v>
      </c>
      <c r="B49" s="486" t="str">
        <f>+VLOOKUP($A49,Master!$D$27:$G$225,4,FALSE)</f>
        <v>Capital Expenditure</v>
      </c>
      <c r="C49" s="487"/>
      <c r="D49" s="487"/>
      <c r="E49" s="487"/>
      <c r="F49" s="487"/>
      <c r="G49" s="200">
        <f>+SUMPRODUCT(('2019'!$G49:$R49)*('2019'!$G$5:$R$5&lt;=Master!$B$3)*($A49='2019'!$A$10:$A$66))</f>
        <v>174427193.98000002</v>
      </c>
      <c r="H49" s="200">
        <f>+SUMPRODUCT(('2019'!$G144:$R144)*('2019'!$G$5:$R$5&lt;=Master!$B$3))</f>
        <v>267437499.89999998</v>
      </c>
      <c r="I49" s="201">
        <f t="shared" si="0"/>
        <v>-93010305.919999957</v>
      </c>
      <c r="J49" s="202">
        <f t="shared" si="1"/>
        <v>-0.34778333612443391</v>
      </c>
      <c r="K49" s="200">
        <f>+SUMPRODUCT(('2018'!$G49:$R49)*('2018'!$G$5:$R$5&lt;=Master!$B$3))</f>
        <v>174091971.06999999</v>
      </c>
      <c r="L49" s="201">
        <f t="shared" si="7"/>
        <v>335222.91000002623</v>
      </c>
      <c r="M49" s="203">
        <f t="shared" si="2"/>
        <v>1.9255506611803863E-3</v>
      </c>
      <c r="N49" s="200">
        <f>+INDEX('2019'!$1:$1048576,MATCH('Analytics - 2019'!$A49,'2019'!$A:$A,0),MATCH('Analytics - 2019'!$N$6,'2019'!$6:$6,0))</f>
        <v>14440865.34</v>
      </c>
      <c r="O49" s="200">
        <f>+INDEX('2019'!$1:$1048576,MATCH(CONCATENATE('Analytics - 2019'!$A49,"p"),'2019'!$A:$A,0),MATCH('Analytics - 2019'!$O$6,'2019'!$101:$101,0))</f>
        <v>26743749.989999995</v>
      </c>
      <c r="P49" s="201">
        <f t="shared" si="3"/>
        <v>-12302884.649999995</v>
      </c>
      <c r="Q49" s="202">
        <f t="shared" si="4"/>
        <v>-0.46002840493948238</v>
      </c>
      <c r="R49" s="200">
        <f>+INDEX('2018'!$1:$1048576,MATCH('Analytics - 2019'!$A49,'2018'!$A:$A,0),MATCH('Analytics - 2019'!$R$6,'2018'!$6:$6,0))</f>
        <v>27286098.32</v>
      </c>
      <c r="S49" s="201">
        <f t="shared" si="5"/>
        <v>-12845232.98</v>
      </c>
      <c r="T49" s="203" t="s">
        <v>773</v>
      </c>
    </row>
    <row r="50" spans="1:23">
      <c r="A50" s="175">
        <v>451</v>
      </c>
      <c r="B50" s="456" t="str">
        <f>+VLOOKUP($A50,Master!$D$27:$G$225,4,FALSE)</f>
        <v>Credits and Borrowings</v>
      </c>
      <c r="C50" s="457"/>
      <c r="D50" s="457"/>
      <c r="E50" s="457"/>
      <c r="F50" s="457"/>
      <c r="G50" s="188">
        <f>+SUMPRODUCT(('2019'!$G50:$R50)*('2019'!$G$5:$R$5&lt;=Master!$B$3)*($A50='2019'!$A$10:$A$66))</f>
        <v>2094501.98</v>
      </c>
      <c r="H50" s="188">
        <f>+SUMPRODUCT(('2019'!$G145:$R145)*('2019'!$G$5:$R$5&lt;=Master!$B$3))</f>
        <v>1900000.833333333</v>
      </c>
      <c r="I50" s="189">
        <f>G50-H50</f>
        <v>194501.14666666696</v>
      </c>
      <c r="J50" s="343">
        <f t="shared" si="1"/>
        <v>0.10236897966272829</v>
      </c>
      <c r="K50" s="188">
        <f>+SUMPRODUCT(('2018'!$G50:$R50)*('2018'!$G$5:$R$5&lt;=Master!$B$3))</f>
        <v>2024281</v>
      </c>
      <c r="L50" s="349">
        <f t="shared" si="7"/>
        <v>70220.979999999981</v>
      </c>
      <c r="M50" s="352">
        <f t="shared" si="2"/>
        <v>3.4689344018937973E-2</v>
      </c>
      <c r="N50" s="188">
        <f>+INDEX('2019'!$1:$1048576,MATCH('Analytics - 2019'!$A50,'2019'!$A:$A,0),MATCH('Analytics - 2019'!$N$6,'2019'!$6:$6,0))</f>
        <v>10000</v>
      </c>
      <c r="O50" s="188">
        <f>+INDEX('2019'!$1:$1048576,MATCH(CONCATENATE('Analytics - 2019'!$A50,"p"),'2019'!$A:$A,0),MATCH('Analytics - 2019'!$O$6,'2019'!$101:$101,0))</f>
        <v>190000.08333333334</v>
      </c>
      <c r="P50" s="189">
        <f t="shared" si="3"/>
        <v>-180000.08333333334</v>
      </c>
      <c r="Q50" s="343">
        <f t="shared" si="4"/>
        <v>-0.94736844413664734</v>
      </c>
      <c r="R50" s="188">
        <f>+INDEX('2018'!$1:$1048576,MATCH('Analytics - 2019'!$A50,'2018'!$A:$A,0),MATCH('Analytics - 2019'!$R$6,'2018'!$6:$6,0))</f>
        <v>80000</v>
      </c>
      <c r="S50" s="349">
        <f t="shared" si="5"/>
        <v>-70000</v>
      </c>
      <c r="T50" s="352" t="s">
        <v>773</v>
      </c>
    </row>
    <row r="51" spans="1:23">
      <c r="A51" s="175">
        <v>47</v>
      </c>
      <c r="B51" s="456" t="str">
        <f>+VLOOKUP($A51,Master!$D$27:$G$225,4,FALSE)</f>
        <v>Reserves</v>
      </c>
      <c r="C51" s="457"/>
      <c r="D51" s="457"/>
      <c r="E51" s="457"/>
      <c r="F51" s="457"/>
      <c r="G51" s="188">
        <f>+SUMPRODUCT(('2019'!$G51:$R51)*('2019'!$G$5:$R$5&lt;=Master!$B$3)*($A51='2019'!$A$10:$A$66))</f>
        <v>14830580.08</v>
      </c>
      <c r="H51" s="188">
        <f>+SUMPRODUCT(('2019'!$G146:$R146)*('2019'!$G$5:$R$5&lt;=Master!$B$3))</f>
        <v>20365499.999999996</v>
      </c>
      <c r="I51" s="189">
        <f t="shared" ref="I51:I52" si="8">G51-H51</f>
        <v>-5534919.9199999962</v>
      </c>
      <c r="J51" s="344">
        <f t="shared" si="1"/>
        <v>-0.27177923056148867</v>
      </c>
      <c r="K51" s="188">
        <f>+SUMPRODUCT(('2018'!$G51:$R51)*('2018'!$G$5:$R$5&lt;=Master!$B$3))</f>
        <v>13234946.75</v>
      </c>
      <c r="L51" s="350">
        <f t="shared" si="7"/>
        <v>1595633.33</v>
      </c>
      <c r="M51" s="353">
        <f t="shared" si="2"/>
        <v>0.12056212693111146</v>
      </c>
      <c r="N51" s="188">
        <f>+INDEX('2019'!$1:$1048576,MATCH('Analytics - 2019'!$A51,'2019'!$A:$A,0),MATCH('Analytics - 2019'!$N$6,'2019'!$6:$6,0))</f>
        <v>424125.36</v>
      </c>
      <c r="O51" s="188">
        <f>+INDEX('2019'!$1:$1048576,MATCH(CONCATENATE('Analytics - 2019'!$A51,"p"),'2019'!$A:$A,0),MATCH('Analytics - 2019'!$O$6,'2019'!$101:$101,0))</f>
        <v>2317250</v>
      </c>
      <c r="P51" s="189">
        <f t="shared" si="3"/>
        <v>-1893124.6400000001</v>
      </c>
      <c r="Q51" s="344">
        <f t="shared" si="4"/>
        <v>-0.81697039162800733</v>
      </c>
      <c r="R51" s="188">
        <f>+INDEX('2018'!$1:$1048576,MATCH('Analytics - 2019'!$A51,'2018'!$A:$A,0),MATCH('Analytics - 2019'!$R$6,'2018'!$6:$6,0))</f>
        <v>559184.78</v>
      </c>
      <c r="S51" s="350">
        <f t="shared" si="5"/>
        <v>-135059.42000000004</v>
      </c>
      <c r="T51" s="353">
        <f t="shared" si="6"/>
        <v>-0.24152914176240636</v>
      </c>
      <c r="W51" s="441"/>
    </row>
    <row r="52" spans="1:23" ht="15.75" thickBot="1">
      <c r="A52" s="175">
        <v>462</v>
      </c>
      <c r="B52" s="474" t="str">
        <f>+VLOOKUP($A52,Master!$D$27:$G$225,4,FALSE)</f>
        <v>Repayment of Guarantees</v>
      </c>
      <c r="C52" s="475"/>
      <c r="D52" s="475"/>
      <c r="E52" s="475"/>
      <c r="F52" s="475"/>
      <c r="G52" s="188">
        <f>+SUMPRODUCT(('2019'!$G52:$R52)*('2019'!$G$5:$R$5&lt;=Master!$B$3)*($A52='2019'!$A$10:$A$66))</f>
        <v>9434699.4100000001</v>
      </c>
      <c r="H52" s="188">
        <f>+SUMPRODUCT(('2019'!$G147:$R147)*('2019'!$G$5:$R$5&lt;=Master!$B$3))</f>
        <v>9434672.4100000001</v>
      </c>
      <c r="I52" s="189">
        <f t="shared" si="8"/>
        <v>27</v>
      </c>
      <c r="J52" s="345">
        <f t="shared" si="1"/>
        <v>2.8617845777567652E-6</v>
      </c>
      <c r="K52" s="188">
        <f>+SUMPRODUCT(('2018'!$G52:$R52)*('2018'!$G$5:$R$5&lt;=Master!$B$3))</f>
        <v>0</v>
      </c>
      <c r="L52" s="350">
        <f t="shared" si="7"/>
        <v>9434699.4100000001</v>
      </c>
      <c r="M52" s="354" t="str">
        <f t="shared" si="2"/>
        <v>…</v>
      </c>
      <c r="N52" s="188">
        <f>+INDEX('2019'!$1:$1048576,MATCH('Analytics - 2019'!$A52,'2019'!$A:$A,0),MATCH('Analytics - 2019'!$N$6,'2019'!$6:$6,0))</f>
        <v>0</v>
      </c>
      <c r="O52" s="188">
        <f>+INDEX('2019'!$1:$1048576,MATCH(CONCATENATE('Analytics - 2019'!$A52,"p"),'2019'!$A:$A,0),MATCH('Analytics - 2019'!$O$6,'2019'!$101:$101,0))</f>
        <v>0</v>
      </c>
      <c r="P52" s="189">
        <f t="shared" si="3"/>
        <v>0</v>
      </c>
      <c r="Q52" s="345" t="str">
        <f t="shared" si="4"/>
        <v>…</v>
      </c>
      <c r="R52" s="188">
        <f>+INDEX('2018'!$1:$1048576,MATCH('Analytics - 2019'!$A52,'2018'!$A:$A,0),MATCH('Analytics - 2019'!$R$6,'2018'!$6:$6,0))</f>
        <v>0</v>
      </c>
      <c r="S52" s="350">
        <f t="shared" si="5"/>
        <v>0</v>
      </c>
      <c r="T52" s="354" t="str">
        <f t="shared" si="6"/>
        <v>…</v>
      </c>
    </row>
    <row r="53" spans="1:23" ht="15.75" thickBot="1">
      <c r="A53" s="169">
        <v>4630</v>
      </c>
      <c r="B53" s="474" t="str">
        <f>+VLOOKUP($A53,Master!$D$27:$G$225,4,FALSE)</f>
        <v>Repayments of Arrears</v>
      </c>
      <c r="C53" s="475"/>
      <c r="D53" s="475"/>
      <c r="E53" s="475"/>
      <c r="F53" s="475"/>
      <c r="G53" s="453">
        <f>+SUMPRODUCT(('2019'!$G53:$R53)*('2019'!$G$5:$R$5&lt;=Master!$B$3)*($A53='2019'!$A$10:$A$66))</f>
        <v>17549235.309999995</v>
      </c>
      <c r="H53" s="390">
        <f>+SUMPRODUCT(('2019'!$G148:$R148)*('2019'!$G$5:$R$5&lt;=Master!$B$3))</f>
        <v>15548938.57</v>
      </c>
      <c r="I53" s="351">
        <f>G53-H53</f>
        <v>2000296.7399999946</v>
      </c>
      <c r="J53" s="346">
        <f t="shared" si="1"/>
        <v>0.12864522751793173</v>
      </c>
      <c r="K53" s="390">
        <f>+SUMPRODUCT(('2018'!$G53:$R53)*('2018'!$G$5:$R$5&lt;=Master!$B$3))</f>
        <v>19989854.140000001</v>
      </c>
      <c r="L53" s="357">
        <f t="shared" si="7"/>
        <v>-2440618.8300000057</v>
      </c>
      <c r="M53" s="355">
        <f t="shared" si="2"/>
        <v>-0.12209287836254346</v>
      </c>
      <c r="N53" s="390">
        <f>+INDEX('2019'!$1:$1048576,MATCH('Analytics - 2019'!$A53,'2019'!$A:$A,0),MATCH('Analytics - 2019'!$N$6,'2019'!$6:$6,0))</f>
        <v>1269302.99</v>
      </c>
      <c r="O53" s="390">
        <f>+INDEX('2019'!$1:$1048576,MATCH(CONCATENATE('Analytics - 2019'!$A53,"p"),'2019'!$A:$A,0),MATCH('Analytics - 2019'!$O$6,'2019'!$101:$101,0))</f>
        <v>1374050.6099999999</v>
      </c>
      <c r="P53" s="351">
        <f>N53-O53</f>
        <v>-104747.61999999988</v>
      </c>
      <c r="Q53" s="346">
        <f t="shared" si="4"/>
        <v>-7.6232723334695773E-2</v>
      </c>
      <c r="R53" s="390">
        <f>+INDEX('2018'!$1:$1048576,MATCH('Analytics - 2019'!$A53,'2018'!$A:$A,0),MATCH('Analytics - 2019'!$R$6,'2018'!$6:$6,0))</f>
        <v>1966075.9</v>
      </c>
      <c r="S53" s="357">
        <f>+N53-R53</f>
        <v>-696772.90999999992</v>
      </c>
      <c r="T53" s="355">
        <f>+IF(ISNUMBER(N53/R53-1),N53/R53-1,"…")</f>
        <v>-0.35439776765484987</v>
      </c>
    </row>
    <row r="54" spans="1:23" ht="15.75" thickBot="1">
      <c r="A54" s="169">
        <v>1005</v>
      </c>
      <c r="B54" s="474" t="str">
        <f>+VLOOKUP($A54,Master!$D$27:$G$227,4,FALSE)</f>
        <v>Net increase of liabilities</v>
      </c>
      <c r="C54" s="475"/>
      <c r="D54" s="475"/>
      <c r="E54" s="475"/>
      <c r="F54" s="475"/>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80" t="str">
        <f>+VLOOKUP($A55,Master!$D$27:$G$225,4,FALSE)</f>
        <v>Surplus / deficit</v>
      </c>
      <c r="C55" s="481"/>
      <c r="D55" s="481"/>
      <c r="E55" s="481"/>
      <c r="F55" s="481"/>
      <c r="G55" s="176">
        <f>+SUMPRODUCT(('2019'!$G55:$R55)*('2019'!$G$5:$R$5&lt;=Master!$B$3)*($A55='2019'!$A$10:$A$66))</f>
        <v>-35377007.350000039</v>
      </c>
      <c r="H55" s="176">
        <f>+SUMPRODUCT(('2019'!$G150:$R150)*('2019'!$G$5:$R$5&lt;=Master!$B$3))</f>
        <v>-186295756.47321835</v>
      </c>
      <c r="I55" s="397">
        <f>+G55-H55</f>
        <v>150918749.1232183</v>
      </c>
      <c r="J55" s="348">
        <f t="shared" si="1"/>
        <v>-0.81010298881882581</v>
      </c>
      <c r="K55" s="176">
        <f>+SUMPRODUCT(('2018'!$G55:$R55)*('2018'!$G$5:$R$5&lt;=Master!$B$3))</f>
        <v>-52972993.939999953</v>
      </c>
      <c r="L55" s="358">
        <f t="shared" si="7"/>
        <v>17595986.589999914</v>
      </c>
      <c r="M55" s="356">
        <f t="shared" si="2"/>
        <v>-0.33216900313261644</v>
      </c>
      <c r="N55" s="176">
        <f>+INDEX('2019'!$1:$1048576,MATCH('Analytics - 2019'!$A55,'2019'!$A:$A,0),MATCH('Analytics - 2019'!$N$6,'2019'!$6:$6,0))</f>
        <v>2992113.5800000131</v>
      </c>
      <c r="O55" s="176">
        <f>+INDEX('2019'!$1:$1048576,MATCH(CONCATENATE('Analytics - 2019'!$A55,"p"),'2019'!$A:$A,0),MATCH('Analytics - 2019'!$O$6,'2019'!$101:$101,0))</f>
        <v>29894513.576703846</v>
      </c>
      <c r="P55" s="397">
        <f>N55-O55</f>
        <v>-26902399.996703833</v>
      </c>
      <c r="Q55" s="348">
        <f t="shared" si="4"/>
        <v>-0.8999109461231809</v>
      </c>
      <c r="R55" s="176">
        <f>+INDEX('2018'!$1:$1048576,MATCH('Analytics - 2019'!$A55,'2018'!$A:$A,0),MATCH('Analytics - 2019'!$R$6,'2018'!$6:$6,0))</f>
        <v>-12364672.099999994</v>
      </c>
      <c r="S55" s="358">
        <f t="shared" si="5"/>
        <v>15356785.680000007</v>
      </c>
      <c r="T55" s="348">
        <f>+IF(ISNUMBER(N55/R55-1),N55/R55-1,"…")</f>
        <v>-1.2419889145301326</v>
      </c>
    </row>
    <row r="56" spans="1:23" ht="15.75" thickBot="1">
      <c r="A56" s="169">
        <v>1001</v>
      </c>
      <c r="B56" s="482" t="str">
        <f>+VLOOKUP($A56,Master!$D$27:$G$225,4,FALSE)</f>
        <v>Primary balance</v>
      </c>
      <c r="C56" s="483"/>
      <c r="D56" s="483"/>
      <c r="E56" s="483"/>
      <c r="F56" s="483"/>
      <c r="G56" s="176">
        <f>+SUMPRODUCT(('2019'!$G56:$R56)*('2019'!$G$5:$R$5&lt;=Master!$B$3)*($A56='2019'!$A$10:$A$66))</f>
        <v>49304696.119999953</v>
      </c>
      <c r="H56" s="176">
        <f>+SUMPRODUCT(('2019'!$G151:$R151)*('2019'!$G$5:$R$5&lt;=Master!$B$3))</f>
        <v>-100184141.57321836</v>
      </c>
      <c r="I56" s="231">
        <f t="shared" si="0"/>
        <v>149488837.69321832</v>
      </c>
      <c r="J56" s="232">
        <f t="shared" si="1"/>
        <v>-1.4921407255255685</v>
      </c>
      <c r="K56" s="176">
        <f>+SUMPRODUCT(('2018'!$G56:$R56)*('2018'!$G$5:$R$5&lt;=Master!$B$3))</f>
        <v>34663417.680000052</v>
      </c>
      <c r="L56" s="231">
        <f t="shared" si="7"/>
        <v>14641278.439999901</v>
      </c>
      <c r="M56" s="233">
        <f t="shared" si="2"/>
        <v>0.42238415655267492</v>
      </c>
      <c r="N56" s="176">
        <f>+INDEX('2019'!$1:$1048576,MATCH('Analytics - 2019'!$A56,'2019'!$A:$A,0),MATCH('Analytics - 2019'!$N$6,'2019'!$6:$6,0))</f>
        <v>4620239.7000000132</v>
      </c>
      <c r="O56" s="176">
        <f>+INDEX('2019'!$1:$1048576,MATCH(CONCATENATE('Analytics - 2019'!$A56,"p"),'2019'!$A:$A,0),MATCH('Analytics - 2019'!$O$6,'2019'!$101:$101,0))</f>
        <v>31215805.656703848</v>
      </c>
      <c r="P56" s="231">
        <f t="shared" si="3"/>
        <v>-26595565.956703834</v>
      </c>
      <c r="Q56" s="232">
        <f t="shared" si="4"/>
        <v>-0.85199037465791694</v>
      </c>
      <c r="R56" s="176">
        <f>+INDEX('2018'!$1:$1048576,MATCH('Analytics - 2019'!$A56,'2018'!$A:$A,0),MATCH('Analytics - 2019'!$R$6,'2018'!$6:$6,0))</f>
        <v>-10825983.799999993</v>
      </c>
      <c r="S56" s="231">
        <f t="shared" si="5"/>
        <v>15446223.500000007</v>
      </c>
      <c r="T56" s="348">
        <f>+IF(ISNUMBER(N56/R56-1),N56/R56-1,"…")</f>
        <v>-1.4267731954300555</v>
      </c>
    </row>
    <row r="57" spans="1:23">
      <c r="A57" s="169">
        <v>46</v>
      </c>
      <c r="B57" s="484" t="str">
        <f>+VLOOKUP($A57,Master!$D$27:$G$225,4,FALSE)</f>
        <v>Repayment of Debt</v>
      </c>
      <c r="C57" s="485"/>
      <c r="D57" s="485"/>
      <c r="E57" s="485"/>
      <c r="F57" s="485"/>
      <c r="G57" s="182">
        <f>+SUMPRODUCT(('2019'!$G57:$R57)*('2019'!$G$5:$R$5&lt;=Master!$B$3)*($A57='2019'!$A$10:$A$66))</f>
        <v>484958278.56999999</v>
      </c>
      <c r="H57" s="182">
        <f>+SUMPRODUCT(('2019'!$G152:$R152)*('2019'!$G$5:$R$5&lt;=Master!$B$3))</f>
        <v>341711780.17000002</v>
      </c>
      <c r="I57" s="219">
        <f t="shared" si="0"/>
        <v>143246498.39999998</v>
      </c>
      <c r="J57" s="220">
        <f t="shared" si="1"/>
        <v>0.41920269277440636</v>
      </c>
      <c r="K57" s="182">
        <f>+SUMPRODUCT(('2018'!$G57:$R57)*('2018'!$G$5:$R$5&lt;=Master!$B$3))</f>
        <v>675779449.32000005</v>
      </c>
      <c r="L57" s="219">
        <f t="shared" si="7"/>
        <v>-190821170.75000006</v>
      </c>
      <c r="M57" s="221">
        <f t="shared" si="2"/>
        <v>-0.28237196461362202</v>
      </c>
      <c r="N57" s="182">
        <f>+INDEX('2019'!$1:$1048576,MATCH('Analytics - 2019'!$A57,'2019'!$A:$A,0),MATCH('Analytics - 2019'!$N$6,'2019'!$6:$6,0))</f>
        <v>11092379.140000001</v>
      </c>
      <c r="O57" s="182">
        <f>+INDEX('2019'!$1:$1048576,MATCH(CONCATENATE('Analytics - 2019'!$A57,"p"),'2019'!$A:$A,0),MATCH('Analytics - 2019'!$O$6,'2019'!$101:$101,0))</f>
        <v>6151156.2299999995</v>
      </c>
      <c r="P57" s="219">
        <f t="shared" si="3"/>
        <v>4941222.9100000011</v>
      </c>
      <c r="Q57" s="220">
        <f t="shared" si="4"/>
        <v>0.80329985538344895</v>
      </c>
      <c r="R57" s="182">
        <f>+INDEX('2018'!$1:$1048576,MATCH('Analytics - 2019'!$A57,'2018'!$A:$A,0),MATCH('Analytics - 2019'!$R$6,'2018'!$6:$6,0))</f>
        <v>6031992.4700000007</v>
      </c>
      <c r="S57" s="219">
        <f t="shared" si="5"/>
        <v>5060386.67</v>
      </c>
      <c r="T57" s="221">
        <f t="shared" si="6"/>
        <v>0.83892456682725247</v>
      </c>
    </row>
    <row r="58" spans="1:23">
      <c r="A58" s="169">
        <v>4611</v>
      </c>
      <c r="B58" s="472" t="str">
        <f>+VLOOKUP($A58,Master!$D$27:$G$225,4,FALSE)</f>
        <v>Repayment of Domestic Debt</v>
      </c>
      <c r="C58" s="473"/>
      <c r="D58" s="473"/>
      <c r="E58" s="473"/>
      <c r="F58" s="473"/>
      <c r="G58" s="188">
        <f>+SUMPRODUCT(('2019'!$G58:$R58)*('2019'!$G$5:$R$5&lt;=Master!$B$3)*($A58='2019'!$A$10:$A$66))</f>
        <v>175494134.59999999</v>
      </c>
      <c r="H58" s="188">
        <f>+SUMPRODUCT(('2019'!$G153:$R153)*('2019'!$G$5:$R$5&lt;=Master!$B$3))</f>
        <v>31494159.529999997</v>
      </c>
      <c r="I58" s="237">
        <f t="shared" si="0"/>
        <v>143999975.06999999</v>
      </c>
      <c r="J58" s="238">
        <f t="shared" si="1"/>
        <v>4.5722755335900214</v>
      </c>
      <c r="K58" s="188">
        <f>+SUMPRODUCT(('2018'!$G58:$R58)*('2018'!$G$5:$R$5&lt;=Master!$B$3))</f>
        <v>231787358.74000001</v>
      </c>
      <c r="L58" s="237">
        <f t="shared" si="7"/>
        <v>-56293224.140000015</v>
      </c>
      <c r="M58" s="239">
        <f t="shared" si="2"/>
        <v>-0.24286580789397205</v>
      </c>
      <c r="N58" s="188">
        <f>+INDEX('2019'!$1:$1048576,MATCH('Analytics - 2019'!$A58,'2019'!$A:$A,0),MATCH('Analytics - 2019'!$N$6,'2019'!$6:$6,0))</f>
        <v>6571880.8899999997</v>
      </c>
      <c r="O58" s="188">
        <f>+INDEX('2019'!$1:$1048576,MATCH(CONCATENATE('Analytics - 2019'!$A58,"p"),'2019'!$A:$A,0),MATCH('Analytics - 2019'!$O$6,'2019'!$101:$101,0))</f>
        <v>1571862.21</v>
      </c>
      <c r="P58" s="237">
        <f t="shared" si="3"/>
        <v>5000018.68</v>
      </c>
      <c r="Q58" s="238">
        <f t="shared" si="4"/>
        <v>3.1809522795258243</v>
      </c>
      <c r="R58" s="188">
        <f>+INDEX('2018'!$1:$1048576,MATCH('Analytics - 2019'!$A58,'2018'!$A:$A,0),MATCH('Analytics - 2019'!$R$6,'2018'!$6:$6,0))</f>
        <v>2260146.02</v>
      </c>
      <c r="S58" s="237">
        <f t="shared" si="5"/>
        <v>4311734.8699999992</v>
      </c>
      <c r="T58" s="239">
        <f t="shared" si="6"/>
        <v>1.9077240283793699</v>
      </c>
    </row>
    <row r="59" spans="1:23">
      <c r="A59" s="169">
        <v>4612</v>
      </c>
      <c r="B59" s="456" t="str">
        <f>+VLOOKUP($A59,Master!$D$27:$G$225,4,FALSE)</f>
        <v>Repayment of Foreign Debt</v>
      </c>
      <c r="C59" s="457"/>
      <c r="D59" s="457"/>
      <c r="E59" s="457"/>
      <c r="F59" s="457"/>
      <c r="G59" s="188">
        <f>+SUMPRODUCT(('2019'!$G59:$R59)*('2019'!$G$5:$R$5&lt;=Master!$B$3)*($A59='2019'!$A$10:$A$66))</f>
        <v>309464143.96999997</v>
      </c>
      <c r="H59" s="188">
        <f>+SUMPRODUCT(('2019'!$G154:$R154)*('2019'!$G$5:$R$5&lt;=Master!$B$3))</f>
        <v>310217620.63999999</v>
      </c>
      <c r="I59" s="237">
        <f t="shared" si="0"/>
        <v>-753476.67000001669</v>
      </c>
      <c r="J59" s="238">
        <f t="shared" si="1"/>
        <v>-2.4288648350971886E-3</v>
      </c>
      <c r="K59" s="188">
        <f>+SUMPRODUCT(('2018'!$G59:$R59)*('2018'!$G$5:$R$5&lt;=Master!$B$3))</f>
        <v>443992090.57999998</v>
      </c>
      <c r="L59" s="237">
        <f t="shared" si="7"/>
        <v>-134527946.61000001</v>
      </c>
      <c r="M59" s="239">
        <f t="shared" si="2"/>
        <v>-0.30299626832149684</v>
      </c>
      <c r="N59" s="188">
        <f>+INDEX('2019'!$1:$1048576,MATCH('Analytics - 2019'!$A59,'2019'!$A:$A,0),MATCH('Analytics - 2019'!$N$6,'2019'!$6:$6,0))</f>
        <v>4520498.25</v>
      </c>
      <c r="O59" s="188">
        <f>+INDEX('2019'!$1:$1048576,MATCH(CONCATENATE('Analytics - 2019'!$A59,"p"),'2019'!$A:$A,0),MATCH('Analytics - 2019'!$O$6,'2019'!$101:$101,0))</f>
        <v>4579294.0199999996</v>
      </c>
      <c r="P59" s="237">
        <f t="shared" si="3"/>
        <v>-58795.769999999553</v>
      </c>
      <c r="Q59" s="238">
        <f t="shared" si="4"/>
        <v>-1.2839483497501969E-2</v>
      </c>
      <c r="R59" s="188">
        <f>+INDEX('2018'!$1:$1048576,MATCH('Analytics - 2019'!$A59,'2018'!$A:$A,0),MATCH('Analytics - 2019'!$R$6,'2018'!$6:$6,0))</f>
        <v>3771846.45</v>
      </c>
      <c r="S59" s="237">
        <f t="shared" si="5"/>
        <v>748651.79999999981</v>
      </c>
      <c r="T59" s="239">
        <f t="shared" si="6"/>
        <v>0.19848416681967529</v>
      </c>
    </row>
    <row r="60" spans="1:23" ht="15.75" thickBot="1">
      <c r="A60" s="169">
        <v>4418</v>
      </c>
      <c r="B60" s="484" t="str">
        <f>+VLOOKUP($A60,Master!$D$27:$G$225,4,FALSE)</f>
        <v>Capital Expenditure for Securities</v>
      </c>
      <c r="C60" s="485"/>
      <c r="D60" s="485"/>
      <c r="E60" s="485"/>
      <c r="F60" s="485"/>
      <c r="G60" s="425">
        <f>+SUMPRODUCT(('2019'!$G60:$R60)*('2019'!$G$5:$R$5&lt;=Master!$B$3)*($A60='2019'!$A$10:$A$66))</f>
        <v>39983668.460000001</v>
      </c>
      <c r="H60" s="425">
        <f>+SUMPRODUCT(('2019'!$G155:$R155)*('2019'!$G$5:$R$5&lt;=Master!$B$3))</f>
        <v>40166666.70000001</v>
      </c>
      <c r="I60" s="426">
        <f t="shared" ref="I60:I66" si="9">+G60-H60</f>
        <v>-182998.24000000954</v>
      </c>
      <c r="J60" s="427">
        <f>+IF(ISNUMBER(G60/H60-1),G60/H61-1,"…")</f>
        <v>-1.0703721996259781</v>
      </c>
      <c r="K60" s="425">
        <f>+SUMPRODUCT(('2018'!$G60:$R60)*('2018'!$G$5:$R$5&lt;=Master!$B$3))</f>
        <v>68939595.359999999</v>
      </c>
      <c r="L60" s="426">
        <f>+G60-K60</f>
        <v>-28955926.899999999</v>
      </c>
      <c r="M60" s="428">
        <f>+IF(ISNUMBER(G60/K60-1),G60/K61-1,"…")</f>
        <v>-1.050124191447581</v>
      </c>
      <c r="N60" s="425">
        <f>+INDEX('2019'!$1:$1048576,MATCH('Analytics - 2019'!$A60,'2019'!$A:$A,0),MATCH('Analytics - 2019'!$N$6,'2019'!$6:$6,0))</f>
        <v>0</v>
      </c>
      <c r="O60" s="425">
        <f>+INDEX('2019'!$1:$1048576,MATCH('Analytics - 2019'!$A60,'2019'!$A:$A,0),MATCH('Analytics - 2019'!$O$6,'2019'!$101:$101,0))</f>
        <v>0</v>
      </c>
      <c r="P60" s="426">
        <f t="shared" ref="P60:P66" si="10">+N60-O60</f>
        <v>0</v>
      </c>
      <c r="Q60" s="427" t="str">
        <f t="shared" ref="Q60:Q66" si="11">+IF(ISNUMBER(N60/O60-1),N60/O60-1,"…")</f>
        <v>…</v>
      </c>
      <c r="R60" s="425">
        <f>+INDEX('2018'!$1:$1048576,MATCH('Analytics - 2019'!$A60,'2018'!$A:$A,0),MATCH('Analytics - 2019'!$R$6,'2018'!$6:$6,0))</f>
        <v>0</v>
      </c>
      <c r="S60" s="426">
        <f t="shared" ref="S60:S66" si="12">+N60-R60</f>
        <v>0</v>
      </c>
      <c r="T60" s="428" t="str">
        <f t="shared" ref="T60:T66" si="13">+IF(ISNUMBER(N60/R60-1),N60/R60-1,"…")</f>
        <v>…</v>
      </c>
    </row>
    <row r="61" spans="1:23" ht="15.75" thickBot="1">
      <c r="A61" s="169">
        <v>1002</v>
      </c>
      <c r="B61" s="476" t="str">
        <f>+VLOOKUP($A61,Master!$D$27:$G$225,4,FALSE)</f>
        <v>Financing needs</v>
      </c>
      <c r="C61" s="477"/>
      <c r="D61" s="477"/>
      <c r="E61" s="477"/>
      <c r="F61" s="477"/>
      <c r="G61" s="396">
        <f>+SUMPRODUCT(('2019'!$G61:$R61)*('2019'!$G$5:$R$5&lt;=Master!$B$3)*($A61='2019'!$A$10:$A$66))</f>
        <v>-560318954.38</v>
      </c>
      <c r="H61" s="396">
        <f>+SUMPRODUCT(('2019'!$G156:$R156)*('2019'!$G$5:$R$5&lt;=Master!$B$3))</f>
        <v>-568174203.34321845</v>
      </c>
      <c r="I61" s="398">
        <f t="shared" si="9"/>
        <v>7855248.9632184505</v>
      </c>
      <c r="J61" s="399">
        <f t="shared" ref="J61:J66" si="14">+IF(ISNUMBER(G61/H61-1),G61/H61-1,"…")</f>
        <v>-1.3825423465192666E-2</v>
      </c>
      <c r="K61" s="396">
        <f>+SUMPRODUCT(('2018'!$G61:$R61)*('2018'!$G$5:$R$5&lt;=Master!$B$3))</f>
        <v>-797692038.61999965</v>
      </c>
      <c r="L61" s="398">
        <f>+G61-K62</f>
        <v>-1358010992.9999995</v>
      </c>
      <c r="M61" s="401">
        <f>+IF(ISNUMBER(G61/K62-1),G61/K62-1,"…")</f>
        <v>-1.7024251556394456</v>
      </c>
      <c r="N61" s="396">
        <f>+INDEX('2019'!$1:$1048576,MATCH('Analytics - 2019'!$A61,'2019'!$A:$A,0),MATCH('Analytics - 2019'!$N$6,'2019'!$6:$6,0))</f>
        <v>-8100265.5599999875</v>
      </c>
      <c r="O61" s="396">
        <f>+INDEX('2019'!$1:$1048576,MATCH(CONCATENATE('Analytics - 2019'!$A61,"p"),'2019'!$A:$A,0),MATCH('Analytics - 2019'!$O$6,'2019'!$101:$101,0))</f>
        <v>23716690.676703844</v>
      </c>
      <c r="P61" s="398">
        <f t="shared" si="10"/>
        <v>-31816956.236703832</v>
      </c>
      <c r="Q61" s="399">
        <f t="shared" si="11"/>
        <v>-1.341542826122728</v>
      </c>
      <c r="R61" s="396">
        <f>+INDEX('2018'!$1:$1048576,MATCH('Analytics - 2019'!$A61,'2018'!$A:$A,0),MATCH('Analytics - 2019'!$R$6,'2018'!$6:$6,0))</f>
        <v>-18396664.569999993</v>
      </c>
      <c r="S61" s="398">
        <f t="shared" si="12"/>
        <v>10296399.010000005</v>
      </c>
      <c r="T61" s="401">
        <f t="shared" si="13"/>
        <v>-0.55968835931219074</v>
      </c>
    </row>
    <row r="62" spans="1:23" ht="15.75" thickBot="1">
      <c r="A62" s="169">
        <v>1003</v>
      </c>
      <c r="B62" s="478" t="str">
        <f>+VLOOKUP($A62,Master!$D$27:$G$225,4,FALSE)</f>
        <v>Financing</v>
      </c>
      <c r="C62" s="479"/>
      <c r="D62" s="479"/>
      <c r="E62" s="479"/>
      <c r="F62" s="479"/>
      <c r="G62" s="176">
        <f>+SUMPRODUCT(('2019'!$G62:$R62)*('2019'!$G$5:$R$5&lt;=Master!$B$3)*($A62='2019'!$A$10:$A$66))</f>
        <v>560318954.38</v>
      </c>
      <c r="H62" s="176">
        <f>+SUMPRODUCT(('2019'!$G157:$R157)*('2019'!$G$5:$R$5&lt;=Master!$B$3))</f>
        <v>568174203.34321845</v>
      </c>
      <c r="I62" s="397">
        <f t="shared" si="9"/>
        <v>-7855248.9632184505</v>
      </c>
      <c r="J62" s="400">
        <f t="shared" si="14"/>
        <v>-1.3825423465192666E-2</v>
      </c>
      <c r="K62" s="176">
        <f>+SUMPRODUCT(('2018'!$G62:$R62)*('2018'!$G$5:$R$5&lt;=Master!$B$3))</f>
        <v>797692038.61999965</v>
      </c>
      <c r="L62" s="397">
        <f>+G62-K63</f>
        <v>346718954.38</v>
      </c>
      <c r="M62" s="402">
        <f>+IF(ISNUMBER(G62/K63-1),G62/K63-1,"…")</f>
        <v>1.6232160785580523</v>
      </c>
      <c r="N62" s="176">
        <f>+INDEX('2019'!$1:$1048576,MATCH('Analytics - 2019'!$A62,'2019'!$A:$A,0),MATCH('Analytics - 2019'!$N$6,'2019'!$6:$6,0))</f>
        <v>8100265.5599999875</v>
      </c>
      <c r="O62" s="176">
        <f>+INDEX('2019'!$1:$1048576,MATCH(CONCATENATE('Analytics - 2019'!$A62,"p"),'2019'!$A:$A,0),MATCH('Analytics - 2019'!$O$6,'2019'!$101:$101,0))</f>
        <v>-23716690.67670384</v>
      </c>
      <c r="P62" s="397">
        <f t="shared" si="10"/>
        <v>31816956.236703828</v>
      </c>
      <c r="Q62" s="400">
        <f t="shared" si="11"/>
        <v>-1.341542826122728</v>
      </c>
      <c r="R62" s="176">
        <f>+INDEX('2018'!$1:$1048576,MATCH('Analytics - 2019'!$A62,'2018'!$A:$A,0),MATCH('Analytics - 2019'!$R$6,'2018'!$6:$6,0))</f>
        <v>18396664.569999993</v>
      </c>
      <c r="S62" s="397">
        <f t="shared" si="12"/>
        <v>-10296399.010000005</v>
      </c>
      <c r="T62" s="402">
        <f t="shared" si="13"/>
        <v>-0.55968835931219074</v>
      </c>
    </row>
    <row r="63" spans="1:23">
      <c r="A63" s="169">
        <v>7511</v>
      </c>
      <c r="B63" s="472" t="str">
        <f>+VLOOKUP($A63,Master!$D$27:$G$225,4,FALSE)</f>
        <v>Domestic Loans and Borrowings</v>
      </c>
      <c r="C63" s="473"/>
      <c r="D63" s="473"/>
      <c r="E63" s="473"/>
      <c r="F63" s="473"/>
      <c r="G63" s="188">
        <f>+SUMPRODUCT(('2019'!$G63:$R63)*('2019'!$G$5:$R$5&lt;=Master!$B$3)*($A63='2019'!$A$10:$A$66))</f>
        <v>286438000</v>
      </c>
      <c r="H63" s="188">
        <f>+SUMPRODUCT(('2019'!$G158:$R158)*('2019'!$G$5:$R$5&lt;=Master!$B$3))</f>
        <v>190000000</v>
      </c>
      <c r="I63" s="237">
        <f t="shared" si="9"/>
        <v>96438000</v>
      </c>
      <c r="J63" s="238">
        <f t="shared" si="14"/>
        <v>0.50756842105263167</v>
      </c>
      <c r="K63" s="188">
        <f>+SUMPRODUCT(('2018'!$G63:$R63)*('2018'!$G$5:$R$5&lt;=Master!$B$3))</f>
        <v>213600000</v>
      </c>
      <c r="L63" s="237">
        <f>+G63-K64</f>
        <v>-560069031.29000008</v>
      </c>
      <c r="M63" s="239">
        <f>+IF(ISNUMBER(G63/K63-1),G63/K63-1,"…")</f>
        <v>0.34100187265917592</v>
      </c>
      <c r="N63" s="188">
        <f>+INDEX('2019'!$1:$1048576,MATCH('Analytics - 2019'!$A63,'2019'!$A:$A,0),MATCH('Analytics - 2019'!$N$6,'2019'!$6:$6,0))</f>
        <v>0</v>
      </c>
      <c r="O63" s="188">
        <f>+INDEX('2019'!$1:$1048576,MATCH(CONCATENATE('Analytics - 2019'!$A63,"p"),'2019'!$A:$A,0),MATCH('Analytics - 2019'!$O$6,'2019'!$101:$101,0))</f>
        <v>0</v>
      </c>
      <c r="P63" s="237">
        <f t="shared" si="10"/>
        <v>0</v>
      </c>
      <c r="Q63" s="238" t="str">
        <f t="shared" si="11"/>
        <v>…</v>
      </c>
      <c r="R63" s="188">
        <f>+INDEX('2018'!$1:$1048576,MATCH('Analytics - 2019'!$A63,'2018'!$A:$A,0),MATCH('Analytics - 2019'!$R$6,'2018'!$6:$6,0))</f>
        <v>0</v>
      </c>
      <c r="S63" s="237">
        <f t="shared" si="12"/>
        <v>0</v>
      </c>
      <c r="T63" s="239" t="str">
        <f t="shared" si="13"/>
        <v>…</v>
      </c>
    </row>
    <row r="64" spans="1:23">
      <c r="A64" s="169">
        <v>7512</v>
      </c>
      <c r="B64" s="456" t="str">
        <f>+VLOOKUP($A64,Master!$D$27:$G$225,4,FALSE)</f>
        <v>Foreign Loans and Borrowings</v>
      </c>
      <c r="C64" s="457"/>
      <c r="D64" s="457"/>
      <c r="E64" s="457"/>
      <c r="F64" s="457"/>
      <c r="G64" s="188">
        <f>+SUMPRODUCT(('2019'!$G64:$R64)*('2019'!$G$5:$R$5&lt;=Master!$B$3)*($A64='2019'!$A$10:$A$66))</f>
        <v>103789215.92</v>
      </c>
      <c r="H64" s="188">
        <f>+SUMPRODUCT(('2019'!$G159:$R159)*('2019'!$G$5:$R$5&lt;=Master!$B$3))</f>
        <v>151422181.24000001</v>
      </c>
      <c r="I64" s="237">
        <f t="shared" si="9"/>
        <v>-47632965.320000008</v>
      </c>
      <c r="J64" s="238">
        <f t="shared" si="14"/>
        <v>-0.3145705928281608</v>
      </c>
      <c r="K64" s="188">
        <f>+SUMPRODUCT(('2018'!$G64:$R64)*('2018'!$G$5:$R$5&lt;=Master!$B$3))</f>
        <v>846507031.29000008</v>
      </c>
      <c r="L64" s="237">
        <f>+G64-K65</f>
        <v>89353278.090000004</v>
      </c>
      <c r="M64" s="239" t="s">
        <v>773</v>
      </c>
      <c r="N64" s="188">
        <f>+INDEX('2019'!$1:$1048576,MATCH('Analytics - 2019'!$A64,'2019'!$A:$A,0),MATCH('Analytics - 2019'!$N$6,'2019'!$6:$6,0))</f>
        <v>0</v>
      </c>
      <c r="O64" s="188">
        <f>+INDEX('2019'!$1:$1048576,MATCH(CONCATENATE('Analytics - 2019'!$A64,"p"),'2019'!$A:$A,0),MATCH('Analytics - 2019'!$O$6,'2019'!$101:$101,0))</f>
        <v>17000000</v>
      </c>
      <c r="P64" s="237">
        <f t="shared" si="10"/>
        <v>-17000000</v>
      </c>
      <c r="Q64" s="238">
        <f t="shared" si="11"/>
        <v>-1</v>
      </c>
      <c r="R64" s="188">
        <f>+INDEX('2018'!$1:$1048576,MATCH('Analytics - 2019'!$A64,'2018'!$A:$A,0),MATCH('Analytics - 2019'!$R$6,'2018'!$6:$6,0))</f>
        <v>18813731.219999999</v>
      </c>
      <c r="S64" s="237">
        <f t="shared" si="12"/>
        <v>-18813731.219999999</v>
      </c>
      <c r="T64" s="239" t="s">
        <v>773</v>
      </c>
    </row>
    <row r="65" spans="1:20">
      <c r="A65" s="169">
        <v>72</v>
      </c>
      <c r="B65" s="456" t="str">
        <f>+VLOOKUP($A65,Master!$D$27:$G$225,4,FALSE)</f>
        <v>Revenues from Selling Assets</v>
      </c>
      <c r="C65" s="457"/>
      <c r="D65" s="457"/>
      <c r="E65" s="457"/>
      <c r="F65" s="457"/>
      <c r="G65" s="188">
        <f>+SUMPRODUCT(('2019'!$G65:$R65)*('2019'!$G$5:$R$5&lt;=Master!$B$3)*($A65='2019'!$A$10:$A$66))</f>
        <v>2941959.75</v>
      </c>
      <c r="H65" s="188">
        <f>+SUMPRODUCT(('2019'!$G160:$R160)*('2019'!$G$5:$R$5&lt;=Master!$B$3))</f>
        <v>5000000</v>
      </c>
      <c r="I65" s="237">
        <f t="shared" si="9"/>
        <v>-2058040.25</v>
      </c>
      <c r="J65" s="238">
        <f t="shared" si="14"/>
        <v>-0.41160805</v>
      </c>
      <c r="K65" s="188">
        <f>+SUMPRODUCT(('2018'!$G65:$R65)*('2018'!$G$5:$R$5&lt;=Master!$B$3))</f>
        <v>14435937.83</v>
      </c>
      <c r="L65" s="237">
        <f>+G65-K66</f>
        <v>279792890.25000006</v>
      </c>
      <c r="M65" s="239">
        <f>+IF(ISNUMBER(G65/K65-1),G65/K65-1,"…")</f>
        <v>-0.79620584511758041</v>
      </c>
      <c r="N65" s="188">
        <f>+INDEX('2019'!$1:$1048576,MATCH('Analytics - 2019'!$A65,'2019'!$A:$A,0),MATCH('Analytics - 2019'!$N$6,'2019'!$6:$6,0))</f>
        <v>679599.59</v>
      </c>
      <c r="O65" s="188">
        <f>+INDEX('2019'!$1:$1048576,MATCH(CONCATENATE('Analytics - 2019'!$A65,"p"),'2019'!$A:$A,0),MATCH('Analytics - 2019'!$O$6,'2019'!$101:$101,0))</f>
        <v>500000</v>
      </c>
      <c r="P65" s="237">
        <f t="shared" si="10"/>
        <v>179599.58999999997</v>
      </c>
      <c r="Q65" s="238">
        <f t="shared" si="11"/>
        <v>0.35919917999999984</v>
      </c>
      <c r="R65" s="188">
        <f>+INDEX('2018'!$1:$1048576,MATCH('Analytics - 2019'!$A65,'2018'!$A:$A,0),MATCH('Analytics - 2019'!$R$6,'2018'!$6:$6,0))</f>
        <v>158760.32999999999</v>
      </c>
      <c r="S65" s="237">
        <f t="shared" si="12"/>
        <v>520839.26</v>
      </c>
      <c r="T65" s="239">
        <f t="shared" si="13"/>
        <v>3.2806637527145481</v>
      </c>
    </row>
    <row r="66" spans="1:20" ht="15.75" thickBot="1">
      <c r="A66" s="169">
        <v>1004</v>
      </c>
      <c r="B66" s="248" t="str">
        <f>+VLOOKUP($A66,Master!$D$27:$G$225,4,FALSE)</f>
        <v>Increase / decrease of deposits</v>
      </c>
      <c r="C66" s="249"/>
      <c r="D66" s="249"/>
      <c r="E66" s="249"/>
      <c r="F66" s="249"/>
      <c r="G66" s="394">
        <f>+SUMPRODUCT(('2019'!$G66:$R66)*('2019'!$G$5:$R$5&lt;=Master!$B$3)*($A66='2019'!$A$10:$A$66))</f>
        <v>167149778.71000007</v>
      </c>
      <c r="H66" s="394">
        <f>+SUMPRODUCT(('2019'!$G161:$R161)*('2019'!$G$5:$R$5&lt;=Master!$B$3))</f>
        <v>221752022.10321835</v>
      </c>
      <c r="I66" s="251">
        <f t="shared" si="9"/>
        <v>-54602243.393218279</v>
      </c>
      <c r="J66" s="252">
        <f t="shared" si="14"/>
        <v>-0.24623109577689761</v>
      </c>
      <c r="K66" s="394">
        <f>+SUMPRODUCT(('2018'!$G66:$R66)*('2018'!$G$5:$R$5&lt;=Master!$B$3))</f>
        <v>-276850930.50000006</v>
      </c>
      <c r="L66" s="251">
        <f>+G66-K66</f>
        <v>444000709.21000016</v>
      </c>
      <c r="M66" s="253" t="s">
        <v>773</v>
      </c>
      <c r="N66" s="394">
        <f>+INDEX('2019'!$1:$1048576,MATCH('Analytics - 2019'!$A66,'2019'!$A:$A,0),MATCH('Analytics - 2019'!$N$6,'2019'!$6:$6,0))</f>
        <v>7420665.9699999876</v>
      </c>
      <c r="O66" s="394">
        <f>+INDEX('2019'!$1:$1048576,MATCH(CONCATENATE('Analytics - 2019'!$A66,"p"),'2019'!$A:$A,0),MATCH('Analytics - 2019'!$O$6,'2019'!$101:$101,0))</f>
        <v>-41216690.67670384</v>
      </c>
      <c r="P66" s="251">
        <f t="shared" si="10"/>
        <v>48637356.646703824</v>
      </c>
      <c r="Q66" s="252">
        <f t="shared" si="11"/>
        <v>-1.1800403149347027</v>
      </c>
      <c r="R66" s="394">
        <f>+INDEX('2018'!$1:$1048576,MATCH('Analytics - 2019'!$A66,'2018'!$A:$A,0),MATCH('Analytics - 2019'!$R$6,'2018'!$6:$6,0))</f>
        <v>-575826.98000000417</v>
      </c>
      <c r="S66" s="251">
        <f t="shared" si="12"/>
        <v>7996492.9499999918</v>
      </c>
      <c r="T66" s="253">
        <f t="shared" si="13"/>
        <v>-13.886971655965015</v>
      </c>
    </row>
    <row r="68" spans="1:20">
      <c r="H68" s="391"/>
    </row>
    <row r="69" spans="1:20">
      <c r="H69" s="364"/>
    </row>
    <row r="71" spans="1:20">
      <c r="R71" s="443"/>
    </row>
  </sheetData>
  <mergeCells count="63">
    <mergeCell ref="B64:F64"/>
    <mergeCell ref="B65:F65"/>
    <mergeCell ref="B57:F57"/>
    <mergeCell ref="B58:F58"/>
    <mergeCell ref="B59:F59"/>
    <mergeCell ref="B61:F61"/>
    <mergeCell ref="B62:F62"/>
    <mergeCell ref="B63:F63"/>
    <mergeCell ref="B60:F60"/>
    <mergeCell ref="B56:F56"/>
    <mergeCell ref="B45:F45"/>
    <mergeCell ref="B46:F46"/>
    <mergeCell ref="B47:F47"/>
    <mergeCell ref="B48:F48"/>
    <mergeCell ref="B49:F49"/>
    <mergeCell ref="B50:F50"/>
    <mergeCell ref="B51:F51"/>
    <mergeCell ref="B52:F52"/>
    <mergeCell ref="B53:F53"/>
    <mergeCell ref="B54:F54"/>
    <mergeCell ref="B55:F55"/>
    <mergeCell ref="B44:F44"/>
    <mergeCell ref="B33:F33"/>
    <mergeCell ref="B34:F34"/>
    <mergeCell ref="B35:F35"/>
    <mergeCell ref="B36:F36"/>
    <mergeCell ref="B37:F37"/>
    <mergeCell ref="B38:F38"/>
    <mergeCell ref="B39:F39"/>
    <mergeCell ref="B40:F40"/>
    <mergeCell ref="B41:F41"/>
    <mergeCell ref="B42:F42"/>
    <mergeCell ref="B43:F43"/>
    <mergeCell ref="B32:F32"/>
    <mergeCell ref="B21:F21"/>
    <mergeCell ref="B22:F22"/>
    <mergeCell ref="B23:F23"/>
    <mergeCell ref="B24:F24"/>
    <mergeCell ref="B25:F25"/>
    <mergeCell ref="B26:F26"/>
    <mergeCell ref="B27:F27"/>
    <mergeCell ref="B28:F28"/>
    <mergeCell ref="B29:F29"/>
    <mergeCell ref="B30:F30"/>
    <mergeCell ref="B31:F31"/>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S8" sqref="S8:T8"/>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778</v>
      </c>
      <c r="H6" s="259" t="s">
        <v>779</v>
      </c>
      <c r="I6" s="259" t="s">
        <v>780</v>
      </c>
      <c r="J6" s="259" t="s">
        <v>781</v>
      </c>
      <c r="K6" s="259" t="s">
        <v>782</v>
      </c>
      <c r="L6" s="259" t="s">
        <v>783</v>
      </c>
      <c r="M6" s="259" t="s">
        <v>784</v>
      </c>
      <c r="N6" s="259" t="s">
        <v>785</v>
      </c>
      <c r="O6" s="259" t="s">
        <v>786</v>
      </c>
      <c r="P6" s="259" t="s">
        <v>787</v>
      </c>
      <c r="Q6" s="259" t="s">
        <v>788</v>
      </c>
      <c r="R6" s="259" t="s">
        <v>789</v>
      </c>
      <c r="S6" s="258"/>
      <c r="T6" s="258"/>
    </row>
    <row r="7" spans="1:20" ht="15" customHeight="1" thickBot="1">
      <c r="A7" s="169"/>
      <c r="B7" s="561" t="str">
        <f>+Master!G251</f>
        <v>Budget Execution</v>
      </c>
      <c r="C7" s="459"/>
      <c r="D7" s="459"/>
      <c r="E7" s="459"/>
      <c r="F7" s="459"/>
      <c r="G7" s="467">
        <v>2019</v>
      </c>
      <c r="H7" s="468"/>
      <c r="I7" s="468"/>
      <c r="J7" s="468"/>
      <c r="K7" s="468"/>
      <c r="L7" s="468"/>
      <c r="M7" s="468"/>
      <c r="N7" s="468"/>
      <c r="O7" s="468"/>
      <c r="P7" s="468"/>
      <c r="Q7" s="468"/>
      <c r="R7" s="471"/>
      <c r="S7" s="260" t="str">
        <f>+Master!G248</f>
        <v>GDP</v>
      </c>
      <c r="T7" s="261">
        <v>4817100000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tr">
        <f>+Master!G245</f>
        <v>Jan - Oct</v>
      </c>
      <c r="T8" s="471"/>
    </row>
    <row r="9" spans="1:20" ht="13.5" thickBot="1">
      <c r="A9" s="169"/>
      <c r="B9" s="463"/>
      <c r="C9" s="464"/>
      <c r="D9" s="464"/>
      <c r="E9" s="464"/>
      <c r="F9" s="465"/>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0" t="str">
        <f>+VLOOKUP($A10,Master!$D$27:$G$225,4,FALSE)</f>
        <v>Total Revenues</v>
      </c>
      <c r="C10" s="501"/>
      <c r="D10" s="501"/>
      <c r="E10" s="501"/>
      <c r="F10" s="501"/>
      <c r="G10" s="176">
        <f t="shared" ref="G10:R10" si="1">+G11+G19+SUM(G24:G28)</f>
        <v>107257794.96000001</v>
      </c>
      <c r="H10" s="176">
        <f t="shared" si="1"/>
        <v>116544625.95</v>
      </c>
      <c r="I10" s="176">
        <f t="shared" si="1"/>
        <v>147544399.37</v>
      </c>
      <c r="J10" s="176">
        <f t="shared" si="1"/>
        <v>165045275.70000002</v>
      </c>
      <c r="K10" s="176">
        <f t="shared" si="1"/>
        <v>144226472.26999998</v>
      </c>
      <c r="L10" s="176">
        <f t="shared" si="1"/>
        <v>143393460.84999999</v>
      </c>
      <c r="M10" s="176">
        <f t="shared" si="1"/>
        <v>174124444.44</v>
      </c>
      <c r="N10" s="176">
        <f t="shared" si="1"/>
        <v>174081434.25</v>
      </c>
      <c r="O10" s="176">
        <f t="shared" si="1"/>
        <v>165941980.95000002</v>
      </c>
      <c r="P10" s="176">
        <f t="shared" si="1"/>
        <v>156576999.77000001</v>
      </c>
      <c r="Q10" s="176">
        <f t="shared" si="1"/>
        <v>0</v>
      </c>
      <c r="R10" s="176">
        <f t="shared" si="1"/>
        <v>0</v>
      </c>
      <c r="S10" s="264">
        <f>+SUM(G10:R10)</f>
        <v>1494736888.51</v>
      </c>
      <c r="T10" s="265">
        <f>+S10/$T$7</f>
        <v>0.31029808152415356</v>
      </c>
    </row>
    <row r="11" spans="1:20">
      <c r="A11" s="175">
        <v>711</v>
      </c>
      <c r="B11" s="502" t="str">
        <f>+VLOOKUP($A11,Master!$D$27:$G$225,4,FALSE)</f>
        <v>Taxes</v>
      </c>
      <c r="C11" s="503"/>
      <c r="D11" s="503"/>
      <c r="E11" s="503"/>
      <c r="F11" s="503"/>
      <c r="G11" s="182">
        <f t="shared" ref="G11:R11" si="2">+SUM(G12:G18)</f>
        <v>72429730.420000002</v>
      </c>
      <c r="H11" s="182">
        <f t="shared" si="2"/>
        <v>68470908.439999998</v>
      </c>
      <c r="I11" s="182">
        <f t="shared" si="2"/>
        <v>98709545.510000005</v>
      </c>
      <c r="J11" s="182">
        <f t="shared" si="2"/>
        <v>106791818.52</v>
      </c>
      <c r="K11" s="182">
        <f t="shared" si="2"/>
        <v>94372185.030000001</v>
      </c>
      <c r="L11" s="182">
        <f t="shared" si="2"/>
        <v>89389439.689999998</v>
      </c>
      <c r="M11" s="182">
        <f t="shared" si="2"/>
        <v>115363471.45</v>
      </c>
      <c r="N11" s="182">
        <f t="shared" si="2"/>
        <v>118817091.44</v>
      </c>
      <c r="O11" s="182">
        <f t="shared" si="2"/>
        <v>114500270.97</v>
      </c>
      <c r="P11" s="182">
        <f t="shared" si="2"/>
        <v>101600991.11</v>
      </c>
      <c r="Q11" s="182">
        <f t="shared" si="2"/>
        <v>0</v>
      </c>
      <c r="R11" s="266">
        <f t="shared" si="2"/>
        <v>0</v>
      </c>
      <c r="S11" s="267">
        <f t="shared" ref="S11:S65" si="3">+SUM(G11:R11)</f>
        <v>980445452.58000004</v>
      </c>
      <c r="T11" s="268">
        <f t="shared" ref="T11:T66" si="4">+S11/$T$7</f>
        <v>0.20353437806564117</v>
      </c>
    </row>
    <row r="12" spans="1:20">
      <c r="A12" s="175">
        <v>7111</v>
      </c>
      <c r="B12" s="488" t="str">
        <f>+VLOOKUP($A12,Master!$D$27:$G$225,4,FALSE)</f>
        <v>Personal Income Tax</v>
      </c>
      <c r="C12" s="489"/>
      <c r="D12" s="489"/>
      <c r="E12" s="489"/>
      <c r="F12" s="489"/>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10767101.800000001</v>
      </c>
      <c r="K12" s="188">
        <f>+INDEX(DataEx!$1:$1048576,MATCH('2019'!$A12,DataEx!$D:$D,0),MATCH('2019'!K$6,DataEx!$7:$7,0))</f>
        <v>10210712.41</v>
      </c>
      <c r="L12" s="188">
        <f>+INDEX(DataEx!$1:$1048576,MATCH('2019'!$A12,DataEx!$D:$D,0),MATCH('2019'!L$6,DataEx!$7:$7,0))</f>
        <v>10125793.029999999</v>
      </c>
      <c r="M12" s="188">
        <f>+INDEX(DataEx!$1:$1048576,MATCH('2019'!$A12,DataEx!$D:$D,0),MATCH('2019'!M$6,DataEx!$7:$7,0))</f>
        <v>10986746.67</v>
      </c>
      <c r="N12" s="188">
        <f>+INDEX(DataEx!$1:$1048576,MATCH('2019'!$A12,DataEx!$D:$D,0),MATCH('2019'!N$6,DataEx!$7:$7,0))</f>
        <v>10477204.85</v>
      </c>
      <c r="O12" s="188">
        <f>+INDEX(DataEx!$1:$1048576,MATCH('2019'!$A12,DataEx!$D:$D,0),MATCH('2019'!O$6,DataEx!$7:$7,0))</f>
        <v>10332018.109999999</v>
      </c>
      <c r="P12" s="188">
        <f>+INDEX(DataEx!$1:$1048576,MATCH('2019'!$A12,DataEx!$D:$D,0),MATCH('2019'!P$6,DataEx!$7:$7,0))</f>
        <v>10824900.91</v>
      </c>
      <c r="Q12" s="188">
        <f>+INDEX(DataEx!$1:$1048576,MATCH('2019'!$A12,DataEx!$D:$D,0),MATCH('2019'!Q$6,DataEx!$7:$7,0))</f>
        <v>0</v>
      </c>
      <c r="R12" s="188">
        <f>+INDEX(DataEx!$1:$1048576,MATCH('2019'!$A12,DataEx!$D:$D,0),MATCH('2019'!R$6,DataEx!$7:$7,0))</f>
        <v>0</v>
      </c>
      <c r="S12" s="269">
        <f t="shared" si="3"/>
        <v>96372014.319999993</v>
      </c>
      <c r="T12" s="270">
        <f t="shared" si="4"/>
        <v>2.0006230786157646E-2</v>
      </c>
    </row>
    <row r="13" spans="1:20">
      <c r="A13" s="175">
        <v>7112</v>
      </c>
      <c r="B13" s="488" t="str">
        <f>+VLOOKUP($A13,Master!$D$27:$G$225,4,FALSE)</f>
        <v>Corporate Income Tax</v>
      </c>
      <c r="C13" s="489"/>
      <c r="D13" s="489"/>
      <c r="E13" s="489"/>
      <c r="F13" s="489"/>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20408432.98</v>
      </c>
      <c r="K13" s="188">
        <f>+INDEX(DataEx!$1:$1048576,MATCH('2019'!$A13,DataEx!$D:$D,0),MATCH('2019'!K$6,DataEx!$7:$7,0))</f>
        <v>4781744.7</v>
      </c>
      <c r="L13" s="188">
        <f>+INDEX(DataEx!$1:$1048576,MATCH('2019'!$A13,DataEx!$D:$D,0),MATCH('2019'!L$6,DataEx!$7:$7,0))</f>
        <v>3678815</v>
      </c>
      <c r="M13" s="188">
        <f>+INDEX(DataEx!$1:$1048576,MATCH('2019'!$A13,DataEx!$D:$D,0),MATCH('2019'!M$6,DataEx!$7:$7,0))</f>
        <v>3890710.55</v>
      </c>
      <c r="N13" s="188">
        <f>+INDEX(DataEx!$1:$1048576,MATCH('2019'!$A13,DataEx!$D:$D,0),MATCH('2019'!N$6,DataEx!$7:$7,0))</f>
        <v>3092994.24</v>
      </c>
      <c r="O13" s="188">
        <f>+INDEX(DataEx!$1:$1048576,MATCH('2019'!$A13,DataEx!$D:$D,0),MATCH('2019'!O$6,DataEx!$7:$7,0))</f>
        <v>2242778.35</v>
      </c>
      <c r="P13" s="188">
        <f>+INDEX(DataEx!$1:$1048576,MATCH('2019'!$A13,DataEx!$D:$D,0),MATCH('2019'!P$6,DataEx!$7:$7,0))</f>
        <v>690017.25</v>
      </c>
      <c r="Q13" s="188">
        <f>+INDEX(DataEx!$1:$1048576,MATCH('2019'!$A13,DataEx!$D:$D,0),MATCH('2019'!Q$6,DataEx!$7:$7,0))</f>
        <v>0</v>
      </c>
      <c r="R13" s="188">
        <f>+INDEX(DataEx!$1:$1048576,MATCH('2019'!$A13,DataEx!$D:$D,0),MATCH('2019'!R$6,DataEx!$7:$7,0))</f>
        <v>0</v>
      </c>
      <c r="S13" s="269">
        <f t="shared" si="3"/>
        <v>64150550.75</v>
      </c>
      <c r="T13" s="270">
        <f t="shared" si="4"/>
        <v>1.3317255350729692E-2</v>
      </c>
    </row>
    <row r="14" spans="1:20">
      <c r="A14" s="175">
        <v>7113</v>
      </c>
      <c r="B14" s="488" t="str">
        <f>+VLOOKUP($A14,Master!$D$27:$G$225,4,FALSE)</f>
        <v xml:space="preserve">Taxes on Sales of Property </v>
      </c>
      <c r="C14" s="489"/>
      <c r="D14" s="489"/>
      <c r="E14" s="489"/>
      <c r="F14" s="489"/>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204359.36</v>
      </c>
      <c r="K14" s="188">
        <f>+INDEX(DataEx!$1:$1048576,MATCH('2019'!$A14,DataEx!$D:$D,0),MATCH('2019'!K$6,DataEx!$7:$7,0))</f>
        <v>147510.5</v>
      </c>
      <c r="L14" s="188">
        <f>+INDEX(DataEx!$1:$1048576,MATCH('2019'!$A14,DataEx!$D:$D,0),MATCH('2019'!L$6,DataEx!$7:$7,0))</f>
        <v>158253.64000000001</v>
      </c>
      <c r="M14" s="188">
        <f>+INDEX(DataEx!$1:$1048576,MATCH('2019'!$A14,DataEx!$D:$D,0),MATCH('2019'!M$6,DataEx!$7:$7,0))</f>
        <v>152687.82</v>
      </c>
      <c r="N14" s="188">
        <f>+INDEX(DataEx!$1:$1048576,MATCH('2019'!$A14,DataEx!$D:$D,0),MATCH('2019'!N$6,DataEx!$7:$7,0))</f>
        <v>172408.19</v>
      </c>
      <c r="O14" s="188">
        <f>+INDEX(DataEx!$1:$1048576,MATCH('2019'!$A14,DataEx!$D:$D,0),MATCH('2019'!O$6,DataEx!$7:$7,0))</f>
        <v>131658.57</v>
      </c>
      <c r="P14" s="188">
        <f>+INDEX(DataEx!$1:$1048576,MATCH('2019'!$A14,DataEx!$D:$D,0),MATCH('2019'!P$6,DataEx!$7:$7,0))</f>
        <v>174049.01</v>
      </c>
      <c r="Q14" s="188">
        <f>+INDEX(DataEx!$1:$1048576,MATCH('2019'!$A14,DataEx!$D:$D,0),MATCH('2019'!Q$6,DataEx!$7:$7,0))</f>
        <v>0</v>
      </c>
      <c r="R14" s="188">
        <f>+INDEX(DataEx!$1:$1048576,MATCH('2019'!$A14,DataEx!$D:$D,0),MATCH('2019'!R$6,DataEx!$7:$7,0))</f>
        <v>0</v>
      </c>
      <c r="S14" s="269">
        <f t="shared" si="3"/>
        <v>1575091.19</v>
      </c>
      <c r="T14" s="270">
        <f t="shared" si="4"/>
        <v>3.2697913474912291E-4</v>
      </c>
    </row>
    <row r="15" spans="1:20">
      <c r="A15" s="175">
        <v>7114</v>
      </c>
      <c r="B15" s="488" t="str">
        <f>+VLOOKUP($A15,Master!$D$27:$G$225,4,FALSE)</f>
        <v>Value Added Tax</v>
      </c>
      <c r="C15" s="489"/>
      <c r="D15" s="489"/>
      <c r="E15" s="489"/>
      <c r="F15" s="489"/>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55142838.460000001</v>
      </c>
      <c r="K15" s="188">
        <f>+INDEX(DataEx!$1:$1048576,MATCH('2019'!$A15,DataEx!$D:$D,0),MATCH('2019'!K$6,DataEx!$7:$7,0))</f>
        <v>56428341.859999999</v>
      </c>
      <c r="L15" s="188">
        <f>+INDEX(DataEx!$1:$1048576,MATCH('2019'!$A15,DataEx!$D:$D,0),MATCH('2019'!L$6,DataEx!$7:$7,0))</f>
        <v>52810087.229999997</v>
      </c>
      <c r="M15" s="188">
        <f>+INDEX(DataEx!$1:$1048576,MATCH('2019'!$A15,DataEx!$D:$D,0),MATCH('2019'!M$6,DataEx!$7:$7,0))</f>
        <v>71626480.939999998</v>
      </c>
      <c r="N15" s="188">
        <f>+INDEX(DataEx!$1:$1048576,MATCH('2019'!$A15,DataEx!$D:$D,0),MATCH('2019'!N$6,DataEx!$7:$7,0))</f>
        <v>71690318.180000007</v>
      </c>
      <c r="O15" s="188">
        <f>+INDEX(DataEx!$1:$1048576,MATCH('2019'!$A15,DataEx!$D:$D,0),MATCH('2019'!O$6,DataEx!$7:$7,0))</f>
        <v>70816309.909999996</v>
      </c>
      <c r="P15" s="188">
        <f>+INDEX(DataEx!$1:$1048576,MATCH('2019'!$A15,DataEx!$D:$D,0),MATCH('2019'!P$6,DataEx!$7:$7,0))</f>
        <v>65908952.759999998</v>
      </c>
      <c r="Q15" s="188">
        <f>+INDEX(DataEx!$1:$1048576,MATCH('2019'!$A15,DataEx!$D:$D,0),MATCH('2019'!Q$6,DataEx!$7:$7,0))</f>
        <v>0</v>
      </c>
      <c r="R15" s="188">
        <f>+INDEX(DataEx!$1:$1048576,MATCH('2019'!$A15,DataEx!$D:$D,0),MATCH('2019'!R$6,DataEx!$7:$7,0))</f>
        <v>0</v>
      </c>
      <c r="S15" s="269">
        <f t="shared" si="3"/>
        <v>583727136.10000002</v>
      </c>
      <c r="T15" s="270">
        <f t="shared" si="4"/>
        <v>0.12117812295779619</v>
      </c>
    </row>
    <row r="16" spans="1:20">
      <c r="A16" s="175">
        <v>7115</v>
      </c>
      <c r="B16" s="488" t="str">
        <f>+VLOOKUP($A16,Master!$D$27:$G$225,4,FALSE)</f>
        <v>Excises</v>
      </c>
      <c r="C16" s="489"/>
      <c r="D16" s="489"/>
      <c r="E16" s="489"/>
      <c r="F16" s="489"/>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16826313.73</v>
      </c>
      <c r="K16" s="188">
        <f>+INDEX(DataEx!$1:$1048576,MATCH('2019'!$A16,DataEx!$D:$D,0),MATCH('2019'!K$6,DataEx!$7:$7,0))</f>
        <v>19442485.359999999</v>
      </c>
      <c r="L16" s="188">
        <f>+INDEX(DataEx!$1:$1048576,MATCH('2019'!$A16,DataEx!$D:$D,0),MATCH('2019'!L$6,DataEx!$7:$7,0))</f>
        <v>19205497.870000001</v>
      </c>
      <c r="M16" s="188">
        <f>+INDEX(DataEx!$1:$1048576,MATCH('2019'!$A16,DataEx!$D:$D,0),MATCH('2019'!M$6,DataEx!$7:$7,0))</f>
        <v>24612824.059999999</v>
      </c>
      <c r="N16" s="188">
        <f>+INDEX(DataEx!$1:$1048576,MATCH('2019'!$A16,DataEx!$D:$D,0),MATCH('2019'!N$6,DataEx!$7:$7,0))</f>
        <v>29562766.32</v>
      </c>
      <c r="O16" s="188">
        <f>+INDEX(DataEx!$1:$1048576,MATCH('2019'!$A16,DataEx!$D:$D,0),MATCH('2019'!O$6,DataEx!$7:$7,0))</f>
        <v>27417042.280000001</v>
      </c>
      <c r="P16" s="188">
        <f>+INDEX(DataEx!$1:$1048576,MATCH('2019'!$A16,DataEx!$D:$D,0),MATCH('2019'!P$6,DataEx!$7:$7,0))</f>
        <v>20585777.449999999</v>
      </c>
      <c r="Q16" s="188">
        <f>+INDEX(DataEx!$1:$1048576,MATCH('2019'!$A16,DataEx!$D:$D,0),MATCH('2019'!Q$6,DataEx!$7:$7,0))</f>
        <v>0</v>
      </c>
      <c r="R16" s="188">
        <f>+INDEX(DataEx!$1:$1048576,MATCH('2019'!$A16,DataEx!$D:$D,0),MATCH('2019'!R$6,DataEx!$7:$7,0))</f>
        <v>0</v>
      </c>
      <c r="S16" s="269">
        <f t="shared" si="3"/>
        <v>199295138.15000001</v>
      </c>
      <c r="T16" s="270">
        <f t="shared" si="4"/>
        <v>4.1372431161902389E-2</v>
      </c>
    </row>
    <row r="17" spans="1:25">
      <c r="A17" s="175">
        <v>7116</v>
      </c>
      <c r="B17" s="488" t="str">
        <f>+VLOOKUP($A17,Master!$D$27:$G$225,4,FALSE)</f>
        <v>Tax on International Trade and Transactions</v>
      </c>
      <c r="C17" s="489"/>
      <c r="D17" s="489"/>
      <c r="E17" s="489"/>
      <c r="F17" s="489"/>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2531899.16</v>
      </c>
      <c r="K17" s="188">
        <f>+INDEX(DataEx!$1:$1048576,MATCH('2019'!$A17,DataEx!$D:$D,0),MATCH('2019'!K$6,DataEx!$7:$7,0))</f>
        <v>2502520.2799999998</v>
      </c>
      <c r="L17" s="188">
        <f>+INDEX(DataEx!$1:$1048576,MATCH('2019'!$A17,DataEx!$D:$D,0),MATCH('2019'!L$6,DataEx!$7:$7,0))</f>
        <v>2485583.9700000002</v>
      </c>
      <c r="M17" s="188">
        <f>+INDEX(DataEx!$1:$1048576,MATCH('2019'!$A17,DataEx!$D:$D,0),MATCH('2019'!M$6,DataEx!$7:$7,0))</f>
        <v>3088089.4</v>
      </c>
      <c r="N17" s="188">
        <f>+INDEX(DataEx!$1:$1048576,MATCH('2019'!$A17,DataEx!$D:$D,0),MATCH('2019'!N$6,DataEx!$7:$7,0))</f>
        <v>2788700.72</v>
      </c>
      <c r="O17" s="188">
        <f>+INDEX(DataEx!$1:$1048576,MATCH('2019'!$A17,DataEx!$D:$D,0),MATCH('2019'!O$6,DataEx!$7:$7,0))</f>
        <v>2553125.85</v>
      </c>
      <c r="P17" s="188">
        <f>+INDEX(DataEx!$1:$1048576,MATCH('2019'!$A17,DataEx!$D:$D,0),MATCH('2019'!P$6,DataEx!$7:$7,0))</f>
        <v>2492699.6800000002</v>
      </c>
      <c r="Q17" s="188">
        <f>+INDEX(DataEx!$1:$1048576,MATCH('2019'!$A17,DataEx!$D:$D,0),MATCH('2019'!Q$6,DataEx!$7:$7,0))</f>
        <v>0</v>
      </c>
      <c r="R17" s="188">
        <f>+INDEX(DataEx!$1:$1048576,MATCH('2019'!$A17,DataEx!$D:$D,0),MATCH('2019'!R$6,DataEx!$7:$7,0))</f>
        <v>0</v>
      </c>
      <c r="S17" s="269">
        <f t="shared" si="3"/>
        <v>24063585.800000001</v>
      </c>
      <c r="T17" s="270">
        <f t="shared" si="4"/>
        <v>4.9954507483755788E-3</v>
      </c>
    </row>
    <row r="18" spans="1:25">
      <c r="A18" s="175">
        <v>7118</v>
      </c>
      <c r="B18" s="488" t="str">
        <f>+VLOOKUP($A18,Master!$D$27:$G$225,4,FALSE)</f>
        <v>Other Republic Taxes</v>
      </c>
      <c r="C18" s="489"/>
      <c r="D18" s="489"/>
      <c r="E18" s="489"/>
      <c r="F18" s="489"/>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910873.03</v>
      </c>
      <c r="K18" s="188">
        <f>+INDEX(DataEx!$1:$1048576,MATCH('2019'!$A18,DataEx!$D:$D,0),MATCH('2019'!K$6,DataEx!$7:$7,0))</f>
        <v>858869.92</v>
      </c>
      <c r="L18" s="188">
        <f>+INDEX(DataEx!$1:$1048576,MATCH('2019'!$A18,DataEx!$D:$D,0),MATCH('2019'!L$6,DataEx!$7:$7,0))</f>
        <v>925408.95</v>
      </c>
      <c r="M18" s="188">
        <f>+INDEX(DataEx!$1:$1048576,MATCH('2019'!$A18,DataEx!$D:$D,0),MATCH('2019'!M$6,DataEx!$7:$7,0))</f>
        <v>1005932.01</v>
      </c>
      <c r="N18" s="188">
        <f>+INDEX(DataEx!$1:$1048576,MATCH('2019'!$A18,DataEx!$D:$D,0),MATCH('2019'!N$6,DataEx!$7:$7,0))</f>
        <v>1032698.94</v>
      </c>
      <c r="O18" s="188">
        <f>+INDEX(DataEx!$1:$1048576,MATCH('2019'!$A18,DataEx!$D:$D,0),MATCH('2019'!O$6,DataEx!$7:$7,0))</f>
        <v>1007337.9</v>
      </c>
      <c r="P18" s="188">
        <f>+INDEX(DataEx!$1:$1048576,MATCH('2019'!$A18,DataEx!$D:$D,0),MATCH('2019'!P$6,DataEx!$7:$7,0))</f>
        <v>924594.05</v>
      </c>
      <c r="Q18" s="188">
        <f>+INDEX(DataEx!$1:$1048576,MATCH('2019'!$A18,DataEx!$D:$D,0),MATCH('2019'!Q$6,DataEx!$7:$7,0))</f>
        <v>0</v>
      </c>
      <c r="R18" s="188">
        <f>+INDEX(DataEx!$1:$1048576,MATCH('2019'!$A18,DataEx!$D:$D,0),MATCH('2019'!R$6,DataEx!$7:$7,0))</f>
        <v>0</v>
      </c>
      <c r="S18" s="269">
        <f t="shared" si="3"/>
        <v>11261936.270000001</v>
      </c>
      <c r="T18" s="270">
        <f t="shared" si="4"/>
        <v>2.3379079259305395E-3</v>
      </c>
    </row>
    <row r="19" spans="1:25">
      <c r="A19" s="175">
        <v>712</v>
      </c>
      <c r="B19" s="498" t="str">
        <f>+VLOOKUP($A19,Master!$D$27:$G$225,4,FALSE)</f>
        <v>Contributions</v>
      </c>
      <c r="C19" s="499"/>
      <c r="D19" s="499"/>
      <c r="E19" s="499"/>
      <c r="F19" s="499"/>
      <c r="G19" s="194">
        <f>+INDEX(DataEx!$1:$1048576,MATCH('2019'!$A19,DataEx!$D:$D,0),MATCH('2019'!G$6,DataEx!$7:$7,0))</f>
        <v>16498881.48</v>
      </c>
      <c r="H19" s="194">
        <f>+INDEX(DataEx!$1:$1048576,MATCH('2019'!$A19,DataEx!$D:$D,0),MATCH('2019'!H$6,DataEx!$7:$7,0))</f>
        <v>41912269.38000001</v>
      </c>
      <c r="I19" s="194">
        <f>+INDEX(DataEx!$1:$1048576,MATCH('2019'!$A19,DataEx!$D:$D,0),MATCH('2019'!I$6,DataEx!$7:$7,0))</f>
        <v>41047599.18</v>
      </c>
      <c r="J19" s="194">
        <f>+INDEX(DataEx!$1:$1048576,MATCH('2019'!$A19,DataEx!$D:$D,0),MATCH('2019'!J$6,DataEx!$7:$7,0))</f>
        <v>50290988.940000005</v>
      </c>
      <c r="K19" s="194">
        <f>+INDEX(DataEx!$1:$1048576,MATCH('2019'!$A19,DataEx!$D:$D,0),MATCH('2019'!K$6,DataEx!$7:$7,0))</f>
        <v>37496285.130000003</v>
      </c>
      <c r="L19" s="194">
        <f>+INDEX(DataEx!$1:$1048576,MATCH('2019'!$A19,DataEx!$D:$D,0),MATCH('2019'!L$6,DataEx!$7:$7,0))</f>
        <v>45280786.510000005</v>
      </c>
      <c r="M19" s="194">
        <f>+INDEX(DataEx!$1:$1048576,MATCH('2019'!$A19,DataEx!$D:$D,0),MATCH('2019'!M$6,DataEx!$7:$7,0))</f>
        <v>48662139.43999999</v>
      </c>
      <c r="N19" s="194">
        <f>+INDEX(DataEx!$1:$1048576,MATCH('2019'!$A19,DataEx!$D:$D,0),MATCH('2019'!N$6,DataEx!$7:$7,0))</f>
        <v>45770745.839999996</v>
      </c>
      <c r="O19" s="194">
        <f>+INDEX(DataEx!$1:$1048576,MATCH('2019'!$A19,DataEx!$D:$D,0),MATCH('2019'!O$6,DataEx!$7:$7,0))</f>
        <v>43611346.450000003</v>
      </c>
      <c r="P19" s="194">
        <f>+INDEX(DataEx!$1:$1048576,MATCH('2019'!$A19,DataEx!$D:$D,0),MATCH('2019'!P$6,DataEx!$7:$7,0))</f>
        <v>46487647.670000002</v>
      </c>
      <c r="Q19" s="194">
        <f>+INDEX(DataEx!$1:$1048576,MATCH('2019'!$A19,DataEx!$D:$D,0),MATCH('2019'!Q$6,DataEx!$7:$7,0))</f>
        <v>0</v>
      </c>
      <c r="R19" s="194">
        <f>+INDEX(DataEx!$1:$1048576,MATCH('2019'!$A19,DataEx!$D:$D,0),MATCH('2019'!R$6,DataEx!$7:$7,0))</f>
        <v>0</v>
      </c>
      <c r="S19" s="272">
        <f t="shared" si="3"/>
        <v>417058690.01999998</v>
      </c>
      <c r="T19" s="273">
        <f t="shared" si="4"/>
        <v>8.6578790147599172E-2</v>
      </c>
    </row>
    <row r="20" spans="1:25">
      <c r="A20" s="175">
        <v>7121</v>
      </c>
      <c r="B20" s="488" t="str">
        <f>+VLOOKUP($A20,Master!$D$27:$G$225,4,FALSE)</f>
        <v>Contributions for Pension and Disability Insurance</v>
      </c>
      <c r="C20" s="489"/>
      <c r="D20" s="489"/>
      <c r="E20" s="489"/>
      <c r="F20" s="489"/>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29650595.870000001</v>
      </c>
      <c r="K20" s="188">
        <f>+INDEX(DataEx!$1:$1048576,MATCH('2019'!$A20,DataEx!$D:$D,0),MATCH('2019'!K$6,DataEx!$7:$7,0))</f>
        <v>22104934.850000001</v>
      </c>
      <c r="L20" s="188">
        <f>+INDEX(DataEx!$1:$1048576,MATCH('2019'!$A20,DataEx!$D:$D,0),MATCH('2019'!L$6,DataEx!$7:$7,0))</f>
        <v>27009559.609999999</v>
      </c>
      <c r="M20" s="188">
        <f>+INDEX(DataEx!$1:$1048576,MATCH('2019'!$A20,DataEx!$D:$D,0),MATCH('2019'!M$6,DataEx!$7:$7,0))</f>
        <v>28964205.43</v>
      </c>
      <c r="N20" s="188">
        <f>+INDEX(DataEx!$1:$1048576,MATCH('2019'!$A20,DataEx!$D:$D,0),MATCH('2019'!N$6,DataEx!$7:$7,0))</f>
        <v>27519220.43</v>
      </c>
      <c r="O20" s="188">
        <f>+INDEX(DataEx!$1:$1048576,MATCH('2019'!$A20,DataEx!$D:$D,0),MATCH('2019'!O$6,DataEx!$7:$7,0))</f>
        <v>26730921.559999999</v>
      </c>
      <c r="P20" s="188">
        <f>+INDEX(DataEx!$1:$1048576,MATCH('2019'!$A20,DataEx!$D:$D,0),MATCH('2019'!P$6,DataEx!$7:$7,0))</f>
        <v>28563512.620000001</v>
      </c>
      <c r="Q20" s="188">
        <f>+INDEX(DataEx!$1:$1048576,MATCH('2019'!$A20,DataEx!$D:$D,0),MATCH('2019'!Q$6,DataEx!$7:$7,0))</f>
        <v>0</v>
      </c>
      <c r="R20" s="188">
        <f>+INDEX(DataEx!$1:$1048576,MATCH('2019'!$A20,DataEx!$D:$D,0),MATCH('2019'!R$6,DataEx!$7:$7,0))</f>
        <v>0</v>
      </c>
      <c r="S20" s="269">
        <f t="shared" si="3"/>
        <v>248756258.93000001</v>
      </c>
      <c r="T20" s="270">
        <f t="shared" si="4"/>
        <v>5.1640252211911736E-2</v>
      </c>
    </row>
    <row r="21" spans="1:25">
      <c r="A21" s="175">
        <v>7122</v>
      </c>
      <c r="B21" s="488" t="str">
        <f>+VLOOKUP($A21,Master!$D$27:$G$225,4,FALSE)</f>
        <v>Contributions for Health Insurance</v>
      </c>
      <c r="C21" s="489"/>
      <c r="D21" s="489"/>
      <c r="E21" s="489"/>
      <c r="F21" s="489"/>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17925167.550000001</v>
      </c>
      <c r="K21" s="188">
        <f>+INDEX(DataEx!$1:$1048576,MATCH('2019'!$A21,DataEx!$D:$D,0),MATCH('2019'!K$6,DataEx!$7:$7,0))</f>
        <v>13458982.5</v>
      </c>
      <c r="L21" s="188">
        <f>+INDEX(DataEx!$1:$1048576,MATCH('2019'!$A21,DataEx!$D:$D,0),MATCH('2019'!L$6,DataEx!$7:$7,0))</f>
        <v>15925774.34</v>
      </c>
      <c r="M21" s="188">
        <f>+INDEX(DataEx!$1:$1048576,MATCH('2019'!$A21,DataEx!$D:$D,0),MATCH('2019'!M$6,DataEx!$7:$7,0))</f>
        <v>17203285.449999999</v>
      </c>
      <c r="N21" s="188">
        <f>+INDEX(DataEx!$1:$1048576,MATCH('2019'!$A21,DataEx!$D:$D,0),MATCH('2019'!N$6,DataEx!$7:$7,0))</f>
        <v>15860674.26</v>
      </c>
      <c r="O21" s="188">
        <f>+INDEX(DataEx!$1:$1048576,MATCH('2019'!$A21,DataEx!$D:$D,0),MATCH('2019'!O$6,DataEx!$7:$7,0))</f>
        <v>14501660.91</v>
      </c>
      <c r="P21" s="188">
        <f>+INDEX(DataEx!$1:$1048576,MATCH('2019'!$A21,DataEx!$D:$D,0),MATCH('2019'!P$6,DataEx!$7:$7,0))</f>
        <v>15344312.359999999</v>
      </c>
      <c r="Q21" s="188">
        <f>+INDEX(DataEx!$1:$1048576,MATCH('2019'!$A21,DataEx!$D:$D,0),MATCH('2019'!Q$6,DataEx!$7:$7,0))</f>
        <v>0</v>
      </c>
      <c r="R21" s="188">
        <f>+INDEX(DataEx!$1:$1048576,MATCH('2019'!$A21,DataEx!$D:$D,0),MATCH('2019'!R$6,DataEx!$7:$7,0))</f>
        <v>0</v>
      </c>
      <c r="S21" s="269">
        <f t="shared" si="3"/>
        <v>146082649.25</v>
      </c>
      <c r="T21" s="270">
        <f t="shared" si="4"/>
        <v>3.032584942185132E-2</v>
      </c>
    </row>
    <row r="22" spans="1:25">
      <c r="A22" s="175">
        <v>7123</v>
      </c>
      <c r="B22" s="488" t="str">
        <f>+VLOOKUP($A22,Master!$D$27:$G$225,4,FALSE)</f>
        <v>Contributions for  Unemployment Insurance</v>
      </c>
      <c r="C22" s="489"/>
      <c r="D22" s="489"/>
      <c r="E22" s="489"/>
      <c r="F22" s="489"/>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1375720.59</v>
      </c>
      <c r="K22" s="188">
        <f>+INDEX(DataEx!$1:$1048576,MATCH('2019'!$A22,DataEx!$D:$D,0),MATCH('2019'!K$6,DataEx!$7:$7,0))</f>
        <v>1026106.03</v>
      </c>
      <c r="L22" s="188">
        <f>+INDEX(DataEx!$1:$1048576,MATCH('2019'!$A22,DataEx!$D:$D,0),MATCH('2019'!L$6,DataEx!$7:$7,0))</f>
        <v>1222753.49</v>
      </c>
      <c r="M22" s="188">
        <f>+INDEX(DataEx!$1:$1048576,MATCH('2019'!$A22,DataEx!$D:$D,0),MATCH('2019'!M$6,DataEx!$7:$7,0))</f>
        <v>1316999.83</v>
      </c>
      <c r="N22" s="188">
        <f>+INDEX(DataEx!$1:$1048576,MATCH('2019'!$A22,DataEx!$D:$D,0),MATCH('2019'!N$6,DataEx!$7:$7,0))</f>
        <v>1256512.28</v>
      </c>
      <c r="O22" s="188">
        <f>+INDEX(DataEx!$1:$1048576,MATCH('2019'!$A22,DataEx!$D:$D,0),MATCH('2019'!O$6,DataEx!$7:$7,0))</f>
        <v>1242677.57</v>
      </c>
      <c r="P22" s="188">
        <f>+INDEX(DataEx!$1:$1048576,MATCH('2019'!$A22,DataEx!$D:$D,0),MATCH('2019'!P$6,DataEx!$7:$7,0))</f>
        <v>1311319.78</v>
      </c>
      <c r="Q22" s="188">
        <f>+INDEX(DataEx!$1:$1048576,MATCH('2019'!$A22,DataEx!$D:$D,0),MATCH('2019'!Q$6,DataEx!$7:$7,0))</f>
        <v>0</v>
      </c>
      <c r="R22" s="188">
        <f>+INDEX(DataEx!$1:$1048576,MATCH('2019'!$A22,DataEx!$D:$D,0),MATCH('2019'!R$6,DataEx!$7:$7,0))</f>
        <v>0</v>
      </c>
      <c r="S22" s="269">
        <f t="shared" si="3"/>
        <v>11508054.73</v>
      </c>
      <c r="T22" s="270">
        <f t="shared" si="4"/>
        <v>2.3890005874903988E-3</v>
      </c>
    </row>
    <row r="23" spans="1:25">
      <c r="A23" s="175">
        <v>7124</v>
      </c>
      <c r="B23" s="488" t="str">
        <f>+VLOOKUP($A23,Master!$D$27:$G$225,4,FALSE)</f>
        <v>Other contributions</v>
      </c>
      <c r="C23" s="489"/>
      <c r="D23" s="489"/>
      <c r="E23" s="489"/>
      <c r="F23" s="489"/>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1339504.93</v>
      </c>
      <c r="K23" s="188">
        <f>+INDEX(DataEx!$1:$1048576,MATCH('2019'!$A23,DataEx!$D:$D,0),MATCH('2019'!K$6,DataEx!$7:$7,0))</f>
        <v>906261.75</v>
      </c>
      <c r="L23" s="188">
        <f>+INDEX(DataEx!$1:$1048576,MATCH('2019'!$A23,DataEx!$D:$D,0),MATCH('2019'!L$6,DataEx!$7:$7,0))</f>
        <v>1122699.07</v>
      </c>
      <c r="M23" s="188">
        <f>+INDEX(DataEx!$1:$1048576,MATCH('2019'!$A23,DataEx!$D:$D,0),MATCH('2019'!M$6,DataEx!$7:$7,0))</f>
        <v>1177648.73</v>
      </c>
      <c r="N23" s="188">
        <f>+INDEX(DataEx!$1:$1048576,MATCH('2019'!$A23,DataEx!$D:$D,0),MATCH('2019'!N$6,DataEx!$7:$7,0))</f>
        <v>1134338.8700000001</v>
      </c>
      <c r="O23" s="188">
        <f>+INDEX(DataEx!$1:$1048576,MATCH('2019'!$A23,DataEx!$D:$D,0),MATCH('2019'!O$6,DataEx!$7:$7,0))</f>
        <v>1136086.4099999999</v>
      </c>
      <c r="P23" s="188">
        <f>+INDEX(DataEx!$1:$1048576,MATCH('2019'!$A23,DataEx!$D:$D,0),MATCH('2019'!P$6,DataEx!$7:$7,0))</f>
        <v>1268502.9099999999</v>
      </c>
      <c r="Q23" s="188">
        <f>+INDEX(DataEx!$1:$1048576,MATCH('2019'!$A23,DataEx!$D:$D,0),MATCH('2019'!Q$6,DataEx!$7:$7,0))</f>
        <v>0</v>
      </c>
      <c r="R23" s="188">
        <f>+INDEX(DataEx!$1:$1048576,MATCH('2019'!$A23,DataEx!$D:$D,0),MATCH('2019'!R$6,DataEx!$7:$7,0))</f>
        <v>0</v>
      </c>
      <c r="S23" s="269">
        <f t="shared" si="3"/>
        <v>10711727.109999999</v>
      </c>
      <c r="T23" s="270">
        <f t="shared" si="4"/>
        <v>2.2236879263457265E-3</v>
      </c>
      <c r="Y23" s="379"/>
    </row>
    <row r="24" spans="1:25">
      <c r="A24" s="175">
        <v>713</v>
      </c>
      <c r="B24" s="490" t="str">
        <f>+VLOOKUP($A24,Master!$D$27:$G$225,4,FALSE)</f>
        <v>Duties</v>
      </c>
      <c r="C24" s="491"/>
      <c r="D24" s="491"/>
      <c r="E24" s="491"/>
      <c r="F24" s="491"/>
      <c r="G24" s="200">
        <f>+INDEX(DataEx!$1:$1048576,MATCH('2019'!$A24,DataEx!$D:$D,0),MATCH('2019'!G$6,DataEx!$7:$7,0))</f>
        <v>851162.27</v>
      </c>
      <c r="H24" s="200">
        <f>+INDEX(DataEx!$1:$1048576,MATCH('2019'!$A24,DataEx!$D:$D,0),MATCH('2019'!H$6,DataEx!$7:$7,0))</f>
        <v>1041125.3899999999</v>
      </c>
      <c r="I24" s="200">
        <f>+INDEX(DataEx!$1:$1048576,MATCH('2019'!$A24,DataEx!$D:$D,0),MATCH('2019'!I$6,DataEx!$7:$7,0))</f>
        <v>1066481.8799999999</v>
      </c>
      <c r="J24" s="200">
        <f>+INDEX(DataEx!$1:$1048576,MATCH('2019'!$A24,DataEx!$D:$D,0),MATCH('2019'!J$6,DataEx!$7:$7,0))</f>
        <v>1290371.49</v>
      </c>
      <c r="K24" s="200">
        <f>+INDEX(DataEx!$1:$1048576,MATCH('2019'!$A24,DataEx!$D:$D,0),MATCH('2019'!K$6,DataEx!$7:$7,0))</f>
        <v>1208813.17</v>
      </c>
      <c r="L24" s="200">
        <f>+INDEX(DataEx!$1:$1048576,MATCH('2019'!$A24,DataEx!$D:$D,0),MATCH('2019'!L$6,DataEx!$7:$7,0))</f>
        <v>1252534.6599999999</v>
      </c>
      <c r="M24" s="200">
        <f>+INDEX(DataEx!$1:$1048576,MATCH('2019'!$A24,DataEx!$D:$D,0),MATCH('2019'!M$6,DataEx!$7:$7,0))</f>
        <v>1880947.5899999999</v>
      </c>
      <c r="N24" s="200">
        <f>+INDEX(DataEx!$1:$1048576,MATCH('2019'!$A24,DataEx!$D:$D,0),MATCH('2019'!N$6,DataEx!$7:$7,0))</f>
        <v>1630940.38</v>
      </c>
      <c r="O24" s="200">
        <f>+INDEX(DataEx!$1:$1048576,MATCH('2019'!$A24,DataEx!$D:$D,0),MATCH('2019'!O$6,DataEx!$7:$7,0))</f>
        <v>1570845.07</v>
      </c>
      <c r="P24" s="200">
        <f>+INDEX(DataEx!$1:$1048576,MATCH('2019'!$A24,DataEx!$D:$D,0),MATCH('2019'!P$6,DataEx!$7:$7,0))</f>
        <v>1334131.8600000001</v>
      </c>
      <c r="Q24" s="200">
        <f>+INDEX(DataEx!$1:$1048576,MATCH('2019'!$A24,DataEx!$D:$D,0),MATCH('2019'!Q$6,DataEx!$7:$7,0))</f>
        <v>0</v>
      </c>
      <c r="R24" s="274">
        <f>+INDEX(DataEx!$1:$1048576,MATCH('2019'!$A24,DataEx!$D:$D,0),MATCH('2019'!R$6,DataEx!$7:$7,0))</f>
        <v>0</v>
      </c>
      <c r="S24" s="272">
        <f t="shared" si="3"/>
        <v>13127353.759999998</v>
      </c>
      <c r="T24" s="273">
        <f t="shared" si="4"/>
        <v>2.725156994872433E-3</v>
      </c>
      <c r="Y24" s="379"/>
    </row>
    <row r="25" spans="1:25">
      <c r="A25" s="175">
        <v>714</v>
      </c>
      <c r="B25" s="490" t="str">
        <f>+VLOOKUP($A25,Master!$D$27:$G$225,4,FALSE)</f>
        <v>Fees</v>
      </c>
      <c r="C25" s="491"/>
      <c r="D25" s="491"/>
      <c r="E25" s="491"/>
      <c r="F25" s="491"/>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3310133.38</v>
      </c>
      <c r="K25" s="200">
        <f>+INDEX(DataEx!$1:$1048576,MATCH('2019'!$A25,DataEx!$D:$D,0),MATCH('2019'!K$6,DataEx!$7:$7,0))</f>
        <v>1792591.2</v>
      </c>
      <c r="L25" s="200">
        <f>+INDEX(DataEx!$1:$1048576,MATCH('2019'!$A25,DataEx!$D:$D,0),MATCH('2019'!L$6,DataEx!$7:$7,0))</f>
        <v>2081141.31</v>
      </c>
      <c r="M25" s="200">
        <f>+INDEX(DataEx!$1:$1048576,MATCH('2019'!$A25,DataEx!$D:$D,0),MATCH('2019'!M$6,DataEx!$7:$7,0))</f>
        <v>2697450.35</v>
      </c>
      <c r="N25" s="200">
        <f>+INDEX(DataEx!$1:$1048576,MATCH('2019'!$A25,DataEx!$D:$D,0),MATCH('2019'!N$6,DataEx!$7:$7,0))</f>
        <v>1985377.1099999999</v>
      </c>
      <c r="O25" s="200">
        <f>+INDEX(DataEx!$1:$1048576,MATCH('2019'!$A25,DataEx!$D:$D,0),MATCH('2019'!O$6,DataEx!$7:$7,0))</f>
        <v>2352827.11</v>
      </c>
      <c r="P25" s="200">
        <f>+INDEX(DataEx!$1:$1048576,MATCH('2019'!$A25,DataEx!$D:$D,0),MATCH('2019'!P$6,DataEx!$7:$7,0))</f>
        <v>2477150.35</v>
      </c>
      <c r="Q25" s="200">
        <f>+INDEX(DataEx!$1:$1048576,MATCH('2019'!$A25,DataEx!$D:$D,0),MATCH('2019'!Q$6,DataEx!$7:$7,0))</f>
        <v>0</v>
      </c>
      <c r="R25" s="274">
        <f>+INDEX(DataEx!$1:$1048576,MATCH('2019'!$A25,DataEx!$D:$D,0),MATCH('2019'!R$6,DataEx!$7:$7,0))</f>
        <v>0</v>
      </c>
      <c r="S25" s="272">
        <f t="shared" si="3"/>
        <v>22961589.420000002</v>
      </c>
      <c r="T25" s="273">
        <f t="shared" si="4"/>
        <v>4.7666831537647135E-3</v>
      </c>
      <c r="W25" s="366"/>
    </row>
    <row r="26" spans="1:25">
      <c r="A26" s="175">
        <v>715</v>
      </c>
      <c r="B26" s="490" t="str">
        <f>+VLOOKUP($A26,Master!$D$27:$G$225,4,FALSE)</f>
        <v>Other revenues</v>
      </c>
      <c r="C26" s="491"/>
      <c r="D26" s="491"/>
      <c r="E26" s="491"/>
      <c r="F26" s="491"/>
      <c r="G26" s="200">
        <f>+INDEX(DataEx!$1:$1048576,MATCH('2019'!$A26,DataEx!$D:$D,0),MATCH('2019'!G$6,DataEx!$7:$7,0))</f>
        <v>1567147.41</v>
      </c>
      <c r="H26" s="200">
        <f>+INDEX(DataEx!$1:$1048576,MATCH('2019'!$A26,DataEx!$D:$D,0),MATCH('2019'!H$6,DataEx!$7:$7,0))</f>
        <v>2199531.1</v>
      </c>
      <c r="I26" s="200">
        <f>+INDEX(DataEx!$1:$1048576,MATCH('2019'!$A26,DataEx!$D:$D,0),MATCH('2019'!I$6,DataEx!$7:$7,0))</f>
        <v>3193816.55</v>
      </c>
      <c r="J26" s="200">
        <f>+INDEX(DataEx!$1:$1048576,MATCH('2019'!$A26,DataEx!$D:$D,0),MATCH('2019'!J$6,DataEx!$7:$7,0))</f>
        <v>2385570.52</v>
      </c>
      <c r="K26" s="200">
        <f>+INDEX(DataEx!$1:$1048576,MATCH('2019'!$A26,DataEx!$D:$D,0),MATCH('2019'!K$6,DataEx!$7:$7,0))</f>
        <v>7159071.0099999998</v>
      </c>
      <c r="L26" s="200">
        <f>+INDEX(DataEx!$1:$1048576,MATCH('2019'!$A26,DataEx!$D:$D,0),MATCH('2019'!L$6,DataEx!$7:$7,0))</f>
        <v>3262994.81</v>
      </c>
      <c r="M26" s="200">
        <f>+INDEX(DataEx!$1:$1048576,MATCH('2019'!$A26,DataEx!$D:$D,0),MATCH('2019'!M$6,DataEx!$7:$7,0))</f>
        <v>3734626.12</v>
      </c>
      <c r="N26" s="200">
        <f>+INDEX(DataEx!$1:$1048576,MATCH('2019'!$A26,DataEx!$D:$D,0),MATCH('2019'!N$6,DataEx!$7:$7,0))</f>
        <v>2985463.57</v>
      </c>
      <c r="O26" s="200">
        <f>+INDEX(DataEx!$1:$1048576,MATCH('2019'!$A26,DataEx!$D:$D,0),MATCH('2019'!O$6,DataEx!$7:$7,0))</f>
        <v>2214023.2000000002</v>
      </c>
      <c r="P26" s="200">
        <f>+INDEX(DataEx!$1:$1048576,MATCH('2019'!$A26,DataEx!$D:$D,0),MATCH('2019'!P$6,DataEx!$7:$7,0))</f>
        <v>2505030.61</v>
      </c>
      <c r="Q26" s="200">
        <f>+INDEX(DataEx!$1:$1048576,MATCH('2019'!$A26,DataEx!$D:$D,0),MATCH('2019'!Q$6,DataEx!$7:$7,0))</f>
        <v>0</v>
      </c>
      <c r="R26" s="274">
        <f>+INDEX(DataEx!$1:$1048576,MATCH('2019'!$A26,DataEx!$D:$D,0),MATCH('2019'!R$6,DataEx!$7:$7,0))</f>
        <v>0</v>
      </c>
      <c r="S26" s="272">
        <f t="shared" si="3"/>
        <v>31207274.899999999</v>
      </c>
      <c r="T26" s="273">
        <f t="shared" si="4"/>
        <v>6.4784361752921876E-3</v>
      </c>
    </row>
    <row r="27" spans="1:25">
      <c r="A27" s="175">
        <v>73</v>
      </c>
      <c r="B27" s="490" t="str">
        <f>+VLOOKUP($A27,Master!$D$27:$G$225,4,FALSE)</f>
        <v>Receipts from Repayment of Loans and Funds Carried over from Previous Year</v>
      </c>
      <c r="C27" s="491"/>
      <c r="D27" s="491"/>
      <c r="E27" s="491"/>
      <c r="F27" s="491"/>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349238.34</v>
      </c>
      <c r="K27" s="200">
        <f>+INDEX(DataEx!$1:$1048576,MATCH('2019'!$A27,DataEx!$D:$D,0),MATCH('2019'!K$6,DataEx!$7:$7,0))</f>
        <v>808656.23</v>
      </c>
      <c r="L27" s="200">
        <f>+INDEX(DataEx!$1:$1048576,MATCH('2019'!$A27,DataEx!$D:$D,0),MATCH('2019'!L$6,DataEx!$7:$7,0))</f>
        <v>1298753.81</v>
      </c>
      <c r="M27" s="200">
        <f>+INDEX(DataEx!$1:$1048576,MATCH('2019'!$A27,DataEx!$D:$D,0),MATCH('2019'!M$6,DataEx!$7:$7,0))</f>
        <v>134648.84</v>
      </c>
      <c r="N27" s="200">
        <f>+INDEX(DataEx!$1:$1048576,MATCH('2019'!$A27,DataEx!$D:$D,0),MATCH('2019'!N$6,DataEx!$7:$7,0))</f>
        <v>1295803.5900000001</v>
      </c>
      <c r="O27" s="200">
        <f>+INDEX(DataEx!$1:$1048576,MATCH('2019'!$A27,DataEx!$D:$D,0),MATCH('2019'!O$6,DataEx!$7:$7,0))</f>
        <v>183612.59</v>
      </c>
      <c r="P27" s="200">
        <f>+INDEX(DataEx!$1:$1048576,MATCH('2019'!$A27,DataEx!$D:$D,0),MATCH('2019'!P$6,DataEx!$7:$7,0))</f>
        <v>223272.51</v>
      </c>
      <c r="Q27" s="200">
        <f>+INDEX(DataEx!$1:$1048576,MATCH('2019'!$A27,DataEx!$D:$D,0),MATCH('2019'!Q$6,DataEx!$7:$7,0))</f>
        <v>0</v>
      </c>
      <c r="R27" s="274">
        <f>+INDEX(DataEx!$1:$1048576,MATCH('2019'!$A27,DataEx!$D:$D,0),MATCH('2019'!R$6,DataEx!$7:$7,0))</f>
        <v>0</v>
      </c>
      <c r="S27" s="272">
        <f t="shared" si="3"/>
        <v>4998655.8099999996</v>
      </c>
      <c r="T27" s="273">
        <f t="shared" si="4"/>
        <v>1.0376898569678852E-3</v>
      </c>
    </row>
    <row r="28" spans="1:25" ht="13.5" thickBot="1">
      <c r="A28" s="175">
        <v>74</v>
      </c>
      <c r="B28" s="492" t="str">
        <f>+VLOOKUP($A28,Master!$D$27:$G$225,4,FALSE)</f>
        <v>Grants and Transfers</v>
      </c>
      <c r="C28" s="493"/>
      <c r="D28" s="493"/>
      <c r="E28" s="493"/>
      <c r="F28" s="493"/>
      <c r="G28" s="200">
        <f>+INDEX(DataEx!$1:$1048576,MATCH('2019'!$A28,DataEx!$D:$D,0),MATCH('2019'!G$6,DataEx!$7:$7,0))</f>
        <v>13526711.25</v>
      </c>
      <c r="H28" s="200">
        <f>+INDEX(DataEx!$1:$1048576,MATCH('2019'!$A28,DataEx!$D:$D,0),MATCH('2019'!H$6,DataEx!$7:$7,0))</f>
        <v>1001055.74</v>
      </c>
      <c r="I28" s="200">
        <f>+INDEX(DataEx!$1:$1048576,MATCH('2019'!$A28,DataEx!$D:$D,0),MATCH('2019'!I$6,DataEx!$7:$7,0))</f>
        <v>861265.77</v>
      </c>
      <c r="J28" s="200">
        <f>+INDEX(DataEx!$1:$1048576,MATCH('2019'!$A28,DataEx!$D:$D,0),MATCH('2019'!J$6,DataEx!$7:$7,0))</f>
        <v>627154.51</v>
      </c>
      <c r="K28" s="200">
        <f>+INDEX(DataEx!$1:$1048576,MATCH('2019'!$A28,DataEx!$D:$D,0),MATCH('2019'!K$6,DataEx!$7:$7,0))</f>
        <v>1388870.5</v>
      </c>
      <c r="L28" s="200">
        <f>+INDEX(DataEx!$1:$1048576,MATCH('2019'!$A28,DataEx!$D:$D,0),MATCH('2019'!L$6,DataEx!$7:$7,0))</f>
        <v>827810.06</v>
      </c>
      <c r="M28" s="200">
        <f>+INDEX(DataEx!$1:$1048576,MATCH('2019'!$A28,DataEx!$D:$D,0),MATCH('2019'!M$6,DataEx!$7:$7,0))</f>
        <v>1651160.65</v>
      </c>
      <c r="N28" s="200">
        <f>+INDEX(DataEx!$1:$1048576,MATCH('2019'!$A28,DataEx!$D:$D,0),MATCH('2019'!N$6,DataEx!$7:$7,0))</f>
        <v>1596012.32</v>
      </c>
      <c r="O28" s="200">
        <f>+INDEX(DataEx!$1:$1048576,MATCH('2019'!$A28,DataEx!$D:$D,0),MATCH('2019'!O$6,DataEx!$7:$7,0))</f>
        <v>1509055.56</v>
      </c>
      <c r="P28" s="200">
        <f>+INDEX(DataEx!$1:$1048576,MATCH('2019'!$A28,DataEx!$D:$D,0),MATCH('2019'!P$6,DataEx!$7:$7,0))</f>
        <v>1948775.66</v>
      </c>
      <c r="Q28" s="200">
        <f>+INDEX(DataEx!$1:$1048576,MATCH('2019'!$A28,DataEx!$D:$D,0),MATCH('2019'!Q$6,DataEx!$7:$7,0))</f>
        <v>0</v>
      </c>
      <c r="R28" s="274">
        <f>+INDEX(DataEx!$1:$1048576,MATCH('2019'!$A28,DataEx!$D:$D,0),MATCH('2019'!R$6,DataEx!$7:$7,0))</f>
        <v>0</v>
      </c>
      <c r="S28" s="272">
        <f t="shared" si="3"/>
        <v>24937872.019999996</v>
      </c>
      <c r="T28" s="276">
        <f t="shared" si="4"/>
        <v>5.1769471300159835E-3</v>
      </c>
    </row>
    <row r="29" spans="1:25" ht="13.5" thickBot="1">
      <c r="A29" s="175">
        <v>4</v>
      </c>
      <c r="B29" s="478" t="str">
        <f>+VLOOKUP($A29,Master!$D$27:$G$225,4,FALSE)</f>
        <v>Total Expenditures</v>
      </c>
      <c r="C29" s="479"/>
      <c r="D29" s="479"/>
      <c r="E29" s="479"/>
      <c r="F29" s="479"/>
      <c r="G29" s="176">
        <f>+G31+G42+G48+SUM(G49:G53)</f>
        <v>139590114.27000004</v>
      </c>
      <c r="H29" s="176">
        <f t="shared" ref="H29:R29" si="5">+H31+H42+H48+SUM(H49:H53)</f>
        <v>130881199.91</v>
      </c>
      <c r="I29" s="176">
        <f t="shared" si="5"/>
        <v>172163990.72000003</v>
      </c>
      <c r="J29" s="176">
        <f t="shared" si="5"/>
        <v>154925194.25999996</v>
      </c>
      <c r="K29" s="176">
        <f t="shared" si="5"/>
        <v>146561714.36000001</v>
      </c>
      <c r="L29" s="176">
        <f t="shared" si="5"/>
        <v>144198984.44</v>
      </c>
      <c r="M29" s="176">
        <f t="shared" si="5"/>
        <v>179381305.58000001</v>
      </c>
      <c r="N29" s="176">
        <f t="shared" si="5"/>
        <v>159574505.02000001</v>
      </c>
      <c r="O29" s="176">
        <f t="shared" si="5"/>
        <v>149252001.11000001</v>
      </c>
      <c r="P29" s="176">
        <f t="shared" si="5"/>
        <v>153584886.19</v>
      </c>
      <c r="Q29" s="176">
        <f t="shared" si="5"/>
        <v>0</v>
      </c>
      <c r="R29" s="176">
        <f t="shared" si="5"/>
        <v>0</v>
      </c>
      <c r="S29" s="277">
        <f t="shared" si="3"/>
        <v>1530113895.8600001</v>
      </c>
      <c r="T29" s="278">
        <f t="shared" si="4"/>
        <v>0.31764212822237448</v>
      </c>
    </row>
    <row r="30" spans="1:25" ht="13.5" thickBot="1">
      <c r="A30" s="175">
        <v>41</v>
      </c>
      <c r="B30" s="494" t="str">
        <f>+VLOOKUP($A30,Master!$D$27:$G$225,4,FALSE)</f>
        <v>Current Expenditures</v>
      </c>
      <c r="C30" s="495"/>
      <c r="D30" s="495"/>
      <c r="E30" s="495"/>
      <c r="F30" s="495"/>
      <c r="G30" s="206">
        <f>+G29-G49</f>
        <v>112761759.32000004</v>
      </c>
      <c r="H30" s="206">
        <f t="shared" ref="H30:R30" si="6">+H29-H49</f>
        <v>127190749.89999999</v>
      </c>
      <c r="I30" s="206">
        <f t="shared" si="6"/>
        <v>157233793.12000003</v>
      </c>
      <c r="J30" s="206">
        <f t="shared" si="6"/>
        <v>142829076.86999995</v>
      </c>
      <c r="K30" s="206">
        <f t="shared" si="6"/>
        <v>135097336.80000001</v>
      </c>
      <c r="L30" s="206">
        <f t="shared" si="6"/>
        <v>131356763.20999999</v>
      </c>
      <c r="M30" s="206">
        <f t="shared" si="6"/>
        <v>156175584.49000001</v>
      </c>
      <c r="N30" s="206">
        <f t="shared" si="6"/>
        <v>118700381.90000001</v>
      </c>
      <c r="O30" s="206">
        <f t="shared" si="6"/>
        <v>135197235.42000002</v>
      </c>
      <c r="P30" s="206">
        <f t="shared" si="6"/>
        <v>139144020.84999999</v>
      </c>
      <c r="Q30" s="206">
        <f t="shared" si="6"/>
        <v>0</v>
      </c>
      <c r="R30" s="206">
        <f t="shared" si="6"/>
        <v>0</v>
      </c>
      <c r="S30" s="431">
        <f t="shared" si="3"/>
        <v>1355686701.8800001</v>
      </c>
      <c r="T30" s="280">
        <f t="shared" si="4"/>
        <v>0.28143212760374503</v>
      </c>
    </row>
    <row r="31" spans="1:25">
      <c r="A31" s="175">
        <v>40</v>
      </c>
      <c r="B31" s="496" t="str">
        <f>+VLOOKUP($A31,Master!$D$27:$G$225,4,FALSE)</f>
        <v>Current Budgetary Consumption</v>
      </c>
      <c r="C31" s="497"/>
      <c r="D31" s="497"/>
      <c r="E31" s="497"/>
      <c r="F31" s="497"/>
      <c r="G31" s="212">
        <f>+SUM(G32:G41)</f>
        <v>50999254.180000007</v>
      </c>
      <c r="H31" s="212">
        <f t="shared" ref="H31:R31" si="7">+SUM(H32:H41)</f>
        <v>58405644.539999999</v>
      </c>
      <c r="I31" s="212">
        <f t="shared" si="7"/>
        <v>85883180.63000001</v>
      </c>
      <c r="J31" s="212">
        <f t="shared" si="7"/>
        <v>77286244.589999974</v>
      </c>
      <c r="K31" s="212">
        <f t="shared" si="7"/>
        <v>68959329.459999993</v>
      </c>
      <c r="L31" s="212">
        <f t="shared" si="7"/>
        <v>68528249.039999992</v>
      </c>
      <c r="M31" s="212">
        <f t="shared" si="7"/>
        <v>73051651.219999999</v>
      </c>
      <c r="N31" s="212">
        <f t="shared" si="7"/>
        <v>56721578.990000002</v>
      </c>
      <c r="O31" s="212">
        <f t="shared" si="7"/>
        <v>63749507.99000001</v>
      </c>
      <c r="P31" s="212">
        <f t="shared" si="7"/>
        <v>73614713.349999994</v>
      </c>
      <c r="Q31" s="212">
        <f t="shared" si="7"/>
        <v>0</v>
      </c>
      <c r="R31" s="281">
        <f t="shared" si="7"/>
        <v>0</v>
      </c>
      <c r="S31" s="432">
        <f t="shared" si="3"/>
        <v>677199353.99000001</v>
      </c>
      <c r="T31" s="268">
        <f t="shared" si="4"/>
        <v>0.14058237404039775</v>
      </c>
    </row>
    <row r="32" spans="1:25">
      <c r="A32" s="175">
        <v>411</v>
      </c>
      <c r="B32" s="488" t="str">
        <f>+VLOOKUP($A32,Master!$D$27:$G$225,4,FALSE)</f>
        <v>Gross Salaries and Contributions</v>
      </c>
      <c r="C32" s="489"/>
      <c r="D32" s="489"/>
      <c r="E32" s="489"/>
      <c r="F32" s="489"/>
      <c r="G32" s="188">
        <f>+INDEX(DataEx!$1:$1048576,MATCH('2019'!$A32,DataEx!$D:$D,0),MATCH('2019'!G$6,DataEx!$7:$7,0))</f>
        <v>38898615.609999999</v>
      </c>
      <c r="H32" s="188">
        <f>+INDEX(DataEx!$1:$1048576,MATCH('2019'!$A32,DataEx!$D:$D,0),MATCH('2019'!H$6,DataEx!$7:$7,0))</f>
        <v>38602776.109999999</v>
      </c>
      <c r="I32" s="188">
        <f>+INDEX(DataEx!$1:$1048576,MATCH('2019'!$A32,DataEx!$D:$D,0),MATCH('2019'!I$6,DataEx!$7:$7,0))</f>
        <v>39176968.049999997</v>
      </c>
      <c r="J32" s="188">
        <f>+INDEX(DataEx!$1:$1048576,MATCH('2019'!$A32,DataEx!$D:$D,0),MATCH('2019'!J$6,DataEx!$7:$7,0))</f>
        <v>38923552.049999997</v>
      </c>
      <c r="K32" s="188">
        <f>+INDEX(DataEx!$1:$1048576,MATCH('2019'!$A32,DataEx!$D:$D,0),MATCH('2019'!K$6,DataEx!$7:$7,0))</f>
        <v>39904782.170000002</v>
      </c>
      <c r="L32" s="188">
        <f>+INDEX(DataEx!$1:$1048576,MATCH('2019'!$A32,DataEx!$D:$D,0),MATCH('2019'!L$6,DataEx!$7:$7,0))</f>
        <v>41491994.170000002</v>
      </c>
      <c r="M32" s="188">
        <f>+INDEX(DataEx!$1:$1048576,MATCH('2019'!$A32,DataEx!$D:$D,0),MATCH('2019'!M$6,DataEx!$7:$7,0))</f>
        <v>38031107.149999999</v>
      </c>
      <c r="N32" s="188">
        <f>+INDEX(DataEx!$1:$1048576,MATCH('2019'!$A32,DataEx!$D:$D,0),MATCH('2019'!N$6,DataEx!$7:$7,0))</f>
        <v>37169894.039999999</v>
      </c>
      <c r="O32" s="188">
        <f>+INDEX(DataEx!$1:$1048576,MATCH('2019'!$A32,DataEx!$D:$D,0),MATCH('2019'!O$6,DataEx!$7:$7,0))</f>
        <v>38490166.549999997</v>
      </c>
      <c r="P32" s="188">
        <f>+INDEX(DataEx!$1:$1048576,MATCH('2019'!$A32,DataEx!$D:$D,0),MATCH('2019'!P$6,DataEx!$7:$7,0))</f>
        <v>38895006.189999998</v>
      </c>
      <c r="Q32" s="188">
        <f>+INDEX(DataEx!$1:$1048576,MATCH('2019'!$A32,DataEx!$D:$D,0),MATCH('2019'!Q$6,DataEx!$7:$7,0))</f>
        <v>0</v>
      </c>
      <c r="R32" s="188">
        <f>+INDEX(DataEx!$1:$1048576,MATCH('2019'!$A32,DataEx!$D:$D,0),MATCH('2019'!R$6,DataEx!$7:$7,0))</f>
        <v>0</v>
      </c>
      <c r="S32" s="269">
        <f t="shared" si="3"/>
        <v>389584862.09000003</v>
      </c>
      <c r="T32" s="270">
        <f t="shared" si="4"/>
        <v>8.0875394343069493E-2</v>
      </c>
    </row>
    <row r="33" spans="1:22">
      <c r="A33" s="175">
        <v>412</v>
      </c>
      <c r="B33" s="488" t="str">
        <f>+VLOOKUP($A33,Master!$D$27:$G$225,4,FALSE)</f>
        <v>Other Personal Income</v>
      </c>
      <c r="C33" s="489"/>
      <c r="D33" s="489"/>
      <c r="E33" s="489"/>
      <c r="F33" s="489"/>
      <c r="G33" s="188">
        <f>+INDEX(DataEx!$1:$1048576,MATCH('2019'!$A33,DataEx!$D:$D,0),MATCH('2019'!G$6,DataEx!$7:$7,0))</f>
        <v>432711.77</v>
      </c>
      <c r="H33" s="188">
        <f>+INDEX(DataEx!$1:$1048576,MATCH('2019'!$A33,DataEx!$D:$D,0),MATCH('2019'!H$6,DataEx!$7:$7,0))</f>
        <v>1037317.51</v>
      </c>
      <c r="I33" s="188">
        <f>+INDEX(DataEx!$1:$1048576,MATCH('2019'!$A33,DataEx!$D:$D,0),MATCH('2019'!I$6,DataEx!$7:$7,0))</f>
        <v>740149.21</v>
      </c>
      <c r="J33" s="188">
        <f>+INDEX(DataEx!$1:$1048576,MATCH('2019'!$A33,DataEx!$D:$D,0),MATCH('2019'!J$6,DataEx!$7:$7,0))</f>
        <v>1606928.02</v>
      </c>
      <c r="K33" s="188">
        <f>+INDEX(DataEx!$1:$1048576,MATCH('2019'!$A33,DataEx!$D:$D,0),MATCH('2019'!K$6,DataEx!$7:$7,0))</f>
        <v>1045480.66</v>
      </c>
      <c r="L33" s="188">
        <f>+INDEX(DataEx!$1:$1048576,MATCH('2019'!$A33,DataEx!$D:$D,0),MATCH('2019'!L$6,DataEx!$7:$7,0))</f>
        <v>650585.03</v>
      </c>
      <c r="M33" s="188">
        <f>+INDEX(DataEx!$1:$1048576,MATCH('2019'!$A33,DataEx!$D:$D,0),MATCH('2019'!M$6,DataEx!$7:$7,0))</f>
        <v>1612572.32</v>
      </c>
      <c r="N33" s="188">
        <f>+INDEX(DataEx!$1:$1048576,MATCH('2019'!$A33,DataEx!$D:$D,0),MATCH('2019'!N$6,DataEx!$7:$7,0))</f>
        <v>864258.85</v>
      </c>
      <c r="O33" s="188">
        <f>+INDEX(DataEx!$1:$1048576,MATCH('2019'!$A33,DataEx!$D:$D,0),MATCH('2019'!O$6,DataEx!$7:$7,0))</f>
        <v>1075910.46</v>
      </c>
      <c r="P33" s="188">
        <f>+INDEX(DataEx!$1:$1048576,MATCH('2019'!$A33,DataEx!$D:$D,0),MATCH('2019'!P$6,DataEx!$7:$7,0))</f>
        <v>1121431.44</v>
      </c>
      <c r="Q33" s="188">
        <f>+INDEX(DataEx!$1:$1048576,MATCH('2019'!$A33,DataEx!$D:$D,0),MATCH('2019'!Q$6,DataEx!$7:$7,0))</f>
        <v>0</v>
      </c>
      <c r="R33" s="188">
        <f>+INDEX(DataEx!$1:$1048576,MATCH('2019'!$A33,DataEx!$D:$D,0),MATCH('2019'!R$6,DataEx!$7:$7,0))</f>
        <v>0</v>
      </c>
      <c r="S33" s="269">
        <f t="shared" si="3"/>
        <v>10187345.27</v>
      </c>
      <c r="T33" s="270">
        <f t="shared" si="4"/>
        <v>2.114829517759648E-3</v>
      </c>
      <c r="U33" s="367"/>
    </row>
    <row r="34" spans="1:22">
      <c r="A34" s="175">
        <v>413</v>
      </c>
      <c r="B34" s="488" t="str">
        <f>+VLOOKUP($A34,Master!$D$27:$G$225,4,FALSE)</f>
        <v>Expenditures for Supplies</v>
      </c>
      <c r="C34" s="489"/>
      <c r="D34" s="489"/>
      <c r="E34" s="489"/>
      <c r="F34" s="489"/>
      <c r="G34" s="188">
        <f>+INDEX(DataEx!$1:$1048576,MATCH('2019'!$A34,DataEx!$D:$D,0),MATCH('2019'!G$6,DataEx!$7:$7,0))</f>
        <v>854167.64</v>
      </c>
      <c r="H34" s="188">
        <f>+INDEX(DataEx!$1:$1048576,MATCH('2019'!$A34,DataEx!$D:$D,0),MATCH('2019'!H$6,DataEx!$7:$7,0))</f>
        <v>2492370.9900000002</v>
      </c>
      <c r="I34" s="188">
        <f>+INDEX(DataEx!$1:$1048576,MATCH('2019'!$A34,DataEx!$D:$D,0),MATCH('2019'!I$6,DataEx!$7:$7,0))</f>
        <v>2599448.7799999998</v>
      </c>
      <c r="J34" s="188">
        <f>+INDEX(DataEx!$1:$1048576,MATCH('2019'!$A34,DataEx!$D:$D,0),MATCH('2019'!J$6,DataEx!$7:$7,0))</f>
        <v>2488394.38</v>
      </c>
      <c r="K34" s="188">
        <f>+INDEX(DataEx!$1:$1048576,MATCH('2019'!$A34,DataEx!$D:$D,0),MATCH('2019'!K$6,DataEx!$7:$7,0))</f>
        <v>2262319.3199999998</v>
      </c>
      <c r="L34" s="188">
        <f>+INDEX(DataEx!$1:$1048576,MATCH('2019'!$A34,DataEx!$D:$D,0),MATCH('2019'!L$6,DataEx!$7:$7,0))</f>
        <v>3143597.69</v>
      </c>
      <c r="M34" s="188">
        <f>+INDEX(DataEx!$1:$1048576,MATCH('2019'!$A34,DataEx!$D:$D,0),MATCH('2019'!M$6,DataEx!$7:$7,0))</f>
        <v>2242317.38</v>
      </c>
      <c r="N34" s="188">
        <f>+INDEX(DataEx!$1:$1048576,MATCH('2019'!$A34,DataEx!$D:$D,0),MATCH('2019'!N$6,DataEx!$7:$7,0))</f>
        <v>2462726.48</v>
      </c>
      <c r="O34" s="188">
        <f>+INDEX(DataEx!$1:$1048576,MATCH('2019'!$A34,DataEx!$D:$D,0),MATCH('2019'!O$6,DataEx!$7:$7,0))</f>
        <v>2778192.64</v>
      </c>
      <c r="P34" s="188">
        <f>+INDEX(DataEx!$1:$1048576,MATCH('2019'!$A34,DataEx!$D:$D,0),MATCH('2019'!P$6,DataEx!$7:$7,0))</f>
        <v>3210622.86</v>
      </c>
      <c r="Q34" s="188">
        <f>+INDEX(DataEx!$1:$1048576,MATCH('2019'!$A34,DataEx!$D:$D,0),MATCH('2019'!Q$6,DataEx!$7:$7,0))</f>
        <v>0</v>
      </c>
      <c r="R34" s="188">
        <f>+INDEX(DataEx!$1:$1048576,MATCH('2019'!$A34,DataEx!$D:$D,0),MATCH('2019'!R$6,DataEx!$7:$7,0))</f>
        <v>0</v>
      </c>
      <c r="S34" s="269">
        <f t="shared" si="3"/>
        <v>24534158.16</v>
      </c>
      <c r="T34" s="270">
        <f t="shared" si="4"/>
        <v>5.0931386435822384E-3</v>
      </c>
      <c r="U34" s="385"/>
      <c r="V34" s="365"/>
    </row>
    <row r="35" spans="1:22">
      <c r="A35" s="175">
        <v>414</v>
      </c>
      <c r="B35" s="488" t="str">
        <f>+VLOOKUP($A35,Master!$D$27:$G$225,4,FALSE)</f>
        <v>Expenditures for Services</v>
      </c>
      <c r="C35" s="489"/>
      <c r="D35" s="489"/>
      <c r="E35" s="489"/>
      <c r="F35" s="489"/>
      <c r="G35" s="188">
        <f>+INDEX(DataEx!$1:$1048576,MATCH('2019'!$A35,DataEx!$D:$D,0),MATCH('2019'!G$6,DataEx!$7:$7,0))</f>
        <v>2813388.82</v>
      </c>
      <c r="H35" s="188">
        <f>+INDEX(DataEx!$1:$1048576,MATCH('2019'!$A35,DataEx!$D:$D,0),MATCH('2019'!H$6,DataEx!$7:$7,0))</f>
        <v>4321003.6500000004</v>
      </c>
      <c r="I35" s="188">
        <f>+INDEX(DataEx!$1:$1048576,MATCH('2019'!$A35,DataEx!$D:$D,0),MATCH('2019'!I$6,DataEx!$7:$7,0))</f>
        <v>4690729.2300000004</v>
      </c>
      <c r="J35" s="188">
        <f>+INDEX(DataEx!$1:$1048576,MATCH('2019'!$A35,DataEx!$D:$D,0),MATCH('2019'!J$6,DataEx!$7:$7,0))</f>
        <v>4354180.1100000003</v>
      </c>
      <c r="K35" s="188">
        <f>+INDEX(DataEx!$1:$1048576,MATCH('2019'!$A35,DataEx!$D:$D,0),MATCH('2019'!K$6,DataEx!$7:$7,0))</f>
        <v>6607764.25</v>
      </c>
      <c r="L35" s="188">
        <f>+INDEX(DataEx!$1:$1048576,MATCH('2019'!$A35,DataEx!$D:$D,0),MATCH('2019'!L$6,DataEx!$7:$7,0))</f>
        <v>6806179.8200000003</v>
      </c>
      <c r="M35" s="188">
        <f>+INDEX(DataEx!$1:$1048576,MATCH('2019'!$A35,DataEx!$D:$D,0),MATCH('2019'!M$6,DataEx!$7:$7,0))</f>
        <v>8577720.9299999997</v>
      </c>
      <c r="N35" s="188">
        <f>+INDEX(DataEx!$1:$1048576,MATCH('2019'!$A35,DataEx!$D:$D,0),MATCH('2019'!N$6,DataEx!$7:$7,0))</f>
        <v>3301233.24</v>
      </c>
      <c r="O35" s="188">
        <f>+INDEX(DataEx!$1:$1048576,MATCH('2019'!$A35,DataEx!$D:$D,0),MATCH('2019'!O$6,DataEx!$7:$7,0))</f>
        <v>5726874.5800000001</v>
      </c>
      <c r="P35" s="188">
        <f>+INDEX(DataEx!$1:$1048576,MATCH('2019'!$A35,DataEx!$D:$D,0),MATCH('2019'!P$6,DataEx!$7:$7,0))</f>
        <v>6798582.2800000003</v>
      </c>
      <c r="Q35" s="188">
        <f>+INDEX(DataEx!$1:$1048576,MATCH('2019'!$A35,DataEx!$D:$D,0),MATCH('2019'!Q$6,DataEx!$7:$7,0))</f>
        <v>0</v>
      </c>
      <c r="R35" s="188">
        <f>+INDEX(DataEx!$1:$1048576,MATCH('2019'!$A35,DataEx!$D:$D,0),MATCH('2019'!R$6,DataEx!$7:$7,0))</f>
        <v>0</v>
      </c>
      <c r="S35" s="269">
        <f t="shared" si="3"/>
        <v>53997656.910000004</v>
      </c>
      <c r="T35" s="270">
        <f t="shared" si="4"/>
        <v>1.1209577735567043E-2</v>
      </c>
    </row>
    <row r="36" spans="1:22">
      <c r="A36" s="175">
        <v>415</v>
      </c>
      <c r="B36" s="488" t="str">
        <f>+VLOOKUP($A36,Master!$D$27:$G$225,4,FALSE)</f>
        <v>Current Maintenance</v>
      </c>
      <c r="C36" s="489"/>
      <c r="D36" s="489"/>
      <c r="E36" s="489"/>
      <c r="F36" s="489"/>
      <c r="G36" s="188">
        <f>+INDEX(DataEx!$1:$1048576,MATCH('2019'!$A36,DataEx!$D:$D,0),MATCH('2019'!G$6,DataEx!$7:$7,0))</f>
        <v>109483.07</v>
      </c>
      <c r="H36" s="188">
        <f>+INDEX(DataEx!$1:$1048576,MATCH('2019'!$A36,DataEx!$D:$D,0),MATCH('2019'!H$6,DataEx!$7:$7,0))</f>
        <v>1534108.39</v>
      </c>
      <c r="I36" s="188">
        <f>+INDEX(DataEx!$1:$1048576,MATCH('2019'!$A36,DataEx!$D:$D,0),MATCH('2019'!I$6,DataEx!$7:$7,0))</f>
        <v>1553347.68</v>
      </c>
      <c r="J36" s="188">
        <f>+INDEX(DataEx!$1:$1048576,MATCH('2019'!$A36,DataEx!$D:$D,0),MATCH('2019'!J$6,DataEx!$7:$7,0))</f>
        <v>1602730.43</v>
      </c>
      <c r="K36" s="188">
        <f>+INDEX(DataEx!$1:$1048576,MATCH('2019'!$A36,DataEx!$D:$D,0),MATCH('2019'!K$6,DataEx!$7:$7,0))</f>
        <v>1719004.83</v>
      </c>
      <c r="L36" s="188">
        <f>+INDEX(DataEx!$1:$1048576,MATCH('2019'!$A36,DataEx!$D:$D,0),MATCH('2019'!L$6,DataEx!$7:$7,0))</f>
        <v>1361111.43</v>
      </c>
      <c r="M36" s="188">
        <f>+INDEX(DataEx!$1:$1048576,MATCH('2019'!$A36,DataEx!$D:$D,0),MATCH('2019'!M$6,DataEx!$7:$7,0))</f>
        <v>2074263.46</v>
      </c>
      <c r="N36" s="188">
        <f>+INDEX(DataEx!$1:$1048576,MATCH('2019'!$A36,DataEx!$D:$D,0),MATCH('2019'!N$6,DataEx!$7:$7,0))</f>
        <v>1121425.77</v>
      </c>
      <c r="O36" s="188">
        <f>+INDEX(DataEx!$1:$1048576,MATCH('2019'!$A36,DataEx!$D:$D,0),MATCH('2019'!O$6,DataEx!$7:$7,0))</f>
        <v>1711631.24</v>
      </c>
      <c r="P36" s="188">
        <f>+INDEX(DataEx!$1:$1048576,MATCH('2019'!$A36,DataEx!$D:$D,0),MATCH('2019'!P$6,DataEx!$7:$7,0))</f>
        <v>2761754.3</v>
      </c>
      <c r="Q36" s="188">
        <f>+INDEX(DataEx!$1:$1048576,MATCH('2019'!$A36,DataEx!$D:$D,0),MATCH('2019'!Q$6,DataEx!$7:$7,0))</f>
        <v>0</v>
      </c>
      <c r="R36" s="188">
        <f>+INDEX(DataEx!$1:$1048576,MATCH('2019'!$A36,DataEx!$D:$D,0),MATCH('2019'!R$6,DataEx!$7:$7,0))</f>
        <v>0</v>
      </c>
      <c r="S36" s="269">
        <f t="shared" si="3"/>
        <v>15548860.599999998</v>
      </c>
      <c r="T36" s="270">
        <f t="shared" si="4"/>
        <v>3.2278467542712417E-3</v>
      </c>
    </row>
    <row r="37" spans="1:22">
      <c r="A37" s="175">
        <v>416</v>
      </c>
      <c r="B37" s="488" t="str">
        <f>+VLOOKUP($A37,Master!$D$27:$G$225,4,FALSE)</f>
        <v>Interests</v>
      </c>
      <c r="C37" s="489"/>
      <c r="D37" s="489"/>
      <c r="E37" s="489"/>
      <c r="F37" s="489"/>
      <c r="G37" s="188">
        <f>+INDEX(DataEx!$1:$1048576,MATCH('2019'!$A37,DataEx!$D:$D,0),MATCH('2019'!G$6,DataEx!$7:$7,0))</f>
        <v>6154852.9000000004</v>
      </c>
      <c r="H37" s="188">
        <f>+INDEX(DataEx!$1:$1048576,MATCH('2019'!$A37,DataEx!$D:$D,0),MATCH('2019'!H$6,DataEx!$7:$7,0))</f>
        <v>999341.54</v>
      </c>
      <c r="I37" s="188">
        <f>+INDEX(DataEx!$1:$1048576,MATCH('2019'!$A37,DataEx!$D:$D,0),MATCH('2019'!I$6,DataEx!$7:$7,0))</f>
        <v>28695513.649999999</v>
      </c>
      <c r="J37" s="188">
        <f>+INDEX(DataEx!$1:$1048576,MATCH('2019'!$A37,DataEx!$D:$D,0),MATCH('2019'!J$6,DataEx!$7:$7,0))</f>
        <v>18435271.789999999</v>
      </c>
      <c r="K37" s="188">
        <f>+INDEX(DataEx!$1:$1048576,MATCH('2019'!$A37,DataEx!$D:$D,0),MATCH('2019'!K$6,DataEx!$7:$7,0))</f>
        <v>10258844.07</v>
      </c>
      <c r="L37" s="188">
        <f>+INDEX(DataEx!$1:$1048576,MATCH('2019'!$A37,DataEx!$D:$D,0),MATCH('2019'!L$6,DataEx!$7:$7,0))</f>
        <v>5411766.9400000004</v>
      </c>
      <c r="M37" s="188">
        <f>+INDEX(DataEx!$1:$1048576,MATCH('2019'!$A37,DataEx!$D:$D,0),MATCH('2019'!M$6,DataEx!$7:$7,0))</f>
        <v>9047333.1999999993</v>
      </c>
      <c r="N37" s="188">
        <f>+INDEX(DataEx!$1:$1048576,MATCH('2019'!$A37,DataEx!$D:$D,0),MATCH('2019'!N$6,DataEx!$7:$7,0))</f>
        <v>1051267.33</v>
      </c>
      <c r="O37" s="188">
        <f>+INDEX(DataEx!$1:$1048576,MATCH('2019'!$A37,DataEx!$D:$D,0),MATCH('2019'!O$6,DataEx!$7:$7,0))</f>
        <v>2999385.93</v>
      </c>
      <c r="P37" s="188">
        <f>+INDEX(DataEx!$1:$1048576,MATCH('2019'!$A37,DataEx!$D:$D,0),MATCH('2019'!P$6,DataEx!$7:$7,0))</f>
        <v>1628126.12</v>
      </c>
      <c r="Q37" s="188">
        <f>+INDEX(DataEx!$1:$1048576,MATCH('2019'!$A37,DataEx!$D:$D,0),MATCH('2019'!Q$6,DataEx!$7:$7,0))</f>
        <v>0</v>
      </c>
      <c r="R37" s="188">
        <f>+INDEX(DataEx!$1:$1048576,MATCH('2019'!$A37,DataEx!$D:$D,0),MATCH('2019'!R$6,DataEx!$7:$7,0))</f>
        <v>0</v>
      </c>
      <c r="S37" s="269">
        <f>+SUM(G37:R37)</f>
        <v>84681703.470000014</v>
      </c>
      <c r="T37" s="270">
        <f t="shared" si="4"/>
        <v>1.7579394961698951E-2</v>
      </c>
    </row>
    <row r="38" spans="1:22">
      <c r="A38" s="175">
        <v>417</v>
      </c>
      <c r="B38" s="488" t="str">
        <f>+VLOOKUP($A38,Master!$D$27:$G$225,4,FALSE)</f>
        <v>Rent</v>
      </c>
      <c r="C38" s="489"/>
      <c r="D38" s="489"/>
      <c r="E38" s="489"/>
      <c r="F38" s="489"/>
      <c r="G38" s="188">
        <f>+INDEX(DataEx!$1:$1048576,MATCH('2019'!$A38,DataEx!$D:$D,0),MATCH('2019'!G$6,DataEx!$7:$7,0))</f>
        <v>220526.46</v>
      </c>
      <c r="H38" s="188">
        <f>+INDEX(DataEx!$1:$1048576,MATCH('2019'!$A38,DataEx!$D:$D,0),MATCH('2019'!H$6,DataEx!$7:$7,0))</f>
        <v>779733.65</v>
      </c>
      <c r="I38" s="188">
        <f>+INDEX(DataEx!$1:$1048576,MATCH('2019'!$A38,DataEx!$D:$D,0),MATCH('2019'!I$6,DataEx!$7:$7,0))</f>
        <v>803370.53</v>
      </c>
      <c r="J38" s="188">
        <f>+INDEX(DataEx!$1:$1048576,MATCH('2019'!$A38,DataEx!$D:$D,0),MATCH('2019'!J$6,DataEx!$7:$7,0))</f>
        <v>1122402.21</v>
      </c>
      <c r="K38" s="188">
        <f>+INDEX(DataEx!$1:$1048576,MATCH('2019'!$A38,DataEx!$D:$D,0),MATCH('2019'!K$6,DataEx!$7:$7,0))</f>
        <v>989005.29</v>
      </c>
      <c r="L38" s="188">
        <f>+INDEX(DataEx!$1:$1048576,MATCH('2019'!$A38,DataEx!$D:$D,0),MATCH('2019'!L$6,DataEx!$7:$7,0))</f>
        <v>608826.98</v>
      </c>
      <c r="M38" s="188">
        <f>+INDEX(DataEx!$1:$1048576,MATCH('2019'!$A38,DataEx!$D:$D,0),MATCH('2019'!M$6,DataEx!$7:$7,0))</f>
        <v>1399544.86</v>
      </c>
      <c r="N38" s="188">
        <f>+INDEX(DataEx!$1:$1048576,MATCH('2019'!$A38,DataEx!$D:$D,0),MATCH('2019'!N$6,DataEx!$7:$7,0))</f>
        <v>827493.89</v>
      </c>
      <c r="O38" s="188">
        <f>+INDEX(DataEx!$1:$1048576,MATCH('2019'!$A38,DataEx!$D:$D,0),MATCH('2019'!O$6,DataEx!$7:$7,0))</f>
        <v>656314.94999999995</v>
      </c>
      <c r="P38" s="188">
        <f>+INDEX(DataEx!$1:$1048576,MATCH('2019'!$A38,DataEx!$D:$D,0),MATCH('2019'!P$6,DataEx!$7:$7,0))</f>
        <v>807250.67</v>
      </c>
      <c r="Q38" s="188">
        <f>+INDEX(DataEx!$1:$1048576,MATCH('2019'!$A38,DataEx!$D:$D,0),MATCH('2019'!Q$6,DataEx!$7:$7,0))</f>
        <v>0</v>
      </c>
      <c r="R38" s="188">
        <f>+INDEX(DataEx!$1:$1048576,MATCH('2019'!$A38,DataEx!$D:$D,0),MATCH('2019'!R$6,DataEx!$7:$7,0))</f>
        <v>0</v>
      </c>
      <c r="S38" s="269">
        <f t="shared" si="3"/>
        <v>8214469.4900000002</v>
      </c>
      <c r="T38" s="270">
        <f t="shared" si="4"/>
        <v>1.7052727761516266E-3</v>
      </c>
    </row>
    <row r="39" spans="1:22">
      <c r="A39" s="175">
        <v>418</v>
      </c>
      <c r="B39" s="488" t="str">
        <f>+VLOOKUP($A39,Master!$D$27:$G$225,4,FALSE)</f>
        <v>Subsidies</v>
      </c>
      <c r="C39" s="489"/>
      <c r="D39" s="489"/>
      <c r="E39" s="489"/>
      <c r="F39" s="489"/>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1298353.71</v>
      </c>
      <c r="K39" s="188">
        <f>+INDEX(DataEx!$1:$1048576,MATCH('2019'!$A39,DataEx!$D:$D,0),MATCH('2019'!K$6,DataEx!$7:$7,0))</f>
        <v>2194236.0299999998</v>
      </c>
      <c r="L39" s="188">
        <f>+INDEX(DataEx!$1:$1048576,MATCH('2019'!$A39,DataEx!$D:$D,0),MATCH('2019'!L$6,DataEx!$7:$7,0))</f>
        <v>1487101.06</v>
      </c>
      <c r="M39" s="188">
        <f>+INDEX(DataEx!$1:$1048576,MATCH('2019'!$A39,DataEx!$D:$D,0),MATCH('2019'!M$6,DataEx!$7:$7,0))</f>
        <v>3695060.6</v>
      </c>
      <c r="N39" s="188">
        <f>+INDEX(DataEx!$1:$1048576,MATCH('2019'!$A39,DataEx!$D:$D,0),MATCH('2019'!N$6,DataEx!$7:$7,0))</f>
        <v>1069449</v>
      </c>
      <c r="O39" s="188">
        <f>+INDEX(DataEx!$1:$1048576,MATCH('2019'!$A39,DataEx!$D:$D,0),MATCH('2019'!O$6,DataEx!$7:$7,0))</f>
        <v>3742161.66</v>
      </c>
      <c r="P39" s="188">
        <f>+INDEX(DataEx!$1:$1048576,MATCH('2019'!$A39,DataEx!$D:$D,0),MATCH('2019'!P$6,DataEx!$7:$7,0))</f>
        <v>4843530.18</v>
      </c>
      <c r="Q39" s="188">
        <f>+INDEX(DataEx!$1:$1048576,MATCH('2019'!$A39,DataEx!$D:$D,0),MATCH('2019'!Q$6,DataEx!$7:$7,0))</f>
        <v>0</v>
      </c>
      <c r="R39" s="188">
        <f>+INDEX(DataEx!$1:$1048576,MATCH('2019'!$A39,DataEx!$D:$D,0),MATCH('2019'!R$6,DataEx!$7:$7,0))</f>
        <v>0</v>
      </c>
      <c r="S39" s="269">
        <f t="shared" si="3"/>
        <v>23804788.5</v>
      </c>
      <c r="T39" s="270">
        <f t="shared" si="4"/>
        <v>4.9417260384878869E-3</v>
      </c>
    </row>
    <row r="40" spans="1:22">
      <c r="A40" s="175">
        <v>419</v>
      </c>
      <c r="B40" s="488" t="str">
        <f>+VLOOKUP($A40,Master!$D$27:$G$225,4,FALSE)</f>
        <v>Other expenditures</v>
      </c>
      <c r="C40" s="489"/>
      <c r="D40" s="489"/>
      <c r="E40" s="489"/>
      <c r="F40" s="489"/>
      <c r="G40" s="188">
        <f>+INDEX(DataEx!$1:$1048576,MATCH('2019'!$A40,DataEx!$D:$D,0),MATCH('2019'!G$6,DataEx!$7:$7,0))</f>
        <v>695586.92</v>
      </c>
      <c r="H40" s="188">
        <f>+INDEX(DataEx!$1:$1048576,MATCH('2019'!$A40,DataEx!$D:$D,0),MATCH('2019'!H$6,DataEx!$7:$7,0))</f>
        <v>3357222.63</v>
      </c>
      <c r="I40" s="188">
        <f>+INDEX(DataEx!$1:$1048576,MATCH('2019'!$A40,DataEx!$D:$D,0),MATCH('2019'!I$6,DataEx!$7:$7,0))</f>
        <v>2294447.6800000002</v>
      </c>
      <c r="J40" s="188">
        <f>+INDEX(DataEx!$1:$1048576,MATCH('2019'!$A40,DataEx!$D:$D,0),MATCH('2019'!J$6,DataEx!$7:$7,0))</f>
        <v>5380146.8200000003</v>
      </c>
      <c r="K40" s="188">
        <f>+INDEX(DataEx!$1:$1048576,MATCH('2019'!$A40,DataEx!$D:$D,0),MATCH('2019'!K$6,DataEx!$7:$7,0))</f>
        <v>2115854.34</v>
      </c>
      <c r="L40" s="188">
        <f>+INDEX(DataEx!$1:$1048576,MATCH('2019'!$A40,DataEx!$D:$D,0),MATCH('2019'!L$6,DataEx!$7:$7,0))</f>
        <v>4483087.37</v>
      </c>
      <c r="M40" s="188">
        <f>+INDEX(DataEx!$1:$1048576,MATCH('2019'!$A40,DataEx!$D:$D,0),MATCH('2019'!M$6,DataEx!$7:$7,0))</f>
        <v>3829539.86</v>
      </c>
      <c r="N40" s="188">
        <f>+INDEX(DataEx!$1:$1048576,MATCH('2019'!$A40,DataEx!$D:$D,0),MATCH('2019'!N$6,DataEx!$7:$7,0))</f>
        <v>4015195.5</v>
      </c>
      <c r="O40" s="188">
        <f>+INDEX(DataEx!$1:$1048576,MATCH('2019'!$A40,DataEx!$D:$D,0),MATCH('2019'!O$6,DataEx!$7:$7,0))</f>
        <v>4101848.07</v>
      </c>
      <c r="P40" s="188">
        <f>+INDEX(DataEx!$1:$1048576,MATCH('2019'!$A40,DataEx!$D:$D,0),MATCH('2019'!P$6,DataEx!$7:$7,0))</f>
        <v>3045009.82</v>
      </c>
      <c r="Q40" s="188">
        <f>+INDEX(DataEx!$1:$1048576,MATCH('2019'!$A40,DataEx!$D:$D,0),MATCH('2019'!Q$6,DataEx!$7:$7,0))</f>
        <v>0</v>
      </c>
      <c r="R40" s="188">
        <f>+INDEX(DataEx!$1:$1048576,MATCH('2019'!$A40,DataEx!$D:$D,0),MATCH('2019'!R$6,DataEx!$7:$7,0))</f>
        <v>0</v>
      </c>
      <c r="S40" s="269">
        <f t="shared" si="3"/>
        <v>33317939.010000002</v>
      </c>
      <c r="T40" s="270">
        <f t="shared" si="4"/>
        <v>6.9165969172323601E-3</v>
      </c>
    </row>
    <row r="41" spans="1:22">
      <c r="A41" s="175">
        <v>440</v>
      </c>
      <c r="B41" s="488" t="str">
        <f>+VLOOKUP($A41,Master!$D$27:$G$225,4,FALSE)</f>
        <v>Current Capital Expenditure</v>
      </c>
      <c r="C41" s="489"/>
      <c r="D41" s="489"/>
      <c r="E41" s="489"/>
      <c r="F41" s="489"/>
      <c r="G41" s="188">
        <f>+INDEX(DataEx!$1:$1048576,MATCH('2019'!$A41,DataEx!$D:$D,0),MATCH('2019'!G$6,DataEx!$7:$7,0))</f>
        <v>720914.39</v>
      </c>
      <c r="H41" s="188">
        <f>+INDEX(DataEx!$1:$1048576,MATCH('2019'!$A41,DataEx!$D:$D,0),MATCH('2019'!H$6,DataEx!$7:$7,0))</f>
        <v>3462137.8600000003</v>
      </c>
      <c r="I41" s="188">
        <f>+INDEX(DataEx!$1:$1048576,MATCH('2019'!$A41,DataEx!$D:$D,0),MATCH('2019'!I$6,DataEx!$7:$7,0))</f>
        <v>1772948.37</v>
      </c>
      <c r="J41" s="188">
        <f>+INDEX(DataEx!$1:$1048576,MATCH('2019'!$A41,DataEx!$D:$D,0),MATCH('2019'!J$6,DataEx!$7:$7,0))</f>
        <v>2074285.0700000003</v>
      </c>
      <c r="K41" s="188">
        <f>+INDEX(DataEx!$1:$1048576,MATCH('2019'!$A41,DataEx!$D:$D,0),MATCH('2019'!K$6,DataEx!$7:$7,0))</f>
        <v>1862038.5</v>
      </c>
      <c r="L41" s="188">
        <f>+INDEX(DataEx!$1:$1048576,MATCH('2019'!$A41,DataEx!$D:$D,0),MATCH('2019'!L$6,DataEx!$7:$7,0))</f>
        <v>3083998.55</v>
      </c>
      <c r="M41" s="188">
        <f>+INDEX(DataEx!$1:$1048576,MATCH('2019'!$A41,DataEx!$D:$D,0),MATCH('2019'!M$6,DataEx!$7:$7,0))</f>
        <v>2542191.46</v>
      </c>
      <c r="N41" s="188">
        <f>+INDEX(DataEx!$1:$1048576,MATCH('2019'!$A41,DataEx!$D:$D,0),MATCH('2019'!N$6,DataEx!$7:$7,0))</f>
        <v>4838634.8899999997</v>
      </c>
      <c r="O41" s="188">
        <f>+INDEX(DataEx!$1:$1048576,MATCH('2019'!$A41,DataEx!$D:$D,0),MATCH('2019'!O$6,DataEx!$7:$7,0))</f>
        <v>2467021.91</v>
      </c>
      <c r="P41" s="188">
        <f>+INDEX(DataEx!$1:$1048576,MATCH('2019'!$A41,DataEx!$D:$D,0),MATCH('2019'!P$6,DataEx!$7:$7,0))</f>
        <v>10503399.49</v>
      </c>
      <c r="Q41" s="188">
        <f>+INDEX(DataEx!$1:$1048576,MATCH('2019'!$A41,DataEx!$D:$D,0),MATCH('2019'!Q$6,DataEx!$7:$7,0))</f>
        <v>0</v>
      </c>
      <c r="R41" s="188">
        <f>+INDEX(DataEx!$1:$1048576,MATCH('2019'!$A41,DataEx!$D:$D,0),MATCH('2019'!R$6,DataEx!$7:$7,0))</f>
        <v>0</v>
      </c>
      <c r="S41" s="269">
        <f t="shared" si="3"/>
        <v>33327570.490000002</v>
      </c>
      <c r="T41" s="270">
        <f t="shared" si="4"/>
        <v>6.9185963525772772E-3</v>
      </c>
    </row>
    <row r="42" spans="1:22">
      <c r="A42" s="175">
        <v>42</v>
      </c>
      <c r="B42" s="484" t="str">
        <f>+VLOOKUP($A42,Master!$D$27:$G$225,4,FALSE)</f>
        <v>Social Security Transfers</v>
      </c>
      <c r="C42" s="485"/>
      <c r="D42" s="485"/>
      <c r="E42" s="485"/>
      <c r="F42" s="485"/>
      <c r="G42" s="218">
        <f>+SUM(G43:G47)</f>
        <v>42563180.95000001</v>
      </c>
      <c r="H42" s="218">
        <f t="shared" ref="H42:R42" si="8">+SUM(H43:H47)</f>
        <v>46594709.649999999</v>
      </c>
      <c r="I42" s="218">
        <f t="shared" si="8"/>
        <v>45429673.470000006</v>
      </c>
      <c r="J42" s="200">
        <f t="shared" si="8"/>
        <v>45454458.559999995</v>
      </c>
      <c r="K42" s="218">
        <f t="shared" si="8"/>
        <v>45755730.580000006</v>
      </c>
      <c r="L42" s="218">
        <f t="shared" si="8"/>
        <v>45746699.100000001</v>
      </c>
      <c r="M42" s="218">
        <f t="shared" si="8"/>
        <v>46178760.68</v>
      </c>
      <c r="N42" s="218">
        <f t="shared" si="8"/>
        <v>45699224.809999995</v>
      </c>
      <c r="O42" s="218">
        <f t="shared" si="8"/>
        <v>45931841.649999999</v>
      </c>
      <c r="P42" s="218">
        <f t="shared" si="8"/>
        <v>46756374.820000008</v>
      </c>
      <c r="Q42" s="218">
        <f t="shared" si="8"/>
        <v>0</v>
      </c>
      <c r="R42" s="282">
        <f t="shared" si="8"/>
        <v>0</v>
      </c>
      <c r="S42" s="272">
        <f t="shared" si="3"/>
        <v>456110654.27000004</v>
      </c>
      <c r="T42" s="273">
        <f t="shared" si="4"/>
        <v>9.4685735041830157E-2</v>
      </c>
    </row>
    <row r="43" spans="1:22">
      <c r="A43" s="175">
        <v>421</v>
      </c>
      <c r="B43" s="488" t="str">
        <f>+VLOOKUP($A43,Master!$D$27:$G$225,4,FALSE)</f>
        <v>Social Security</v>
      </c>
      <c r="C43" s="489"/>
      <c r="D43" s="489"/>
      <c r="E43" s="489"/>
      <c r="F43" s="489"/>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6641554.0999999996</v>
      </c>
      <c r="K43" s="188">
        <f>+INDEX(DataEx!$1:$1048576,MATCH('2019'!$A43,DataEx!$D:$D,0),MATCH('2019'!K$6,DataEx!$7:$7,0))</f>
        <v>6410465.4699999997</v>
      </c>
      <c r="L43" s="188">
        <f>+INDEX(DataEx!$1:$1048576,MATCH('2019'!$A43,DataEx!$D:$D,0),MATCH('2019'!L$6,DataEx!$7:$7,0))</f>
        <v>6536921.0899999999</v>
      </c>
      <c r="M43" s="188">
        <f>+INDEX(DataEx!$1:$1048576,MATCH('2019'!$A43,DataEx!$D:$D,0),MATCH('2019'!M$6,DataEx!$7:$7,0))</f>
        <v>6798455.0999999996</v>
      </c>
      <c r="N43" s="188">
        <f>+INDEX(DataEx!$1:$1048576,MATCH('2019'!$A43,DataEx!$D:$D,0),MATCH('2019'!N$6,DataEx!$7:$7,0))</f>
        <v>6916329.6100000003</v>
      </c>
      <c r="O43" s="188">
        <f>+INDEX(DataEx!$1:$1048576,MATCH('2019'!$A43,DataEx!$D:$D,0),MATCH('2019'!O$6,DataEx!$7:$7,0))</f>
        <v>6430517.1200000001</v>
      </c>
      <c r="P43" s="188">
        <f>+INDEX(DataEx!$1:$1048576,MATCH('2019'!$A43,DataEx!$D:$D,0),MATCH('2019'!P$6,DataEx!$7:$7,0))</f>
        <v>6933312.3200000003</v>
      </c>
      <c r="Q43" s="188">
        <f>+INDEX(DataEx!$1:$1048576,MATCH('2019'!$A43,DataEx!$D:$D,0),MATCH('2019'!Q$6,DataEx!$7:$7,0))</f>
        <v>0</v>
      </c>
      <c r="R43" s="188">
        <f>+INDEX(DataEx!$1:$1048576,MATCH('2019'!$A43,DataEx!$D:$D,0),MATCH('2019'!R$6,DataEx!$7:$7,0))</f>
        <v>0</v>
      </c>
      <c r="S43" s="269">
        <f t="shared" si="3"/>
        <v>66115340.469999991</v>
      </c>
      <c r="T43" s="270">
        <f t="shared" si="4"/>
        <v>1.372513347657304E-2</v>
      </c>
    </row>
    <row r="44" spans="1:22">
      <c r="A44" s="175">
        <v>422</v>
      </c>
      <c r="B44" s="488" t="str">
        <f>+VLOOKUP($A44,Master!$D$27:$G$225,4,FALSE)</f>
        <v>Funds for redundant labor</v>
      </c>
      <c r="C44" s="489"/>
      <c r="D44" s="489"/>
      <c r="E44" s="489"/>
      <c r="F44" s="489"/>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1095242.3400000001</v>
      </c>
      <c r="K44" s="188">
        <f>+INDEX(DataEx!$1:$1048576,MATCH('2019'!$A44,DataEx!$D:$D,0),MATCH('2019'!K$6,DataEx!$7:$7,0))</f>
        <v>1341095.6299999999</v>
      </c>
      <c r="L44" s="188">
        <f>+INDEX(DataEx!$1:$1048576,MATCH('2019'!$A44,DataEx!$D:$D,0),MATCH('2019'!L$6,DataEx!$7:$7,0))</f>
        <v>1381621.25</v>
      </c>
      <c r="M44" s="188">
        <f>+INDEX(DataEx!$1:$1048576,MATCH('2019'!$A44,DataEx!$D:$D,0),MATCH('2019'!M$6,DataEx!$7:$7,0))</f>
        <v>1512829.9</v>
      </c>
      <c r="N44" s="188">
        <f>+INDEX(DataEx!$1:$1048576,MATCH('2019'!$A44,DataEx!$D:$D,0),MATCH('2019'!N$6,DataEx!$7:$7,0))</f>
        <v>1577705.79</v>
      </c>
      <c r="O44" s="188">
        <f>+INDEX(DataEx!$1:$1048576,MATCH('2019'!$A44,DataEx!$D:$D,0),MATCH('2019'!O$6,DataEx!$7:$7,0))</f>
        <v>1701766.69</v>
      </c>
      <c r="P44" s="188">
        <f>+INDEX(DataEx!$1:$1048576,MATCH('2019'!$A44,DataEx!$D:$D,0),MATCH('2019'!P$6,DataEx!$7:$7,0))</f>
        <v>1710317.34</v>
      </c>
      <c r="Q44" s="188">
        <f>+INDEX(DataEx!$1:$1048576,MATCH('2019'!$A44,DataEx!$D:$D,0),MATCH('2019'!Q$6,DataEx!$7:$7,0))</f>
        <v>0</v>
      </c>
      <c r="R44" s="188">
        <f>+INDEX(DataEx!$1:$1048576,MATCH('2019'!$A44,DataEx!$D:$D,0),MATCH('2019'!R$6,DataEx!$7:$7,0))</f>
        <v>0</v>
      </c>
      <c r="S44" s="269">
        <f t="shared" si="3"/>
        <v>12674038.429999998</v>
      </c>
      <c r="T44" s="270">
        <f t="shared" si="4"/>
        <v>2.6310515517635087E-3</v>
      </c>
    </row>
    <row r="45" spans="1:22">
      <c r="A45" s="175">
        <v>423</v>
      </c>
      <c r="B45" s="488" t="str">
        <f>+VLOOKUP($A45,Master!$D$27:$G$225,4,FALSE)</f>
        <v>Pension and Disability Insurance</v>
      </c>
      <c r="C45" s="489"/>
      <c r="D45" s="489"/>
      <c r="E45" s="489"/>
      <c r="F45" s="489"/>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35247727.210000001</v>
      </c>
      <c r="K45" s="188">
        <f>+INDEX(DataEx!$1:$1048576,MATCH('2019'!$A45,DataEx!$D:$D,0),MATCH('2019'!K$6,DataEx!$7:$7,0))</f>
        <v>35184087.420000002</v>
      </c>
      <c r="L45" s="188">
        <f>+INDEX(DataEx!$1:$1048576,MATCH('2019'!$A45,DataEx!$D:$D,0),MATCH('2019'!L$6,DataEx!$7:$7,0))</f>
        <v>35185457.75</v>
      </c>
      <c r="M45" s="188">
        <f>+INDEX(DataEx!$1:$1048576,MATCH('2019'!$A45,DataEx!$D:$D,0),MATCH('2019'!M$6,DataEx!$7:$7,0))</f>
        <v>35081479.57</v>
      </c>
      <c r="N45" s="188">
        <f>+INDEX(DataEx!$1:$1048576,MATCH('2019'!$A45,DataEx!$D:$D,0),MATCH('2019'!N$6,DataEx!$7:$7,0))</f>
        <v>35015332.57</v>
      </c>
      <c r="O45" s="188">
        <f>+INDEX(DataEx!$1:$1048576,MATCH('2019'!$A45,DataEx!$D:$D,0),MATCH('2019'!O$6,DataEx!$7:$7,0))</f>
        <v>35022901.990000002</v>
      </c>
      <c r="P45" s="188">
        <f>+INDEX(DataEx!$1:$1048576,MATCH('2019'!$A45,DataEx!$D:$D,0),MATCH('2019'!P$6,DataEx!$7:$7,0))</f>
        <v>34922457.960000001</v>
      </c>
      <c r="Q45" s="188">
        <f>+INDEX(DataEx!$1:$1048576,MATCH('2019'!$A45,DataEx!$D:$D,0),MATCH('2019'!Q$6,DataEx!$7:$7,0))</f>
        <v>0</v>
      </c>
      <c r="R45" s="188">
        <f>+INDEX(DataEx!$1:$1048576,MATCH('2019'!$A45,DataEx!$D:$D,0),MATCH('2019'!R$6,DataEx!$7:$7,0))</f>
        <v>0</v>
      </c>
      <c r="S45" s="269">
        <f t="shared" si="3"/>
        <v>350934442.38</v>
      </c>
      <c r="T45" s="270">
        <f t="shared" si="4"/>
        <v>7.2851807597932361E-2</v>
      </c>
    </row>
    <row r="46" spans="1:22">
      <c r="A46" s="175">
        <v>424</v>
      </c>
      <c r="B46" s="488" t="str">
        <f>+VLOOKUP($A46,Master!$D$27:$G$225,4,FALSE)</f>
        <v>Other Health Care Transfers</v>
      </c>
      <c r="C46" s="489"/>
      <c r="D46" s="489"/>
      <c r="E46" s="489"/>
      <c r="F46" s="489"/>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1689956.36</v>
      </c>
      <c r="K46" s="188">
        <f>+INDEX(DataEx!$1:$1048576,MATCH('2019'!$A46,DataEx!$D:$D,0),MATCH('2019'!K$6,DataEx!$7:$7,0))</f>
        <v>1914804.54</v>
      </c>
      <c r="L46" s="188">
        <f>+INDEX(DataEx!$1:$1048576,MATCH('2019'!$A46,DataEx!$D:$D,0),MATCH('2019'!L$6,DataEx!$7:$7,0))</f>
        <v>1732967.4</v>
      </c>
      <c r="M46" s="188">
        <f>+INDEX(DataEx!$1:$1048576,MATCH('2019'!$A46,DataEx!$D:$D,0),MATCH('2019'!M$6,DataEx!$7:$7,0))</f>
        <v>1746404.92</v>
      </c>
      <c r="N46" s="188">
        <f>+INDEX(DataEx!$1:$1048576,MATCH('2019'!$A46,DataEx!$D:$D,0),MATCH('2019'!N$6,DataEx!$7:$7,0))</f>
        <v>1448048.69</v>
      </c>
      <c r="O46" s="188">
        <f>+INDEX(DataEx!$1:$1048576,MATCH('2019'!$A46,DataEx!$D:$D,0),MATCH('2019'!O$6,DataEx!$7:$7,0))</f>
        <v>1671066.3</v>
      </c>
      <c r="P46" s="188">
        <f>+INDEX(DataEx!$1:$1048576,MATCH('2019'!$A46,DataEx!$D:$D,0),MATCH('2019'!P$6,DataEx!$7:$7,0))</f>
        <v>2220320.35</v>
      </c>
      <c r="Q46" s="188">
        <f>+INDEX(DataEx!$1:$1048576,MATCH('2019'!$A46,DataEx!$D:$D,0),MATCH('2019'!Q$6,DataEx!$7:$7,0))</f>
        <v>0</v>
      </c>
      <c r="R46" s="188">
        <f>+INDEX(DataEx!$1:$1048576,MATCH('2019'!$A46,DataEx!$D:$D,0),MATCH('2019'!R$6,DataEx!$7:$7,0))</f>
        <v>0</v>
      </c>
      <c r="S46" s="269">
        <f t="shared" si="3"/>
        <v>17285745.990000002</v>
      </c>
      <c r="T46" s="270">
        <f t="shared" si="4"/>
        <v>3.588413358659775E-3</v>
      </c>
    </row>
    <row r="47" spans="1:22">
      <c r="A47" s="175">
        <v>425</v>
      </c>
      <c r="B47" s="559" t="str">
        <f>+VLOOKUP($A47,Master!$D$27:$G$225,4,FALSE)</f>
        <v>Other Health Care Insurance</v>
      </c>
      <c r="C47" s="560"/>
      <c r="D47" s="560"/>
      <c r="E47" s="560"/>
      <c r="F47" s="560"/>
      <c r="G47" s="188">
        <f>+INDEX(DataEx!$1:$1048576,MATCH('2019'!$A47,DataEx!$D:$D,0),MATCH('2019'!G$6,DataEx!$7:$7,0))</f>
        <v>492655.92</v>
      </c>
      <c r="H47" s="188">
        <f>+INDEX(DataEx!$1:$1048576,MATCH('2019'!$A47,DataEx!$D:$D,0),MATCH('2019'!H$6,DataEx!$7:$7,0))</f>
        <v>1081000.8899999999</v>
      </c>
      <c r="I47" s="188">
        <f>+INDEX(DataEx!$1:$1048576,MATCH('2019'!$A47,DataEx!$D:$D,0),MATCH('2019'!I$6,DataEx!$7:$7,0))</f>
        <v>1075486.77</v>
      </c>
      <c r="J47" s="188">
        <f>+INDEX(DataEx!$1:$1048576,MATCH('2019'!$A47,DataEx!$D:$D,0),MATCH('2019'!J$6,DataEx!$7:$7,0))</f>
        <v>779978.55</v>
      </c>
      <c r="K47" s="188">
        <f>+INDEX(DataEx!$1:$1048576,MATCH('2019'!$A47,DataEx!$D:$D,0),MATCH('2019'!K$6,DataEx!$7:$7,0))</f>
        <v>905277.52</v>
      </c>
      <c r="L47" s="188">
        <f>+INDEX(DataEx!$1:$1048576,MATCH('2019'!$A47,DataEx!$D:$D,0),MATCH('2019'!L$6,DataEx!$7:$7,0))</f>
        <v>909731.61</v>
      </c>
      <c r="M47" s="188">
        <f>+INDEX(DataEx!$1:$1048576,MATCH('2019'!$A47,DataEx!$D:$D,0),MATCH('2019'!M$6,DataEx!$7:$7,0))</f>
        <v>1039591.19</v>
      </c>
      <c r="N47" s="188">
        <f>+INDEX(DataEx!$1:$1048576,MATCH('2019'!$A47,DataEx!$D:$D,0),MATCH('2019'!N$6,DataEx!$7:$7,0))</f>
        <v>741808.15</v>
      </c>
      <c r="O47" s="188">
        <f>+INDEX(DataEx!$1:$1048576,MATCH('2019'!$A47,DataEx!$D:$D,0),MATCH('2019'!O$6,DataEx!$7:$7,0))</f>
        <v>1105589.55</v>
      </c>
      <c r="P47" s="188">
        <f>+INDEX(DataEx!$1:$1048576,MATCH('2019'!$A47,DataEx!$D:$D,0),MATCH('2019'!P$6,DataEx!$7:$7,0))</f>
        <v>969966.85</v>
      </c>
      <c r="Q47" s="188">
        <f>+INDEX(DataEx!$1:$1048576,MATCH('2019'!$A47,DataEx!$D:$D,0),MATCH('2019'!Q$6,DataEx!$7:$7,0))</f>
        <v>0</v>
      </c>
      <c r="R47" s="188">
        <f>+INDEX(DataEx!$1:$1048576,MATCH('2019'!$A47,DataEx!$D:$D,0),MATCH('2019'!R$6,DataEx!$7:$7,0))</f>
        <v>0</v>
      </c>
      <c r="S47" s="269">
        <f t="shared" si="3"/>
        <v>9101087.0000000019</v>
      </c>
      <c r="T47" s="270">
        <f t="shared" si="4"/>
        <v>1.8893290569014557E-3</v>
      </c>
    </row>
    <row r="48" spans="1:22">
      <c r="A48" s="175">
        <v>43</v>
      </c>
      <c r="B48" s="486" t="str">
        <f>+VLOOKUP($A48,Master!$D$27:$G$225,4,FALSE)</f>
        <v xml:space="preserve">Transfers to Institutions, Individuals, NGO and Public Sector </v>
      </c>
      <c r="C48" s="487"/>
      <c r="D48" s="487"/>
      <c r="E48" s="487"/>
      <c r="F48" s="487"/>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16108536.07</v>
      </c>
      <c r="K48" s="200">
        <f>+INDEX(DataEx!$1:$1048576,MATCH('2019'!$A48,DataEx!$D:$D,0),MATCH('2019'!K$6,DataEx!$7:$7,0))</f>
        <v>17254969.68</v>
      </c>
      <c r="L48" s="200">
        <f>+INDEX(DataEx!$1:$1048576,MATCH('2019'!$A48,DataEx!$D:$D,0),MATCH('2019'!L$6,DataEx!$7:$7,0))</f>
        <v>13582731.800000001</v>
      </c>
      <c r="M48" s="200">
        <f>+INDEX(DataEx!$1:$1048576,MATCH('2019'!$A48,DataEx!$D:$D,0),MATCH('2019'!M$6,DataEx!$7:$7,0))</f>
        <v>25674739.879999999</v>
      </c>
      <c r="N48" s="200">
        <f>+INDEX(DataEx!$1:$1048576,MATCH('2019'!$A48,DataEx!$D:$D,0),MATCH('2019'!N$6,DataEx!$7:$7,0))</f>
        <v>14819789.789999999</v>
      </c>
      <c r="O48" s="200">
        <f>+INDEX(DataEx!$1:$1048576,MATCH('2019'!$A48,DataEx!$D:$D,0),MATCH('2019'!O$6,DataEx!$7:$7,0))</f>
        <v>22891347.969999999</v>
      </c>
      <c r="P48" s="200">
        <f>+INDEX(DataEx!$1:$1048576,MATCH('2019'!$A48,DataEx!$D:$D,0),MATCH('2019'!P$6,DataEx!$7:$7,0))</f>
        <v>17069504.329999998</v>
      </c>
      <c r="Q48" s="200">
        <f>+INDEX(DataEx!$1:$1048576,MATCH('2019'!$A48,DataEx!$D:$D,0),MATCH('2019'!Q$6,DataEx!$7:$7,0))</f>
        <v>0</v>
      </c>
      <c r="R48" s="274">
        <f>+INDEX(DataEx!$1:$1048576,MATCH('2019'!$A48,DataEx!$D:$D,0),MATCH('2019'!R$6,DataEx!$7:$7,0))</f>
        <v>0</v>
      </c>
      <c r="S48" s="272">
        <f t="shared" si="3"/>
        <v>178467676.83999997</v>
      </c>
      <c r="T48" s="273">
        <f t="shared" si="4"/>
        <v>3.7048779730543269E-2</v>
      </c>
    </row>
    <row r="49" spans="1:22">
      <c r="A49" s="175">
        <v>44</v>
      </c>
      <c r="B49" s="486" t="str">
        <f>+VLOOKUP($A49,Master!$D$27:$G$225,4,FALSE)</f>
        <v>Capital Expenditure</v>
      </c>
      <c r="C49" s="487"/>
      <c r="D49" s="487"/>
      <c r="E49" s="487"/>
      <c r="F49" s="487"/>
      <c r="G49" s="200">
        <f>+INDEX(DataEx!$1:$1048576,MATCH('2019'!$A49,DataEx!$D:$D,0),MATCH('2019'!G$6,DataEx!$7:$7,0))</f>
        <v>26828354.949999999</v>
      </c>
      <c r="H49" s="200">
        <f>+INDEX(DataEx!$1:$1048576,MATCH('2019'!$A49,DataEx!$D:$D,0),MATCH('2019'!H$6,DataEx!$7:$7,0))</f>
        <v>3690450.01</v>
      </c>
      <c r="I49" s="200">
        <f>+INDEX(DataEx!$1:$1048576,MATCH('2019'!$A49,DataEx!$D:$D,0),MATCH('2019'!I$6,DataEx!$7:$7,0))</f>
        <v>14930197.6</v>
      </c>
      <c r="J49" s="200">
        <f>+INDEX(DataEx!$1:$1048576,MATCH('2019'!$A49,DataEx!$D:$D,0),MATCH('2019'!J$6,DataEx!$7:$7,0))</f>
        <v>12096117.390000001</v>
      </c>
      <c r="K49" s="200">
        <f>+INDEX(DataEx!$1:$1048576,MATCH('2019'!$A49,DataEx!$D:$D,0),MATCH('2019'!K$6,DataEx!$7:$7,0))</f>
        <v>11464377.560000001</v>
      </c>
      <c r="L49" s="200">
        <f>+INDEX(DataEx!$1:$1048576,MATCH('2019'!$A49,DataEx!$D:$D,0),MATCH('2019'!L$6,DataEx!$7:$7,0))</f>
        <v>12842221.23</v>
      </c>
      <c r="M49" s="200">
        <f>+INDEX(DataEx!$1:$1048576,MATCH('2019'!$A49,DataEx!$D:$D,0),MATCH('2019'!M$6,DataEx!$7:$7,0))</f>
        <v>23205721.09</v>
      </c>
      <c r="N49" s="200">
        <f>+INDEX(DataEx!$1:$1048576,MATCH('2019'!$A49,DataEx!$D:$D,0),MATCH('2019'!N$6,DataEx!$7:$7,0))</f>
        <v>40874123.119999997</v>
      </c>
      <c r="O49" s="200">
        <f>+INDEX(DataEx!$1:$1048576,MATCH('2019'!$A49,DataEx!$D:$D,0),MATCH('2019'!O$6,DataEx!$7:$7,0))</f>
        <v>14054765.689999999</v>
      </c>
      <c r="P49" s="200">
        <f>+INDEX(DataEx!$1:$1048576,MATCH('2019'!$A49,DataEx!$D:$D,0),MATCH('2019'!P$6,DataEx!$7:$7,0))</f>
        <v>14440865.34</v>
      </c>
      <c r="Q49" s="200">
        <f>+INDEX(DataEx!$1:$1048576,MATCH('2019'!$A49,DataEx!$D:$D,0),MATCH('2019'!Q$6,DataEx!$7:$7,0))</f>
        <v>0</v>
      </c>
      <c r="R49" s="200">
        <f>+INDEX(DataEx!$1:$1048576,MATCH('2019'!$A49,DataEx!$D:$D,0),MATCH('2019'!R$6,DataEx!$7:$7,0))</f>
        <v>0</v>
      </c>
      <c r="S49" s="272">
        <f t="shared" si="3"/>
        <v>174427193.98000002</v>
      </c>
      <c r="T49" s="273">
        <f t="shared" si="4"/>
        <v>3.6210000618629473E-2</v>
      </c>
    </row>
    <row r="50" spans="1:22">
      <c r="A50" s="175">
        <v>451</v>
      </c>
      <c r="B50" s="553" t="str">
        <f>+VLOOKUP($A50,Master!$D$27:$G$225,4,FALSE)</f>
        <v>Credits and Borrowings</v>
      </c>
      <c r="C50" s="554"/>
      <c r="D50" s="554"/>
      <c r="E50" s="554"/>
      <c r="F50" s="554"/>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384534</v>
      </c>
      <c r="K50" s="188">
        <f>+INDEX(DataEx!$1:$1048576,MATCH('2019'!$A50,DataEx!$D:$D,0),MATCH('2019'!K$6,DataEx!$7:$7,0))</f>
        <v>260000</v>
      </c>
      <c r="L50" s="188">
        <f>+INDEX(DataEx!$1:$1048576,MATCH('2019'!$A50,DataEx!$D:$D,0),MATCH('2019'!L$6,DataEx!$7:$7,0))</f>
        <v>358750</v>
      </c>
      <c r="M50" s="188">
        <f>+INDEX(DataEx!$1:$1048576,MATCH('2019'!$A50,DataEx!$D:$D,0),MATCH('2019'!M$6,DataEx!$7:$7,0))</f>
        <v>335000</v>
      </c>
      <c r="N50" s="188">
        <f>+INDEX(DataEx!$1:$1048576,MATCH('2019'!$A50,DataEx!$D:$D,0),MATCH('2019'!N$6,DataEx!$7:$7,0))</f>
        <v>145000</v>
      </c>
      <c r="O50" s="188">
        <f>+INDEX(DataEx!$1:$1048576,MATCH('2019'!$A50,DataEx!$D:$D,0),MATCH('2019'!O$6,DataEx!$7:$7,0))</f>
        <v>298894</v>
      </c>
      <c r="P50" s="188">
        <f>+INDEX(DataEx!$1:$1048576,MATCH('2019'!$A50,DataEx!$D:$D,0),MATCH('2019'!P$6,DataEx!$7:$7,0))</f>
        <v>10000</v>
      </c>
      <c r="Q50" s="188">
        <f>+INDEX(DataEx!$1:$1048576,MATCH('2019'!$A50,DataEx!$D:$D,0),MATCH('2019'!Q$6,DataEx!$7:$7,0))</f>
        <v>0</v>
      </c>
      <c r="R50" s="188">
        <f>+INDEX(DataEx!$1:$1048576,MATCH('2019'!$A50,DataEx!$D:$D,0),MATCH('2019'!R$6,DataEx!$7:$7,0))</f>
        <v>0</v>
      </c>
      <c r="S50" s="269">
        <f t="shared" si="3"/>
        <v>2094501.98</v>
      </c>
      <c r="T50" s="270">
        <f t="shared" si="4"/>
        <v>4.3480558427269519E-4</v>
      </c>
    </row>
    <row r="51" spans="1:22">
      <c r="A51" s="175">
        <v>47</v>
      </c>
      <c r="B51" s="456" t="str">
        <f>+VLOOKUP($A51,Master!$D$27:$G$225,4,FALSE)</f>
        <v>Reserves</v>
      </c>
      <c r="C51" s="457"/>
      <c r="D51" s="457"/>
      <c r="E51" s="457"/>
      <c r="F51" s="457"/>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1806704.1</v>
      </c>
      <c r="K51" s="188">
        <f>+INDEX(DataEx!$1:$1048576,MATCH('2019'!$A51,DataEx!$D:$D,0),MATCH('2019'!K$6,DataEx!$7:$7,0))</f>
        <v>1407800</v>
      </c>
      <c r="L51" s="188">
        <f>+INDEX(DataEx!$1:$1048576,MATCH('2019'!$A51,DataEx!$D:$D,0),MATCH('2019'!L$6,DataEx!$7:$7,0))</f>
        <v>1291723.94</v>
      </c>
      <c r="M51" s="188">
        <f>+INDEX(DataEx!$1:$1048576,MATCH('2019'!$A51,DataEx!$D:$D,0),MATCH('2019'!M$6,DataEx!$7:$7,0))</f>
        <v>6488928.9000000004</v>
      </c>
      <c r="N51" s="188">
        <f>+INDEX(DataEx!$1:$1048576,MATCH('2019'!$A51,DataEx!$D:$D,0),MATCH('2019'!N$6,DataEx!$7:$7,0))</f>
        <v>433973.31</v>
      </c>
      <c r="O51" s="188">
        <f>+INDEX(DataEx!$1:$1048576,MATCH('2019'!$A51,DataEx!$D:$D,0),MATCH('2019'!O$6,DataEx!$7:$7,0))</f>
        <v>745665.27</v>
      </c>
      <c r="P51" s="188">
        <f>+INDEX(DataEx!$1:$1048576,MATCH('2019'!$A51,DataEx!$D:$D,0),MATCH('2019'!P$6,DataEx!$7:$7,0))</f>
        <v>424125.36</v>
      </c>
      <c r="Q51" s="188">
        <f>+INDEX(DataEx!$1:$1048576,MATCH('2019'!$A51,DataEx!$D:$D,0),MATCH('2019'!Q$6,DataEx!$7:$7,0))</f>
        <v>0</v>
      </c>
      <c r="R51" s="188">
        <f>+INDEX(DataEx!$1:$1048576,MATCH('2019'!$A51,DataEx!$D:$D,0),MATCH('2019'!R$6,DataEx!$7:$7,0))</f>
        <v>0</v>
      </c>
      <c r="S51" s="269">
        <f t="shared" si="3"/>
        <v>14830580.08</v>
      </c>
      <c r="T51" s="270">
        <f t="shared" si="4"/>
        <v>3.0787361856718775E-3</v>
      </c>
    </row>
    <row r="52" spans="1:22" ht="13.5" thickBot="1">
      <c r="A52" s="175">
        <v>462</v>
      </c>
      <c r="B52" s="474" t="str">
        <f>+VLOOKUP($A52,Master!$D$27:$G$225,4,FALSE)</f>
        <v>Repayment of Guarantees</v>
      </c>
      <c r="C52" s="475"/>
      <c r="D52" s="475"/>
      <c r="E52" s="475"/>
      <c r="F52" s="475"/>
      <c r="G52" s="224">
        <f>+INDEX(DataEx!$1:$1048576,MATCH('2019'!$A52,DataEx!$D:$D,0),MATCH('2019'!G$6,DataEx!$7:$7,0))</f>
        <v>2253720.0299999998</v>
      </c>
      <c r="H52" s="224">
        <f>+INDEX(DataEx!$1:$1048576,MATCH('2019'!$A52,DataEx!$D:$D,0),MATCH('2019'!H$6,DataEx!$7:$7,0))</f>
        <v>494.04</v>
      </c>
      <c r="I52" s="224">
        <f>+INDEX(DataEx!$1:$1048576,MATCH('2019'!$A52,DataEx!$D:$D,0),MATCH('2019'!I$6,DataEx!$7:$7,0))</f>
        <v>7180485.3399999999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9434699.4100000001</v>
      </c>
      <c r="T52" s="284">
        <f t="shared" si="4"/>
        <v>1.9585849183118473E-3</v>
      </c>
      <c r="U52" s="366"/>
    </row>
    <row r="53" spans="1:22" ht="13.5" thickBot="1">
      <c r="A53" s="169">
        <v>4630</v>
      </c>
      <c r="B53" s="555" t="str">
        <f>+VLOOKUP($A53,Master!$D$27:$G$225,4,TRUE)</f>
        <v>Repayments of Arrears</v>
      </c>
      <c r="C53" s="556"/>
      <c r="D53" s="556"/>
      <c r="E53" s="556"/>
      <c r="F53" s="556"/>
      <c r="G53" s="224">
        <f>+INDEX(DataEx!$1:$1048576,MATCH('2019'!$A53,DataEx!$D:$D,0),MATCH('2019'!G$6,DataEx!$7:$7,0))</f>
        <v>1205053.3500000001</v>
      </c>
      <c r="H53" s="224">
        <f>+INDEX(DataEx!$1:$1048576,MATCH('2019'!$A53,DataEx!$D:$D,0),MATCH('2019'!H$6,DataEx!$7:$7,0))</f>
        <v>1334117.25</v>
      </c>
      <c r="I53" s="224">
        <f>+INDEX(DataEx!$1:$1048576,MATCH('2019'!$A53,DataEx!$D:$D,0),MATCH('2019'!I$6,DataEx!$7:$7,0))</f>
        <v>1736748.41</v>
      </c>
      <c r="J53" s="224">
        <f>+INDEX(DataEx!$1:$1048576,MATCH('2019'!$A53,DataEx!$D:$D,0),MATCH('2019'!J$6,DataEx!$7:$7,0))</f>
        <v>1788599.55</v>
      </c>
      <c r="K53" s="224">
        <f>+INDEX(DataEx!$1:$1048576,MATCH('2019'!$A53,DataEx!$D:$D,0),MATCH('2019'!K$6,DataEx!$7:$7,0))</f>
        <v>1459507.08</v>
      </c>
      <c r="L53" s="224">
        <f>+INDEX(DataEx!$1:$1048576,MATCH('2019'!$A53,DataEx!$D:$D,0),MATCH('2019'!L$6,DataEx!$7:$7,0))</f>
        <v>1848609.33</v>
      </c>
      <c r="M53" s="224">
        <f>+INDEX(DataEx!$1:$1048576,MATCH('2019'!$A53,DataEx!$D:$D,0),MATCH('2019'!M$6,DataEx!$7:$7,0))</f>
        <v>4446503.8099999996</v>
      </c>
      <c r="N53" s="224">
        <f>+INDEX(DataEx!$1:$1048576,MATCH('2019'!$A53,DataEx!$D:$D,0),MATCH('2019'!N$6,DataEx!$7:$7,0))</f>
        <v>880815</v>
      </c>
      <c r="O53" s="224">
        <f>+INDEX(DataEx!$1:$1048576,MATCH('2019'!$A53,DataEx!$D:$D,0),MATCH('2019'!O$6,DataEx!$7:$7,0))</f>
        <v>1579978.54</v>
      </c>
      <c r="P53" s="224">
        <f>+INDEX(DataEx!$1:$1048576,MATCH('2019'!$A53,DataEx!$D:$D,0),MATCH('2019'!P$6,DataEx!$7:$7,0))</f>
        <v>1269302.99</v>
      </c>
      <c r="Q53" s="224">
        <f>+INDEX(DataEx!$1:$1048576,MATCH('2019'!$A53,DataEx!$D:$D,0),MATCH('2019'!Q$6,DataEx!$7:$7,0))</f>
        <v>0</v>
      </c>
      <c r="R53" s="224">
        <f>+INDEX(DataEx!$1:$1048576,MATCH('2019'!$A53,DataEx!$D:$D,0),MATCH('2019'!R$6,DataEx!$7:$7,0))</f>
        <v>0</v>
      </c>
      <c r="S53" s="433">
        <f>+SUM(G53:R53)</f>
        <v>17549235.309999995</v>
      </c>
      <c r="T53" s="284">
        <f>+S53/$T$7</f>
        <v>3.6431121027174014E-3</v>
      </c>
    </row>
    <row r="54" spans="1:22" ht="13.5" thickBot="1">
      <c r="A54" s="71">
        <v>1005</v>
      </c>
      <c r="B54" s="557" t="str">
        <f>+VLOOKUP($A54,Master!$D$27:$G$227,4,FALSE)</f>
        <v>Net increase of liabilities</v>
      </c>
      <c r="C54" s="558"/>
      <c r="D54" s="558"/>
      <c r="E54" s="558"/>
      <c r="F54" s="558"/>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80" t="str">
        <f>+VLOOKUP($A55,Master!$D$27:$G$225,4,FALSE)</f>
        <v>Surplus / deficit</v>
      </c>
      <c r="C55" s="481"/>
      <c r="D55" s="481"/>
      <c r="E55" s="481"/>
      <c r="F55" s="481"/>
      <c r="G55" s="176">
        <f t="shared" ref="G55:R55" si="9">+G10-G29</f>
        <v>-32332319.310000032</v>
      </c>
      <c r="H55" s="176">
        <f t="shared" si="9"/>
        <v>-14336573.959999993</v>
      </c>
      <c r="I55" s="176">
        <f t="shared" si="9"/>
        <v>-24619591.350000024</v>
      </c>
      <c r="J55" s="176">
        <f t="shared" si="9"/>
        <v>10120081.440000057</v>
      </c>
      <c r="K55" s="176">
        <f t="shared" si="9"/>
        <v>-2335242.0900000334</v>
      </c>
      <c r="L55" s="176">
        <f t="shared" si="9"/>
        <v>-805523.59000000358</v>
      </c>
      <c r="M55" s="176">
        <f t="shared" si="9"/>
        <v>-5256861.1400000155</v>
      </c>
      <c r="N55" s="176">
        <f t="shared" si="9"/>
        <v>14506929.229999989</v>
      </c>
      <c r="O55" s="176">
        <f t="shared" si="9"/>
        <v>16689979.840000004</v>
      </c>
      <c r="P55" s="176">
        <f t="shared" si="9"/>
        <v>2992113.5800000131</v>
      </c>
      <c r="Q55" s="176">
        <f t="shared" si="9"/>
        <v>0</v>
      </c>
      <c r="R55" s="176">
        <f t="shared" si="9"/>
        <v>0</v>
      </c>
      <c r="S55" s="285">
        <f t="shared" si="3"/>
        <v>-35377007.350000039</v>
      </c>
      <c r="T55" s="286">
        <f t="shared" si="4"/>
        <v>-7.3440466982209298E-3</v>
      </c>
    </row>
    <row r="56" spans="1:22" ht="13.5" thickBot="1">
      <c r="A56" s="169">
        <v>1001</v>
      </c>
      <c r="B56" s="482" t="str">
        <f>+VLOOKUP($A56,Master!$D$27:$G$225,4,FALSE)</f>
        <v>Primary balance</v>
      </c>
      <c r="C56" s="483"/>
      <c r="D56" s="483"/>
      <c r="E56" s="483"/>
      <c r="F56" s="483"/>
      <c r="G56" s="230">
        <f>+G55+G37</f>
        <v>-26177466.410000034</v>
      </c>
      <c r="H56" s="230">
        <f t="shared" ref="H56:R56" si="10">+H55+H37</f>
        <v>-13337232.419999994</v>
      </c>
      <c r="I56" s="230">
        <f t="shared" si="10"/>
        <v>4075922.2999999747</v>
      </c>
      <c r="J56" s="230">
        <f t="shared" si="10"/>
        <v>28555353.230000056</v>
      </c>
      <c r="K56" s="230">
        <f t="shared" si="10"/>
        <v>7923601.9799999669</v>
      </c>
      <c r="L56" s="230">
        <f t="shared" si="10"/>
        <v>4606243.3499999968</v>
      </c>
      <c r="M56" s="230">
        <f t="shared" si="10"/>
        <v>3790472.0599999838</v>
      </c>
      <c r="N56" s="230">
        <f t="shared" si="10"/>
        <v>15558196.559999989</v>
      </c>
      <c r="O56" s="230">
        <f t="shared" si="10"/>
        <v>19689365.770000003</v>
      </c>
      <c r="P56" s="230">
        <f t="shared" si="10"/>
        <v>4620239.7000000132</v>
      </c>
      <c r="Q56" s="230">
        <f t="shared" si="10"/>
        <v>0</v>
      </c>
      <c r="R56" s="230">
        <f t="shared" si="10"/>
        <v>0</v>
      </c>
      <c r="S56" s="285">
        <f t="shared" si="3"/>
        <v>49304696.119999953</v>
      </c>
      <c r="T56" s="286">
        <f t="shared" si="4"/>
        <v>1.0235348263478017E-2</v>
      </c>
    </row>
    <row r="57" spans="1:22">
      <c r="A57" s="169">
        <v>46</v>
      </c>
      <c r="B57" s="551" t="str">
        <f>+VLOOKUP($A57,Master!$D$27:$G$225,4,FALSE)</f>
        <v>Repayment of Debt</v>
      </c>
      <c r="C57" s="552"/>
      <c r="D57" s="552"/>
      <c r="E57" s="552"/>
      <c r="F57" s="552"/>
      <c r="G57" s="218">
        <f t="shared" ref="G57:R57" si="11">+SUM(G58:G59)</f>
        <v>19518367.399999999</v>
      </c>
      <c r="H57" s="218">
        <f t="shared" si="11"/>
        <v>67365423.120000005</v>
      </c>
      <c r="I57" s="218">
        <f t="shared" si="11"/>
        <v>17786584.469999999</v>
      </c>
      <c r="J57" s="200">
        <f t="shared" si="11"/>
        <v>18302050.879999999</v>
      </c>
      <c r="K57" s="218">
        <f t="shared" si="11"/>
        <v>183682731.81999999</v>
      </c>
      <c r="L57" s="218">
        <f t="shared" si="11"/>
        <v>11094774.199999999</v>
      </c>
      <c r="M57" s="218">
        <f t="shared" si="11"/>
        <v>80471032.019999996</v>
      </c>
      <c r="N57" s="218">
        <f t="shared" si="11"/>
        <v>57755617.170000002</v>
      </c>
      <c r="O57" s="218">
        <f t="shared" si="11"/>
        <v>17889318.350000001</v>
      </c>
      <c r="P57" s="218">
        <f t="shared" si="11"/>
        <v>11092379.140000001</v>
      </c>
      <c r="Q57" s="218">
        <f t="shared" si="11"/>
        <v>0</v>
      </c>
      <c r="R57" s="218">
        <f t="shared" si="11"/>
        <v>0</v>
      </c>
      <c r="S57" s="287">
        <f t="shared" si="3"/>
        <v>484958278.56999999</v>
      </c>
      <c r="T57" s="288">
        <f t="shared" si="4"/>
        <v>0.10067432242843204</v>
      </c>
      <c r="V57" s="383"/>
    </row>
    <row r="58" spans="1:22">
      <c r="A58" s="169">
        <v>4611</v>
      </c>
      <c r="B58" s="472" t="str">
        <f>+VLOOKUP($A58,Master!$D$27:$G$225,4,FALSE)</f>
        <v>Repayment of Domestic Debt</v>
      </c>
      <c r="C58" s="473"/>
      <c r="D58" s="473"/>
      <c r="E58" s="473"/>
      <c r="F58" s="473"/>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2291816.1800000002</v>
      </c>
      <c r="K58" s="236">
        <f>+INDEX(DataEx!$1:$1048576,MATCH('2019'!$A58,DataEx!$D:$D,0),MATCH('2019'!K$6,DataEx!$7:$7,0))</f>
        <v>5836708.6600000001</v>
      </c>
      <c r="L58" s="236">
        <f>+INDEX(DataEx!$1:$1048576,MATCH('2019'!$A58,DataEx!$D:$D,0),MATCH('2019'!L$6,DataEx!$7:$7,0))</f>
        <v>1304074.52</v>
      </c>
      <c r="M58" s="236">
        <f>+INDEX(DataEx!$1:$1048576,MATCH('2019'!$A58,DataEx!$D:$D,0),MATCH('2019'!M$6,DataEx!$7:$7,0))</f>
        <v>18837613.199999999</v>
      </c>
      <c r="N58" s="236">
        <f>+INDEX(DataEx!$1:$1048576,MATCH('2019'!$A58,DataEx!$D:$D,0),MATCH('2019'!N$6,DataEx!$7:$7,0))</f>
        <v>54838105.140000001</v>
      </c>
      <c r="O58" s="236">
        <f>+INDEX(DataEx!$1:$1048576,MATCH('2019'!$A58,DataEx!$D:$D,0),MATCH('2019'!O$6,DataEx!$7:$7,0))</f>
        <v>1831381.37</v>
      </c>
      <c r="P58" s="236">
        <f>+INDEX(DataEx!$1:$1048576,MATCH('2019'!$A58,DataEx!$D:$D,0),MATCH('2019'!P$6,DataEx!$7:$7,0))</f>
        <v>6571880.8899999997</v>
      </c>
      <c r="Q58" s="236">
        <f>+INDEX(DataEx!$1:$1048576,MATCH('2019'!$A58,DataEx!$D:$D,0),MATCH('2019'!Q$6,DataEx!$7:$7,0))</f>
        <v>0</v>
      </c>
      <c r="R58" s="236">
        <f>+INDEX(DataEx!$1:$1048576,MATCH('2019'!$A58,DataEx!$D:$D,0),MATCH('2019'!R$6,DataEx!$7:$7,0))</f>
        <v>0</v>
      </c>
      <c r="S58" s="289">
        <f t="shared" si="3"/>
        <v>175494134.59999999</v>
      </c>
      <c r="T58" s="290">
        <f t="shared" si="4"/>
        <v>3.6431490855493971E-2</v>
      </c>
    </row>
    <row r="59" spans="1:22" ht="13.5" thickBot="1">
      <c r="A59" s="169">
        <v>4612</v>
      </c>
      <c r="B59" s="456" t="str">
        <f>+VLOOKUP($A59,Master!$D$27:$G$225,4,FALSE)</f>
        <v>Repayment of Foreign Debt</v>
      </c>
      <c r="C59" s="457"/>
      <c r="D59" s="457"/>
      <c r="E59" s="457"/>
      <c r="F59" s="457"/>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16010234.699999999</v>
      </c>
      <c r="K59" s="236">
        <f>+INDEX(DataEx!$1:$1048576,MATCH('2019'!$A59,DataEx!$D:$D,0),MATCH('2019'!K$6,DataEx!$7:$7,0))</f>
        <v>177846023.16</v>
      </c>
      <c r="L59" s="236">
        <f>+INDEX(DataEx!$1:$1048576,MATCH('2019'!$A59,DataEx!$D:$D,0),MATCH('2019'!L$6,DataEx!$7:$7,0))</f>
        <v>9790699.6799999997</v>
      </c>
      <c r="M59" s="236">
        <f>+INDEX(DataEx!$1:$1048576,MATCH('2019'!$A59,DataEx!$D:$D,0),MATCH('2019'!M$6,DataEx!$7:$7,0))</f>
        <v>61633418.82</v>
      </c>
      <c r="N59" s="236">
        <f>+INDEX(DataEx!$1:$1048576,MATCH('2019'!$A59,DataEx!$D:$D,0),MATCH('2019'!N$6,DataEx!$7:$7,0))</f>
        <v>2917512.03</v>
      </c>
      <c r="O59" s="236">
        <f>+INDEX(DataEx!$1:$1048576,MATCH('2019'!$A59,DataEx!$D:$D,0),MATCH('2019'!O$6,DataEx!$7:$7,0))</f>
        <v>16057936.98</v>
      </c>
      <c r="P59" s="236">
        <f>+INDEX(DataEx!$1:$1048576,MATCH('2019'!$A59,DataEx!$D:$D,0),MATCH('2019'!P$6,DataEx!$7:$7,0))</f>
        <v>4520498.25</v>
      </c>
      <c r="Q59" s="236">
        <f>+INDEX(DataEx!$1:$1048576,MATCH('2019'!$A59,DataEx!$D:$D,0),MATCH('2019'!Q$6,DataEx!$7:$7,0))</f>
        <v>0</v>
      </c>
      <c r="R59" s="236">
        <f>+INDEX(DataEx!$1:$1048576,MATCH('2019'!$A59,DataEx!$D:$D,0),MATCH('2019'!R$6,DataEx!$7:$7,0))</f>
        <v>0</v>
      </c>
      <c r="S59" s="289">
        <f t="shared" si="3"/>
        <v>309464143.96999997</v>
      </c>
      <c r="T59" s="290">
        <f t="shared" si="4"/>
        <v>6.4242831572938072E-2</v>
      </c>
      <c r="V59" s="395"/>
    </row>
    <row r="60" spans="1:22" ht="13.5" thickBot="1">
      <c r="A60" s="169">
        <v>4418</v>
      </c>
      <c r="B60" s="551" t="str">
        <f>+VLOOKUP($A60,Master!$D$27:$G$225,4,FALSE)</f>
        <v>Capital Expenditure for Securities</v>
      </c>
      <c r="C60" s="552"/>
      <c r="D60" s="552"/>
      <c r="E60" s="552"/>
      <c r="F60" s="552"/>
      <c r="G60" s="218">
        <f>+INDEX(DataEx!$1:$1048576,MATCH('2019'!$A60,DataEx!$D:$D,0),MATCH('2019'!G$6,DataEx!$7:$7,0))</f>
        <v>0</v>
      </c>
      <c r="H60" s="218">
        <f>+INDEX(DataEx!$1:$1048576,MATCH('2019'!$A60,DataEx!$D:$D,0),MATCH('2019'!H$6,DataEx!$7:$7,0))</f>
        <v>35272.089999999997</v>
      </c>
      <c r="I60" s="218">
        <f>+INDEX(DataEx!$1:$1048576,MATCH('2019'!$A60,DataEx!$D:$D,0),MATCH('2019'!I$6,DataEx!$7:$7,0))</f>
        <v>0</v>
      </c>
      <c r="J60" s="218">
        <f>+INDEX(DataEx!$1:$1048576,MATCH('2019'!$A60,DataEx!$D:$D,0),MATCH('2019'!J$6,DataEx!$7:$7,0))</f>
        <v>39948396.369999997</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39983668.460000001</v>
      </c>
      <c r="T60" s="288">
        <f>+S60/$T$7</f>
        <v>8.3003608934836322E-3</v>
      </c>
      <c r="V60" s="395"/>
    </row>
    <row r="61" spans="1:22" ht="13.5" thickBot="1">
      <c r="A61" s="169">
        <v>1002</v>
      </c>
      <c r="B61" s="476" t="str">
        <f>+VLOOKUP($A61,Master!$D$27:$G$225,4,FALSE)</f>
        <v>Financing needs</v>
      </c>
      <c r="C61" s="477"/>
      <c r="D61" s="477"/>
      <c r="E61" s="477"/>
      <c r="F61" s="477"/>
      <c r="G61" s="242">
        <f>+G55-G57-G60</f>
        <v>-51850686.710000031</v>
      </c>
      <c r="H61" s="242">
        <f t="shared" ref="H61:R61" si="12">+H55-H57-H60</f>
        <v>-81737269.170000002</v>
      </c>
      <c r="I61" s="242">
        <f t="shared" si="12"/>
        <v>-42406175.820000023</v>
      </c>
      <c r="J61" s="242">
        <f t="shared" si="12"/>
        <v>-48130365.809999943</v>
      </c>
      <c r="K61" s="242">
        <f t="shared" si="12"/>
        <v>-186017973.91000003</v>
      </c>
      <c r="L61" s="242">
        <f t="shared" si="12"/>
        <v>-11900297.790000003</v>
      </c>
      <c r="M61" s="242">
        <f t="shared" si="12"/>
        <v>-85727893.160000011</v>
      </c>
      <c r="N61" s="242">
        <f t="shared" si="12"/>
        <v>-43248687.940000013</v>
      </c>
      <c r="O61" s="242">
        <f t="shared" si="12"/>
        <v>-1199338.5099999979</v>
      </c>
      <c r="P61" s="242">
        <f t="shared" si="12"/>
        <v>-8100265.5599999875</v>
      </c>
      <c r="Q61" s="242">
        <f t="shared" si="12"/>
        <v>0</v>
      </c>
      <c r="R61" s="242">
        <f t="shared" si="12"/>
        <v>0</v>
      </c>
      <c r="S61" s="291">
        <f t="shared" si="3"/>
        <v>-560318954.38</v>
      </c>
      <c r="T61" s="292">
        <f t="shared" si="4"/>
        <v>-0.1163187300201366</v>
      </c>
    </row>
    <row r="62" spans="1:22" ht="13.5" thickBot="1">
      <c r="A62" s="169">
        <v>1003</v>
      </c>
      <c r="B62" s="478" t="str">
        <f>+VLOOKUP($A62,Master!$D$27:$G$225,4,FALSE)</f>
        <v>Financing</v>
      </c>
      <c r="C62" s="479"/>
      <c r="D62" s="479"/>
      <c r="E62" s="479"/>
      <c r="F62" s="479"/>
      <c r="G62" s="176">
        <f>+SUM(G63:G66)</f>
        <v>51850686.710000031</v>
      </c>
      <c r="H62" s="176">
        <f t="shared" ref="H62:R62" si="13">+SUM(H63:H66)</f>
        <v>81737269.170000002</v>
      </c>
      <c r="I62" s="176">
        <f t="shared" si="13"/>
        <v>42406175.820000023</v>
      </c>
      <c r="J62" s="176">
        <f t="shared" si="13"/>
        <v>48130365.809999943</v>
      </c>
      <c r="K62" s="176">
        <f t="shared" si="13"/>
        <v>186017973.91000003</v>
      </c>
      <c r="L62" s="176">
        <f t="shared" si="13"/>
        <v>11900297.790000003</v>
      </c>
      <c r="M62" s="176">
        <f t="shared" si="13"/>
        <v>85727893.160000011</v>
      </c>
      <c r="N62" s="176">
        <f t="shared" si="13"/>
        <v>43248687.940000013</v>
      </c>
      <c r="O62" s="176">
        <f t="shared" si="13"/>
        <v>1199338.5099999979</v>
      </c>
      <c r="P62" s="176">
        <f t="shared" si="13"/>
        <v>8100265.5599999875</v>
      </c>
      <c r="Q62" s="176">
        <f t="shared" si="13"/>
        <v>0</v>
      </c>
      <c r="R62" s="176">
        <f t="shared" si="13"/>
        <v>0</v>
      </c>
      <c r="S62" s="293">
        <f t="shared" si="3"/>
        <v>560318954.38</v>
      </c>
      <c r="T62" s="294">
        <f t="shared" si="4"/>
        <v>0.1163187300201366</v>
      </c>
    </row>
    <row r="63" spans="1:22">
      <c r="A63" s="169">
        <v>7511</v>
      </c>
      <c r="B63" s="472" t="str">
        <f>+VLOOKUP($A63,Master!$D$27:$G$225,4,FALSE)</f>
        <v>Domestic Loans and Borrowings</v>
      </c>
      <c r="C63" s="473"/>
      <c r="D63" s="473"/>
      <c r="E63" s="473"/>
      <c r="F63" s="473"/>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74623000</v>
      </c>
      <c r="K63" s="236">
        <f>+INDEX(DataEx!$1:$1048576,MATCH('2019'!$A63,DataEx!$D:$D,0),MATCH('2019'!K$6,DataEx!$7:$7,0))</f>
        <v>67815000</v>
      </c>
      <c r="L63" s="236">
        <f>+INDEX(DataEx!$1:$1048576,MATCH('2019'!$A63,DataEx!$D:$D,0),MATCH('2019'!L$6,DataEx!$7:$7,0))</f>
        <v>0</v>
      </c>
      <c r="M63" s="236">
        <f>+INDEX(DataEx!$1:$1048576,MATCH('2019'!$A63,DataEx!$D:$D,0),MATCH('2019'!M$6,DataEx!$7:$7,0))</f>
        <v>18000000</v>
      </c>
      <c r="N63" s="236">
        <f>+INDEX(DataEx!$1:$1048576,MATCH('2019'!$A63,DataEx!$D:$D,0),MATCH('2019'!N$6,DataEx!$7:$7,0))</f>
        <v>54000000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286438000</v>
      </c>
      <c r="T63" s="290">
        <f t="shared" si="4"/>
        <v>5.9462747296091009E-2</v>
      </c>
    </row>
    <row r="64" spans="1:22">
      <c r="A64" s="169">
        <v>7512</v>
      </c>
      <c r="B64" s="456" t="str">
        <f>+VLOOKUP($A64,Master!$D$27:$G$225,4,FALSE)</f>
        <v>Foreign Loans and Borrowings</v>
      </c>
      <c r="C64" s="457"/>
      <c r="D64" s="457"/>
      <c r="E64" s="457"/>
      <c r="F64" s="457"/>
      <c r="G64" s="236">
        <f>+INDEX(DataEx!$1:$1048576,MATCH('2019'!$A64,DataEx!$D:$D,0),MATCH('2019'!G$6,DataEx!$7:$7,0))</f>
        <v>25748930.140000001</v>
      </c>
      <c r="H64" s="236">
        <f>+INDEX(DataEx!$1:$1048576,MATCH('2019'!$A64,DataEx!$D:$D,0),MATCH('2019'!H$6,DataEx!$7:$7,0))</f>
        <v>3819449.69</v>
      </c>
      <c r="I64" s="236">
        <f>+INDEX(DataEx!$1:$1048576,MATCH('2019'!$A64,DataEx!$D:$D,0),MATCH('2019'!I$6,DataEx!$7:$7,0))</f>
        <v>14059999.119999999</v>
      </c>
      <c r="J64" s="236">
        <f>+INDEX(DataEx!$1:$1048576,MATCH('2019'!$A64,DataEx!$D:$D,0),MATCH('2019'!J$6,DataEx!$7:$7,0))</f>
        <v>6496285.4699999997</v>
      </c>
      <c r="K64" s="236">
        <f>+INDEX(DataEx!$1:$1048576,MATCH('2019'!$A64,DataEx!$D:$D,0),MATCH('2019'!K$6,DataEx!$7:$7,0))</f>
        <v>7856343.8600000003</v>
      </c>
      <c r="L64" s="236">
        <f>+INDEX(DataEx!$1:$1048576,MATCH('2019'!$A64,DataEx!$D:$D,0),MATCH('2019'!L$6,DataEx!$7:$7,0))</f>
        <v>8784836.1999999993</v>
      </c>
      <c r="M64" s="236">
        <f>+INDEX(DataEx!$1:$1048576,MATCH('2019'!$A64,DataEx!$D:$D,0),MATCH('2019'!M$6,DataEx!$7:$7,0))</f>
        <v>2698966.86</v>
      </c>
      <c r="N64" s="236">
        <f>+INDEX(DataEx!$1:$1048576,MATCH('2019'!$A64,DataEx!$D:$D,0),MATCH('2019'!N$6,DataEx!$7:$7,0))</f>
        <v>32388565.289999999</v>
      </c>
      <c r="O64" s="236">
        <f>+INDEX(DataEx!$1:$1048576,MATCH('2019'!$A64,DataEx!$D:$D,0),MATCH('2019'!O$6,DataEx!$7:$7,0))</f>
        <v>1935839.29</v>
      </c>
      <c r="P64" s="236">
        <f>+INDEX(DataEx!$1:$1048576,MATCH('2019'!$A64,DataEx!$D:$D,0),MATCH('2019'!P$6,DataEx!$7:$7,0))</f>
        <v>0</v>
      </c>
      <c r="Q64" s="236">
        <f>+INDEX(DataEx!$1:$1048576,MATCH('2019'!$A64,DataEx!$D:$D,0),MATCH('2019'!Q$6,DataEx!$7:$7,0))</f>
        <v>0</v>
      </c>
      <c r="R64" s="236">
        <f>+INDEX(DataEx!$1:$1048576,MATCH('2019'!$A64,DataEx!$D:$D,0),MATCH('2019'!R$6,DataEx!$7:$7,0))</f>
        <v>0</v>
      </c>
      <c r="S64" s="289">
        <f t="shared" si="3"/>
        <v>103789215.92</v>
      </c>
      <c r="T64" s="290">
        <f t="shared" si="4"/>
        <v>2.154599570696062E-2</v>
      </c>
    </row>
    <row r="65" spans="1:20">
      <c r="A65" s="169">
        <v>72</v>
      </c>
      <c r="B65" s="456" t="str">
        <f>+VLOOKUP($A65,Master!$D$27:$G$225,4,FALSE)</f>
        <v>Revenues from Selling Assets</v>
      </c>
      <c r="C65" s="457"/>
      <c r="D65" s="457"/>
      <c r="E65" s="457"/>
      <c r="F65" s="457"/>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169636.46</v>
      </c>
      <c r="K65" s="236">
        <f>+INDEX(DataEx!$1:$1048576,MATCH('2019'!$A65,DataEx!$D:$D,0),MATCH('2019'!K$6,DataEx!$7:$7,0))</f>
        <v>223780.48000000001</v>
      </c>
      <c r="L65" s="236">
        <f>+INDEX(DataEx!$1:$1048576,MATCH('2019'!$A65,DataEx!$D:$D,0),MATCH('2019'!L$6,DataEx!$7:$7,0))</f>
        <v>722176.42</v>
      </c>
      <c r="M65" s="236">
        <f>+INDEX(DataEx!$1:$1048576,MATCH('2019'!$A65,DataEx!$D:$D,0),MATCH('2019'!M$6,DataEx!$7:$7,0))</f>
        <v>359609.29</v>
      </c>
      <c r="N65" s="236">
        <f>+INDEX(DataEx!$1:$1048576,MATCH('2019'!$A65,DataEx!$D:$D,0),MATCH('2019'!N$6,DataEx!$7:$7,0))</f>
        <v>176786.46</v>
      </c>
      <c r="O65" s="236">
        <f>+INDEX(DataEx!$1:$1048576,MATCH('2019'!$A65,DataEx!$D:$D,0),MATCH('2019'!O$6,DataEx!$7:$7,0))</f>
        <v>225833.46</v>
      </c>
      <c r="P65" s="236">
        <f>+INDEX(DataEx!$1:$1048576,MATCH('2019'!$A65,DataEx!$D:$D,0),MATCH('2019'!P$6,DataEx!$7:$7,0))</f>
        <v>679599.59</v>
      </c>
      <c r="Q65" s="236">
        <f>+INDEX(DataEx!$1:$1048576,MATCH('2019'!$A65,DataEx!$D:$D,0),MATCH('2019'!Q$6,DataEx!$7:$7,0))</f>
        <v>0</v>
      </c>
      <c r="R65" s="236">
        <f>+INDEX(DataEx!$1:$1048576,MATCH('2019'!$A65,DataEx!$D:$D,0),MATCH('2019'!R$6,DataEx!$7:$7,0))</f>
        <v>0</v>
      </c>
      <c r="S65" s="289">
        <f t="shared" si="3"/>
        <v>2941959.75</v>
      </c>
      <c r="T65" s="290">
        <f t="shared" si="4"/>
        <v>6.1073254655290526E-4</v>
      </c>
    </row>
    <row r="66" spans="1:20" ht="13.5" thickBot="1">
      <c r="A66" s="169">
        <v>1004</v>
      </c>
      <c r="B66" s="248" t="str">
        <f>+VLOOKUP($A66,Master!$D$27:$G$225,4,FALSE)</f>
        <v>Increase / decrease of deposits</v>
      </c>
      <c r="C66" s="249"/>
      <c r="D66" s="249"/>
      <c r="E66" s="249"/>
      <c r="F66" s="249"/>
      <c r="G66" s="250">
        <f>-G61-SUM(G63:G65)</f>
        <v>8075162.4400000274</v>
      </c>
      <c r="H66" s="250">
        <f t="shared" ref="H66:R66" si="14">-H61-SUM(H63:H65)</f>
        <v>23740423.570000008</v>
      </c>
      <c r="I66" s="250">
        <f t="shared" si="14"/>
        <v>28165629.150000021</v>
      </c>
      <c r="J66" s="250">
        <f t="shared" si="14"/>
        <v>-33158556.120000049</v>
      </c>
      <c r="K66" s="250">
        <f t="shared" si="14"/>
        <v>110122849.57000002</v>
      </c>
      <c r="L66" s="250">
        <f t="shared" si="14"/>
        <v>2393285.1700000037</v>
      </c>
      <c r="M66" s="250">
        <f t="shared" si="14"/>
        <v>64669317.010000013</v>
      </c>
      <c r="N66" s="250">
        <f t="shared" si="14"/>
        <v>-43316663.809999973</v>
      </c>
      <c r="O66" s="250">
        <f t="shared" si="14"/>
        <v>-962334.24000000209</v>
      </c>
      <c r="P66" s="250">
        <f t="shared" si="14"/>
        <v>7420665.9699999876</v>
      </c>
      <c r="Q66" s="250">
        <f t="shared" si="14"/>
        <v>0</v>
      </c>
      <c r="R66" s="250">
        <f t="shared" si="14"/>
        <v>0</v>
      </c>
      <c r="S66" s="295">
        <f>+SUM(G66:R66)</f>
        <v>167149778.71000007</v>
      </c>
      <c r="T66" s="296">
        <f t="shared" si="4"/>
        <v>3.4699254470532077E-2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43" t="str">
        <f>+Master!G252</f>
        <v>Planned Budget Execution</v>
      </c>
      <c r="C102" s="544"/>
      <c r="D102" s="544"/>
      <c r="E102" s="544"/>
      <c r="F102" s="544"/>
      <c r="G102" s="536">
        <v>2019</v>
      </c>
      <c r="H102" s="537"/>
      <c r="I102" s="537"/>
      <c r="J102" s="537"/>
      <c r="K102" s="537"/>
      <c r="L102" s="537"/>
      <c r="M102" s="537"/>
      <c r="N102" s="537"/>
      <c r="O102" s="537"/>
      <c r="P102" s="537"/>
      <c r="Q102" s="537"/>
      <c r="R102" s="538"/>
      <c r="S102" s="115" t="str">
        <f>+S7</f>
        <v>GDP</v>
      </c>
      <c r="T102" s="116">
        <f>+T7</f>
        <v>4817100000</v>
      </c>
    </row>
    <row r="103" spans="1:21" ht="15.75" customHeight="1">
      <c r="B103" s="545"/>
      <c r="C103" s="546"/>
      <c r="D103" s="546"/>
      <c r="E103" s="546"/>
      <c r="F103" s="547"/>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6" t="str">
        <f>+Master!G246</f>
        <v>Jan - Dec</v>
      </c>
      <c r="T103" s="538">
        <f>+T8</f>
        <v>0</v>
      </c>
    </row>
    <row r="104" spans="1:21" ht="13.5" thickBot="1">
      <c r="B104" s="548"/>
      <c r="C104" s="549"/>
      <c r="D104" s="549"/>
      <c r="E104" s="549"/>
      <c r="F104" s="550"/>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7">+CONCATENATE(A10,"p")</f>
        <v>7p</v>
      </c>
      <c r="B105" s="539" t="str">
        <f>+VLOOKUP(LEFT($A105,LEN(A105)-1)*1,Master!$D$27:$G$225,4,FALSE)</f>
        <v>Total Revenues</v>
      </c>
      <c r="C105" s="540"/>
      <c r="D105" s="540"/>
      <c r="E105" s="540"/>
      <c r="F105" s="540"/>
      <c r="G105" s="97">
        <f t="shared" ref="G105:R105" si="18">+G106+G114+SUM(G119:G123)</f>
        <v>107257935.59</v>
      </c>
      <c r="H105" s="97">
        <f t="shared" si="18"/>
        <v>116544625.95</v>
      </c>
      <c r="I105" s="97">
        <f t="shared" si="18"/>
        <v>147544680.63</v>
      </c>
      <c r="J105" s="97">
        <f t="shared" si="18"/>
        <v>165045416.33000001</v>
      </c>
      <c r="K105" s="97">
        <f t="shared" si="18"/>
        <v>144226839.65000001</v>
      </c>
      <c r="L105" s="97">
        <f t="shared" si="18"/>
        <v>143393601.47999999</v>
      </c>
      <c r="M105" s="97">
        <f t="shared" si="18"/>
        <v>163636678.97122747</v>
      </c>
      <c r="N105" s="97">
        <f t="shared" si="18"/>
        <v>164502209.05473346</v>
      </c>
      <c r="O105" s="97">
        <f t="shared" si="18"/>
        <v>151400956.73161691</v>
      </c>
      <c r="P105" s="97">
        <f t="shared" si="18"/>
        <v>188402533.23753721</v>
      </c>
      <c r="Q105" s="97">
        <f t="shared" si="18"/>
        <v>148714658.46197224</v>
      </c>
      <c r="R105" s="97">
        <f t="shared" si="18"/>
        <v>193362777.67647338</v>
      </c>
      <c r="S105" s="121">
        <f>+SUM(G105:R105)</f>
        <v>1834032913.7635608</v>
      </c>
      <c r="T105" s="122">
        <f>+S105/$T$7</f>
        <v>0.38073382611188489</v>
      </c>
    </row>
    <row r="106" spans="1:21">
      <c r="A106" s="137" t="str">
        <f t="shared" si="17"/>
        <v>711p</v>
      </c>
      <c r="B106" s="541" t="str">
        <f>+VLOOKUP(LEFT($A106,LEN(A106)-1)*1,Master!$D$27:$G$225,4,FALSE)</f>
        <v>Taxes</v>
      </c>
      <c r="C106" s="542"/>
      <c r="D106" s="542"/>
      <c r="E106" s="542"/>
      <c r="F106" s="542"/>
      <c r="G106" s="81">
        <f t="shared" ref="G106:R106" si="19">+SUM(G107:G113)</f>
        <v>72429730.420000002</v>
      </c>
      <c r="H106" s="81">
        <f t="shared" si="19"/>
        <v>68470908.439999998</v>
      </c>
      <c r="I106" s="81">
        <f t="shared" si="19"/>
        <v>98709545.510000005</v>
      </c>
      <c r="J106" s="81">
        <f t="shared" si="19"/>
        <v>106791818.52</v>
      </c>
      <c r="K106" s="81">
        <f t="shared" si="19"/>
        <v>94372185.030000001</v>
      </c>
      <c r="L106" s="81">
        <f t="shared" si="19"/>
        <v>89389439.689999998</v>
      </c>
      <c r="M106" s="81">
        <f t="shared" si="19"/>
        <v>106366803.00672032</v>
      </c>
      <c r="N106" s="81">
        <f t="shared" si="19"/>
        <v>110847613.63774106</v>
      </c>
      <c r="O106" s="81">
        <f t="shared" si="19"/>
        <v>101712748.66474015</v>
      </c>
      <c r="P106" s="81">
        <f t="shared" si="19"/>
        <v>96295636.228585869</v>
      </c>
      <c r="Q106" s="81">
        <f t="shared" si="19"/>
        <v>84393107.743797168</v>
      </c>
      <c r="R106" s="82">
        <f t="shared" si="19"/>
        <v>92890414.095145509</v>
      </c>
      <c r="S106" s="123">
        <f t="shared" ref="S106:S161" si="20">+SUM(G106:R106)</f>
        <v>1122669950.9867301</v>
      </c>
      <c r="T106" s="124">
        <f t="shared" ref="T106:T161" si="21">+S106/$T$7</f>
        <v>0.23305929936823611</v>
      </c>
      <c r="U106" s="302"/>
    </row>
    <row r="107" spans="1:21">
      <c r="A107" s="137" t="str">
        <f t="shared" si="17"/>
        <v>7111p</v>
      </c>
      <c r="B107" s="522" t="str">
        <f>+VLOOKUP(LEFT($A107,LEN(A107)-1)*1,Master!$D$27:$G$225,4,FALSE)</f>
        <v>Personal Income Tax</v>
      </c>
      <c r="C107" s="523"/>
      <c r="D107" s="523"/>
      <c r="E107" s="523"/>
      <c r="F107" s="523"/>
      <c r="G107" s="91">
        <f>+SUM(DataEx!FF220)</f>
        <v>4240913.8099999996</v>
      </c>
      <c r="H107" s="91">
        <f>+SUM(DataEx!FG220)</f>
        <v>9361661.1500000004</v>
      </c>
      <c r="I107" s="91">
        <f>+SUM(DataEx!FH220)</f>
        <v>9044961.5800000001</v>
      </c>
      <c r="J107" s="91">
        <f>+SUM(DataEx!FI220)</f>
        <v>10767101.800000001</v>
      </c>
      <c r="K107" s="91">
        <f>+SUM(DataEx!FJ220)</f>
        <v>10210712.41</v>
      </c>
      <c r="L107" s="91">
        <f>+SUM(DataEx!FK220)</f>
        <v>10125793.029999999</v>
      </c>
      <c r="M107" s="91">
        <f>+SUM(DataEx!FL220)</f>
        <v>10562928.102170853</v>
      </c>
      <c r="N107" s="91">
        <f>+SUM(DataEx!FM220)</f>
        <v>10477537.909352116</v>
      </c>
      <c r="O107" s="91">
        <f>+SUM(DataEx!FN220)</f>
        <v>8957410.6319850832</v>
      </c>
      <c r="P107" s="91">
        <f>+SUM(DataEx!FO220)</f>
        <v>9589847.5886837803</v>
      </c>
      <c r="Q107" s="91">
        <f>+SUM(DataEx!FP220)</f>
        <v>9803639.4384757541</v>
      </c>
      <c r="R107" s="91">
        <f>+SUM(DataEx!FQ220)</f>
        <v>17095010.594302431</v>
      </c>
      <c r="S107" s="125">
        <f t="shared" si="20"/>
        <v>120237518.04497004</v>
      </c>
      <c r="T107" s="126">
        <f t="shared" si="21"/>
        <v>2.4960560927730385E-2</v>
      </c>
    </row>
    <row r="108" spans="1:21">
      <c r="A108" s="137" t="str">
        <f t="shared" si="17"/>
        <v>7112p</v>
      </c>
      <c r="B108" s="522" t="str">
        <f>+VLOOKUP(LEFT($A108,LEN(A108)-1)*1,Master!$D$27:$G$225,4,FALSE)</f>
        <v>Corporate Income Tax</v>
      </c>
      <c r="C108" s="523"/>
      <c r="D108" s="523"/>
      <c r="E108" s="523"/>
      <c r="F108" s="523"/>
      <c r="G108" s="91">
        <f>+SUM(DataEx!FF221)</f>
        <v>936843.13</v>
      </c>
      <c r="H108" s="91">
        <f>+SUM(DataEx!FG221)</f>
        <v>1962550.32</v>
      </c>
      <c r="I108" s="91">
        <f>+SUM(DataEx!FH221)</f>
        <v>22465664.23</v>
      </c>
      <c r="J108" s="91">
        <f>+SUM(DataEx!FI221)</f>
        <v>20408432.98</v>
      </c>
      <c r="K108" s="91">
        <f>+SUM(DataEx!FJ221)</f>
        <v>4781744.7</v>
      </c>
      <c r="L108" s="91">
        <f>+SUM(DataEx!FK221)</f>
        <v>3678815</v>
      </c>
      <c r="M108" s="91">
        <f>+SUM(DataEx!FL221)</f>
        <v>4457741.7110314406</v>
      </c>
      <c r="N108" s="91">
        <f>+SUM(DataEx!FM221)</f>
        <v>2685443.6740218201</v>
      </c>
      <c r="O108" s="91">
        <f>+SUM(DataEx!FN221)</f>
        <v>2555024.3067054804</v>
      </c>
      <c r="P108" s="91">
        <f>+SUM(DataEx!FO221)</f>
        <v>5099414.7304318398</v>
      </c>
      <c r="Q108" s="91">
        <f>+SUM(DataEx!FP221)</f>
        <v>845177.9860074711</v>
      </c>
      <c r="R108" s="91">
        <f>+SUM(DataEx!FQ221)</f>
        <v>1318007.3637119438</v>
      </c>
      <c r="S108" s="125">
        <f t="shared" si="20"/>
        <v>71194860.131909981</v>
      </c>
      <c r="T108" s="126">
        <f t="shared" si="21"/>
        <v>1.477961016626393E-2</v>
      </c>
    </row>
    <row r="109" spans="1:21">
      <c r="A109" s="137" t="str">
        <f t="shared" si="17"/>
        <v>7113p</v>
      </c>
      <c r="B109" s="522" t="str">
        <f>+VLOOKUP(LEFT($A109,LEN(A109)-1)*1,Master!$D$27:$G$225,4,FALSE)</f>
        <v xml:space="preserve">Taxes on Sales of Property </v>
      </c>
      <c r="C109" s="523"/>
      <c r="D109" s="523"/>
      <c r="E109" s="523"/>
      <c r="F109" s="523"/>
      <c r="G109" s="91">
        <f>+SUM(DataEx!FF222)</f>
        <v>118243.45</v>
      </c>
      <c r="H109" s="91">
        <f>+SUM(DataEx!FG222)</f>
        <v>169568.16</v>
      </c>
      <c r="I109" s="91">
        <f>+SUM(DataEx!FH222)</f>
        <v>146352.49</v>
      </c>
      <c r="J109" s="91">
        <f>+SUM(DataEx!FI222)</f>
        <v>204359.36</v>
      </c>
      <c r="K109" s="91">
        <f>+SUM(DataEx!FJ222)</f>
        <v>147510.5</v>
      </c>
      <c r="L109" s="91">
        <f>+SUM(DataEx!FK222)</f>
        <v>158253.64000000001</v>
      </c>
      <c r="M109" s="91">
        <f>+SUM(DataEx!FL222)</f>
        <v>92289.827047712693</v>
      </c>
      <c r="N109" s="91">
        <f>+SUM(DataEx!FM222)</f>
        <v>199872.32178424072</v>
      </c>
      <c r="O109" s="91">
        <f>+SUM(DataEx!FN222)</f>
        <v>127416.86254210871</v>
      </c>
      <c r="P109" s="91">
        <f>+SUM(DataEx!FO222)</f>
        <v>134863.8150111227</v>
      </c>
      <c r="Q109" s="91">
        <f>+SUM(DataEx!FP222)</f>
        <v>174166.77614709371</v>
      </c>
      <c r="R109" s="91">
        <f>+SUM(DataEx!FQ222)</f>
        <v>189919.20786772171</v>
      </c>
      <c r="S109" s="125">
        <f t="shared" si="20"/>
        <v>1862816.4104000002</v>
      </c>
      <c r="T109" s="126">
        <f t="shared" si="21"/>
        <v>3.8670910099437427E-4</v>
      </c>
    </row>
    <row r="110" spans="1:21">
      <c r="A110" s="137" t="str">
        <f t="shared" si="17"/>
        <v>7114p</v>
      </c>
      <c r="B110" s="522" t="str">
        <f>+VLOOKUP(LEFT($A110,LEN(A110)-1)*1,Master!$D$27:$G$225,4,FALSE)</f>
        <v>Value Added Tax</v>
      </c>
      <c r="C110" s="523"/>
      <c r="D110" s="523"/>
      <c r="E110" s="523"/>
      <c r="F110" s="523"/>
      <c r="G110" s="91">
        <f>+SUM(DataEx!FF223)</f>
        <v>49847223.18</v>
      </c>
      <c r="H110" s="91">
        <f>+SUM(DataEx!FG223)</f>
        <v>38958365.399999999</v>
      </c>
      <c r="I110" s="91">
        <f>+SUM(DataEx!FH223)</f>
        <v>50498218.18</v>
      </c>
      <c r="J110" s="91">
        <f>+SUM(DataEx!FI223)</f>
        <v>55142838.460000001</v>
      </c>
      <c r="K110" s="91">
        <f>+SUM(DataEx!FJ223)</f>
        <v>56428341.859999999</v>
      </c>
      <c r="L110" s="91">
        <f>+SUM(DataEx!FK223)</f>
        <v>52810087.229999997</v>
      </c>
      <c r="M110" s="91">
        <f>+SUM(DataEx!FL223)</f>
        <v>64608697.993098304</v>
      </c>
      <c r="N110" s="91">
        <f>+SUM(DataEx!FM223)</f>
        <v>66890311.931873396</v>
      </c>
      <c r="O110" s="91">
        <f>+SUM(DataEx!FN223)</f>
        <v>59747048.514482997</v>
      </c>
      <c r="P110" s="91">
        <f>+SUM(DataEx!FO223)</f>
        <v>59046360.535818897</v>
      </c>
      <c r="Q110" s="91">
        <f>+SUM(DataEx!FP223)</f>
        <v>50298426.623042099</v>
      </c>
      <c r="R110" s="91">
        <f>+SUM(DataEx!FQ223)</f>
        <v>53629737.7635343</v>
      </c>
      <c r="S110" s="125">
        <f t="shared" si="20"/>
        <v>657905657.67184997</v>
      </c>
      <c r="T110" s="126">
        <f t="shared" si="21"/>
        <v>0.1365771226820805</v>
      </c>
    </row>
    <row r="111" spans="1:21">
      <c r="A111" s="137" t="str">
        <f t="shared" si="17"/>
        <v>7115p</v>
      </c>
      <c r="B111" s="522" t="str">
        <f>+VLOOKUP(LEFT($A111,LEN(A111)-1)*1,Master!$D$27:$G$225,4,FALSE)</f>
        <v>Excises</v>
      </c>
      <c r="C111" s="523"/>
      <c r="D111" s="523"/>
      <c r="E111" s="523"/>
      <c r="F111" s="523"/>
      <c r="G111" s="91">
        <f>+SUM(DataEx!FF224)</f>
        <v>15141217.210000001</v>
      </c>
      <c r="H111" s="91">
        <f>+SUM(DataEx!FG224)</f>
        <v>13186126.23</v>
      </c>
      <c r="I111" s="91">
        <f>+SUM(DataEx!FH224)</f>
        <v>13315087.640000001</v>
      </c>
      <c r="J111" s="91">
        <f>+SUM(DataEx!FI224)</f>
        <v>16826313.73</v>
      </c>
      <c r="K111" s="91">
        <f>+SUM(DataEx!FJ224)</f>
        <v>19442485.359999999</v>
      </c>
      <c r="L111" s="91">
        <f>+SUM(DataEx!FK224)</f>
        <v>19205497.870000001</v>
      </c>
      <c r="M111" s="91">
        <f>+SUM(DataEx!FL224)</f>
        <v>23502946.676267412</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234801605.29820004</v>
      </c>
      <c r="T111" s="126">
        <f t="shared" si="21"/>
        <v>4.8743352909053177E-2</v>
      </c>
    </row>
    <row r="112" spans="1:21">
      <c r="A112" s="137" t="str">
        <f t="shared" si="17"/>
        <v>7116p</v>
      </c>
      <c r="B112" s="522" t="str">
        <f>+VLOOKUP(LEFT($A112,LEN(A112)-1)*1,Master!$D$27:$G$225,4,FALSE)</f>
        <v>Tax on International Trade and Transactions</v>
      </c>
      <c r="C112" s="523"/>
      <c r="D112" s="523"/>
      <c r="E112" s="523"/>
      <c r="F112" s="523"/>
      <c r="G112" s="91">
        <f>+SUM(DataEx!FF225)</f>
        <v>1424968.68</v>
      </c>
      <c r="H112" s="91">
        <f>+SUM(DataEx!FG225)</f>
        <v>1733788.33</v>
      </c>
      <c r="I112" s="91">
        <f>+SUM(DataEx!FH225)</f>
        <v>2462209.73</v>
      </c>
      <c r="J112" s="91">
        <f>+SUM(DataEx!FI225)</f>
        <v>2531899.16</v>
      </c>
      <c r="K112" s="91">
        <f>+SUM(DataEx!FJ225)</f>
        <v>2502520.2799999998</v>
      </c>
      <c r="L112" s="91">
        <f>+SUM(DataEx!FK225)</f>
        <v>2485583.9700000002</v>
      </c>
      <c r="M112" s="91">
        <f>+SUM(DataEx!FL225)</f>
        <v>2731455.7201732523</v>
      </c>
      <c r="N112" s="91">
        <f>+SUM(DataEx!FM225)</f>
        <v>2787010.1046283157</v>
      </c>
      <c r="O112" s="91">
        <f>+SUM(DataEx!FN225)</f>
        <v>2149778.7308390578</v>
      </c>
      <c r="P112" s="91">
        <f>+SUM(DataEx!FO225)</f>
        <v>2505449.340977564</v>
      </c>
      <c r="Q112" s="91">
        <f>+SUM(DataEx!FP225)</f>
        <v>1854095.8458453817</v>
      </c>
      <c r="R112" s="91">
        <f>+SUM(DataEx!FQ225)</f>
        <v>1998829.9373364251</v>
      </c>
      <c r="S112" s="125">
        <f t="shared" si="20"/>
        <v>27167589.829800002</v>
      </c>
      <c r="T112" s="126">
        <f t="shared" si="21"/>
        <v>5.6398226795789999E-3</v>
      </c>
    </row>
    <row r="113" spans="1:20">
      <c r="A113" s="137" t="str">
        <f t="shared" si="17"/>
        <v>7118p</v>
      </c>
      <c r="B113" s="522" t="str">
        <f>+VLOOKUP(LEFT($A113,LEN(A113)-1)*1,Master!$D$27:$G$225,4,FALSE)</f>
        <v>Other Republic Taxes</v>
      </c>
      <c r="C113" s="523"/>
      <c r="D113" s="523"/>
      <c r="E113" s="523"/>
      <c r="F113" s="523"/>
      <c r="G113" s="91">
        <f>+SUM(DataEx!FF227)</f>
        <v>720320.96</v>
      </c>
      <c r="H113" s="91">
        <f>+SUM(DataEx!FG227)</f>
        <v>3098848.85</v>
      </c>
      <c r="I113" s="91">
        <f>+SUM(DataEx!FH227)</f>
        <v>777051.66</v>
      </c>
      <c r="J113" s="91">
        <f>+SUM(DataEx!FI227)</f>
        <v>910873.03</v>
      </c>
      <c r="K113" s="91">
        <f>+SUM(DataEx!FJ227)</f>
        <v>858869.92</v>
      </c>
      <c r="L113" s="91">
        <f>+SUM(DataEx!FK227)</f>
        <v>925408.95</v>
      </c>
      <c r="M113" s="91">
        <f>+SUM(DataEx!FL227)</f>
        <v>410742.9769313393</v>
      </c>
      <c r="N113" s="91">
        <f>+SUM(DataEx!FM227)</f>
        <v>392873.90234621655</v>
      </c>
      <c r="O113" s="91">
        <f>+SUM(DataEx!FN227)</f>
        <v>354922.73324901523</v>
      </c>
      <c r="P113" s="91">
        <f>+SUM(DataEx!FO227)</f>
        <v>325827.84998510586</v>
      </c>
      <c r="Q113" s="91">
        <f>+SUM(DataEx!FP227)</f>
        <v>340887.93377701013</v>
      </c>
      <c r="R113" s="91">
        <f>+SUM(DataEx!FQ227)</f>
        <v>383274.83331131347</v>
      </c>
      <c r="S113" s="125">
        <f t="shared" si="20"/>
        <v>9499903.5996000003</v>
      </c>
      <c r="T113" s="126">
        <f t="shared" si="21"/>
        <v>1.9721209025347201E-3</v>
      </c>
    </row>
    <row r="114" spans="1:20">
      <c r="A114" s="137" t="str">
        <f t="shared" si="17"/>
        <v>712p</v>
      </c>
      <c r="B114" s="534" t="str">
        <f>+VLOOKUP(LEFT($A114,LEN(A114)-1)*1,Master!$D$27:$G$225,4,FALSE)</f>
        <v>Contributions</v>
      </c>
      <c r="C114" s="535"/>
      <c r="D114" s="535"/>
      <c r="E114" s="535"/>
      <c r="F114" s="535"/>
      <c r="G114" s="83">
        <f>+SUM(G115:G118)</f>
        <v>16498881.48</v>
      </c>
      <c r="H114" s="83">
        <f t="shared" ref="H114:R114" si="22">+SUM(H115:H118)</f>
        <v>41912269.38000001</v>
      </c>
      <c r="I114" s="83">
        <f t="shared" si="22"/>
        <v>41047599.18</v>
      </c>
      <c r="J114" s="83">
        <f t="shared" si="22"/>
        <v>50290988.940000005</v>
      </c>
      <c r="K114" s="83">
        <f t="shared" si="22"/>
        <v>37496285.130000003</v>
      </c>
      <c r="L114" s="83">
        <f t="shared" si="22"/>
        <v>45280786.510000005</v>
      </c>
      <c r="M114" s="83">
        <f t="shared" si="22"/>
        <v>46250891.035691187</v>
      </c>
      <c r="N114" s="83">
        <f t="shared" si="22"/>
        <v>44632014.674295112</v>
      </c>
      <c r="O114" s="83">
        <f t="shared" si="22"/>
        <v>41120271.333377153</v>
      </c>
      <c r="P114" s="83">
        <f t="shared" si="22"/>
        <v>46928850.635902815</v>
      </c>
      <c r="Q114" s="83">
        <f t="shared" si="22"/>
        <v>44128259.697538294</v>
      </c>
      <c r="R114" s="84">
        <f t="shared" si="22"/>
        <v>78626416.07852602</v>
      </c>
      <c r="S114" s="127">
        <f t="shared" si="20"/>
        <v>534213514.07533062</v>
      </c>
      <c r="T114" s="128">
        <f t="shared" si="21"/>
        <v>0.11089940297592547</v>
      </c>
    </row>
    <row r="115" spans="1:20">
      <c r="A115" s="137" t="str">
        <f t="shared" si="17"/>
        <v>7121p</v>
      </c>
      <c r="B115" s="522" t="str">
        <f>+VLOOKUP(LEFT($A115,LEN(A115)-1)*1,Master!$D$27:$G$225,4,FALSE)</f>
        <v>Contributions for Pension and Disability Insurance</v>
      </c>
      <c r="C115" s="523"/>
      <c r="D115" s="523"/>
      <c r="E115" s="523"/>
      <c r="F115" s="523"/>
      <c r="G115" s="91">
        <f>+SUM(DataEx!FF229)</f>
        <v>9695765.5800000001</v>
      </c>
      <c r="H115" s="91">
        <f>+SUM(DataEx!FG229)</f>
        <v>24593790.260000002</v>
      </c>
      <c r="I115" s="91">
        <f>+SUM(DataEx!FH229)</f>
        <v>23923752.719999999</v>
      </c>
      <c r="J115" s="91">
        <f>+SUM(DataEx!FI229)</f>
        <v>29650595.870000001</v>
      </c>
      <c r="K115" s="91">
        <f>+SUM(DataEx!FJ229)</f>
        <v>22104934.850000001</v>
      </c>
      <c r="L115" s="91">
        <f>+SUM(DataEx!FK229)</f>
        <v>27009559.609999999</v>
      </c>
      <c r="M115" s="91">
        <f>+SUM(DataEx!FL229)</f>
        <v>27482444.037160631</v>
      </c>
      <c r="N115" s="91">
        <f>+SUM(DataEx!FM229)</f>
        <v>27981870.622507609</v>
      </c>
      <c r="O115" s="91">
        <f>+SUM(DataEx!FN229)</f>
        <v>26275213.096976332</v>
      </c>
      <c r="P115" s="91">
        <f>+SUM(DataEx!FO229)</f>
        <v>30509092.335605875</v>
      </c>
      <c r="Q115" s="91">
        <f>+SUM(DataEx!FP229)</f>
        <v>28690565.779876817</v>
      </c>
      <c r="R115" s="91">
        <f>+SUM(DataEx!FQ229)</f>
        <v>49959164.412414543</v>
      </c>
      <c r="S115" s="125">
        <f t="shared" si="20"/>
        <v>327876749.17454183</v>
      </c>
      <c r="T115" s="126">
        <f t="shared" si="21"/>
        <v>6.8065173896024955E-2</v>
      </c>
    </row>
    <row r="116" spans="1:20">
      <c r="A116" s="137" t="str">
        <f t="shared" si="17"/>
        <v>7122p</v>
      </c>
      <c r="B116" s="522" t="str">
        <f>+VLOOKUP(LEFT($A116,LEN(A116)-1)*1,Master!$D$27:$G$225,4,FALSE)</f>
        <v>Contributions for Health Insurance</v>
      </c>
      <c r="C116" s="523"/>
      <c r="D116" s="523"/>
      <c r="E116" s="523"/>
      <c r="F116" s="523"/>
      <c r="G116" s="91">
        <f>+SUM(DataEx!FF230)</f>
        <v>5963049.2000000002</v>
      </c>
      <c r="H116" s="91">
        <f>+SUM(DataEx!FG230)</f>
        <v>15122476.890000001</v>
      </c>
      <c r="I116" s="91">
        <f>+SUM(DataEx!FH230)</f>
        <v>14777265.789999999</v>
      </c>
      <c r="J116" s="91">
        <f>+SUM(DataEx!FI230)</f>
        <v>17925167.550000001</v>
      </c>
      <c r="K116" s="91">
        <f>+SUM(DataEx!FJ230)</f>
        <v>13458982.5</v>
      </c>
      <c r="L116" s="91">
        <f>+SUM(DataEx!FK230)</f>
        <v>15925774.34</v>
      </c>
      <c r="M116" s="91">
        <f>+SUM(DataEx!FL230)</f>
        <v>16394230.760278165</v>
      </c>
      <c r="N116" s="91">
        <f>+SUM(DataEx!FM230)</f>
        <v>14239936.351746917</v>
      </c>
      <c r="O116" s="91">
        <f>+SUM(DataEx!FN230)</f>
        <v>12682409.588332439</v>
      </c>
      <c r="P116" s="91">
        <f>+SUM(DataEx!FO230)</f>
        <v>14130176.222576067</v>
      </c>
      <c r="Q116" s="91">
        <f>+SUM(DataEx!FP230)</f>
        <v>13398296.64486525</v>
      </c>
      <c r="R116" s="91">
        <f>+SUM(DataEx!FQ230)</f>
        <v>24833575.886677179</v>
      </c>
      <c r="S116" s="125">
        <f t="shared" si="20"/>
        <v>178851341.72447601</v>
      </c>
      <c r="T116" s="126">
        <f t="shared" si="21"/>
        <v>3.7128426174353038E-2</v>
      </c>
    </row>
    <row r="117" spans="1:20">
      <c r="A117" s="137" t="str">
        <f t="shared" si="17"/>
        <v>7123p</v>
      </c>
      <c r="B117" s="522" t="str">
        <f>+VLOOKUP(LEFT($A117,LEN(A117)-1)*1,Master!$D$27:$G$225,4,FALSE)</f>
        <v>Contributions for  Unemployment Insurance</v>
      </c>
      <c r="C117" s="523"/>
      <c r="D117" s="523"/>
      <c r="E117" s="523"/>
      <c r="F117" s="523"/>
      <c r="G117" s="91">
        <f>+SUM(DataEx!FF231)</f>
        <v>459881.42</v>
      </c>
      <c r="H117" s="91">
        <f>+SUM(DataEx!FG231)</f>
        <v>1160315.8500000001</v>
      </c>
      <c r="I117" s="91">
        <f>+SUM(DataEx!FH231)</f>
        <v>1135767.8899999999</v>
      </c>
      <c r="J117" s="91">
        <f>+SUM(DataEx!FI231)</f>
        <v>1375720.59</v>
      </c>
      <c r="K117" s="91">
        <f>+SUM(DataEx!FJ231)</f>
        <v>1026106.03</v>
      </c>
      <c r="L117" s="91">
        <f>+SUM(DataEx!FK231)</f>
        <v>1222753.49</v>
      </c>
      <c r="M117" s="91">
        <f>+SUM(DataEx!FL231)</f>
        <v>1142926.9664523243</v>
      </c>
      <c r="N117" s="91">
        <f>+SUM(DataEx!FM231)</f>
        <v>1304199.4730337204</v>
      </c>
      <c r="O117" s="91">
        <f>+SUM(DataEx!FN231)</f>
        <v>1183707.9939274685</v>
      </c>
      <c r="P117" s="91">
        <f>+SUM(DataEx!FO231)</f>
        <v>1329191.3701360417</v>
      </c>
      <c r="Q117" s="91">
        <f>+SUM(DataEx!FP231)</f>
        <v>1263549.4031596093</v>
      </c>
      <c r="R117" s="91">
        <f>+SUM(DataEx!FQ231)</f>
        <v>2346588.9629115779</v>
      </c>
      <c r="S117" s="125">
        <f t="shared" si="20"/>
        <v>14950709.439620741</v>
      </c>
      <c r="T117" s="126">
        <f t="shared" si="21"/>
        <v>3.10367429358343E-3</v>
      </c>
    </row>
    <row r="118" spans="1:20">
      <c r="A118" s="137" t="str">
        <f t="shared" si="17"/>
        <v>7124p</v>
      </c>
      <c r="B118" s="522" t="str">
        <f>+VLOOKUP(LEFT($A118,LEN(A118)-1)*1,Master!$D$27:$G$225,4,FALSE)</f>
        <v>Other contributions</v>
      </c>
      <c r="C118" s="523"/>
      <c r="D118" s="523"/>
      <c r="E118" s="523"/>
      <c r="F118" s="523"/>
      <c r="G118" s="91">
        <f>+SUM(DataEx!FF232)</f>
        <v>380185.28</v>
      </c>
      <c r="H118" s="91">
        <f>+SUM(DataEx!FG232)</f>
        <v>1035686.38</v>
      </c>
      <c r="I118" s="91">
        <f>+SUM(DataEx!FH232)</f>
        <v>1210812.78</v>
      </c>
      <c r="J118" s="91">
        <f>+SUM(DataEx!FI232)</f>
        <v>1339504.93</v>
      </c>
      <c r="K118" s="91">
        <f>+SUM(DataEx!FJ232)</f>
        <v>906261.75</v>
      </c>
      <c r="L118" s="91">
        <f>+SUM(DataEx!FK232)</f>
        <v>1122699.07</v>
      </c>
      <c r="M118" s="91">
        <f>+SUM(DataEx!FL232)</f>
        <v>1231289.271800064</v>
      </c>
      <c r="N118" s="91">
        <f>+SUM(DataEx!FM232)</f>
        <v>1106008.2270068659</v>
      </c>
      <c r="O118" s="91">
        <f>+SUM(DataEx!FN232)</f>
        <v>978940.65414091514</v>
      </c>
      <c r="P118" s="91">
        <f>+SUM(DataEx!FO232)</f>
        <v>960390.70758482651</v>
      </c>
      <c r="Q118" s="91">
        <f>+SUM(DataEx!FP232)</f>
        <v>775847.86963662016</v>
      </c>
      <c r="R118" s="91">
        <f>+SUM(DataEx!FQ232)</f>
        <v>1487086.8165227156</v>
      </c>
      <c r="S118" s="125">
        <f t="shared" si="20"/>
        <v>12534713.736692008</v>
      </c>
      <c r="T118" s="126">
        <f t="shared" si="21"/>
        <v>2.6021286119640463E-3</v>
      </c>
    </row>
    <row r="119" spans="1:20">
      <c r="A119" s="137" t="str">
        <f t="shared" si="17"/>
        <v>713p</v>
      </c>
      <c r="B119" s="526" t="str">
        <f>+VLOOKUP(LEFT($A119,LEN(A119)-1)*1,Master!$D$27:$G$225,4,FALSE)</f>
        <v>Duties</v>
      </c>
      <c r="C119" s="527"/>
      <c r="D119" s="527"/>
      <c r="E119" s="527"/>
      <c r="F119" s="527"/>
      <c r="G119" s="85">
        <f>+SUM(DataEx!FF233)</f>
        <v>851162.27</v>
      </c>
      <c r="H119" s="85">
        <f>+SUM(DataEx!FG233)</f>
        <v>1041125.3899999999</v>
      </c>
      <c r="I119" s="85">
        <f>+SUM(DataEx!FH233)</f>
        <v>1066481.8799999999</v>
      </c>
      <c r="J119" s="85">
        <f>+SUM(DataEx!FI233)</f>
        <v>1290371.49</v>
      </c>
      <c r="K119" s="85">
        <f>+SUM(DataEx!FJ233)</f>
        <v>1208813.17</v>
      </c>
      <c r="L119" s="85">
        <f>+SUM(DataEx!FK233)</f>
        <v>1252534.6599999999</v>
      </c>
      <c r="M119" s="85">
        <f>+SUM(DataEx!FL233)</f>
        <v>1795731.4641523927</v>
      </c>
      <c r="N119" s="85">
        <f>+SUM(DataEx!FM233)</f>
        <v>1701456.5372229549</v>
      </c>
      <c r="O119" s="85">
        <f>+SUM(DataEx!FN233)</f>
        <v>1388736.0694359436</v>
      </c>
      <c r="P119" s="85">
        <f>+SUM(DataEx!FO233)</f>
        <v>1341528.8515351652</v>
      </c>
      <c r="Q119" s="85">
        <f>+SUM(DataEx!FP233)</f>
        <v>1134405.6022195939</v>
      </c>
      <c r="R119" s="85">
        <f>+SUM(DataEx!FQ233)</f>
        <v>1246141.5409339513</v>
      </c>
      <c r="S119" s="127">
        <f t="shared" si="20"/>
        <v>15318488.925500004</v>
      </c>
      <c r="T119" s="128">
        <f t="shared" si="21"/>
        <v>3.1800230274438984E-3</v>
      </c>
    </row>
    <row r="120" spans="1:20">
      <c r="A120" s="137" t="str">
        <f t="shared" si="17"/>
        <v>714p</v>
      </c>
      <c r="B120" s="526" t="str">
        <f>+VLOOKUP(LEFT($A120,LEN(A120)-1)*1,Master!$D$27:$G$225,4,FALSE)</f>
        <v>Fees</v>
      </c>
      <c r="C120" s="527"/>
      <c r="D120" s="527"/>
      <c r="E120" s="527"/>
      <c r="F120" s="527"/>
      <c r="G120" s="85">
        <f>+SUM(DataEx!FF238)</f>
        <v>2315003.25</v>
      </c>
      <c r="H120" s="85">
        <f>+SUM(DataEx!FG238)</f>
        <v>1541397.86</v>
      </c>
      <c r="I120" s="85">
        <f>+SUM(DataEx!FH238)</f>
        <v>2408517.5</v>
      </c>
      <c r="J120" s="85">
        <f>+SUM(DataEx!FI238)</f>
        <v>3310133.38</v>
      </c>
      <c r="K120" s="85">
        <f>+SUM(DataEx!FJ238)</f>
        <v>1792591.2</v>
      </c>
      <c r="L120" s="85">
        <f>+SUM(DataEx!FK238)</f>
        <v>2081141.31</v>
      </c>
      <c r="M120" s="85">
        <f>+SUM(DataEx!FL238)</f>
        <v>3811615.3822946725</v>
      </c>
      <c r="N120" s="85">
        <f>+SUM(DataEx!FM238)</f>
        <v>2369139.8885664819</v>
      </c>
      <c r="O120" s="85">
        <f>+SUM(DataEx!FN238)</f>
        <v>2509036.584840606</v>
      </c>
      <c r="P120" s="85">
        <f>+SUM(DataEx!FO238)</f>
        <v>3286740.3746407013</v>
      </c>
      <c r="Q120" s="85">
        <f>+SUM(DataEx!FP238)</f>
        <v>2611990.4957672656</v>
      </c>
      <c r="R120" s="85">
        <f>+SUM(DataEx!FQ238)</f>
        <v>3353537.6354902741</v>
      </c>
      <c r="S120" s="127">
        <f t="shared" si="20"/>
        <v>31390844.861600004</v>
      </c>
      <c r="T120" s="128">
        <f t="shared" si="21"/>
        <v>6.5165441576051988E-3</v>
      </c>
    </row>
    <row r="121" spans="1:20">
      <c r="A121" s="137" t="str">
        <f t="shared" si="17"/>
        <v>715p</v>
      </c>
      <c r="B121" s="526" t="str">
        <f>+VLOOKUP(LEFT($A121,LEN(A121)-1)*1,Master!$D$27:$G$225,4,FALSE)</f>
        <v>Other revenues</v>
      </c>
      <c r="C121" s="527"/>
      <c r="D121" s="527"/>
      <c r="E121" s="527"/>
      <c r="F121" s="527"/>
      <c r="G121" s="85">
        <f>+SUM(DataEx!FF245)</f>
        <v>1567288.04</v>
      </c>
      <c r="H121" s="85">
        <f>+SUM(DataEx!FG245)</f>
        <v>2199531.1</v>
      </c>
      <c r="I121" s="85">
        <f>+SUM(DataEx!FH245)</f>
        <v>3194097.81</v>
      </c>
      <c r="J121" s="85">
        <f>+SUM(DataEx!FI245)</f>
        <v>2385711.15</v>
      </c>
      <c r="K121" s="85">
        <f>+SUM(DataEx!FJ245)</f>
        <v>7159438.3900000006</v>
      </c>
      <c r="L121" s="85">
        <f>+SUM(DataEx!FK245)</f>
        <v>3263135.44</v>
      </c>
      <c r="M121" s="85">
        <f>+SUM(DataEx!FL245)</f>
        <v>3782335.0282840966</v>
      </c>
      <c r="N121" s="85">
        <f>+SUM(DataEx!FM245)</f>
        <v>3340173.0404689522</v>
      </c>
      <c r="O121" s="85">
        <f>+SUM(DataEx!FN245)</f>
        <v>2689732.0664405972</v>
      </c>
      <c r="P121" s="85">
        <f>+SUM(DataEx!FO245)</f>
        <v>37215962.809770532</v>
      </c>
      <c r="Q121" s="85">
        <f>+SUM(DataEx!FP245)</f>
        <v>3512092.3071244648</v>
      </c>
      <c r="R121" s="85">
        <f>+SUM(DataEx!FQ245)</f>
        <v>7138953.7303113183</v>
      </c>
      <c r="S121" s="127">
        <f t="shared" si="20"/>
        <v>77448450.912399963</v>
      </c>
      <c r="T121" s="128">
        <f t="shared" si="21"/>
        <v>1.607781671802536E-2</v>
      </c>
    </row>
    <row r="122" spans="1:20">
      <c r="A122" s="137" t="str">
        <f t="shared" si="17"/>
        <v>73p</v>
      </c>
      <c r="B122" s="526" t="str">
        <f>+VLOOKUP(LEFT($A122,LEN(A122)-1)*1,Master!$D$27:$G$225,4,FALSE)</f>
        <v>Receipts from Repayment of Loans and Funds Carried over from Previous Year</v>
      </c>
      <c r="C122" s="527"/>
      <c r="D122" s="527"/>
      <c r="E122" s="527"/>
      <c r="F122" s="527"/>
      <c r="G122" s="85">
        <f>+SUM(DataEx!FF253)</f>
        <v>69158.880000000005</v>
      </c>
      <c r="H122" s="85">
        <f>+SUM(DataEx!FG253)</f>
        <v>378338.04</v>
      </c>
      <c r="I122" s="85">
        <f>+SUM(DataEx!FH253)</f>
        <v>257172.98</v>
      </c>
      <c r="J122" s="85">
        <f>+SUM(DataEx!FI253)</f>
        <v>349238.34</v>
      </c>
      <c r="K122" s="85">
        <f>+SUM(DataEx!FJ253)</f>
        <v>808656.23</v>
      </c>
      <c r="L122" s="85">
        <f>+SUM(DataEx!FK253)</f>
        <v>1298753.81</v>
      </c>
      <c r="M122" s="85">
        <f>+SUM(DataEx!FL253)</f>
        <v>142080.0960214606</v>
      </c>
      <c r="N122" s="85">
        <f>+SUM(DataEx!FM253)</f>
        <v>117083.56784272524</v>
      </c>
      <c r="O122" s="85">
        <f>+SUM(DataEx!FN253)</f>
        <v>723504.94882674748</v>
      </c>
      <c r="P122" s="85">
        <f>+SUM(DataEx!FO253)</f>
        <v>419152.39381785714</v>
      </c>
      <c r="Q122" s="85">
        <f>+SUM(DataEx!FP253)</f>
        <v>3373987.8037220733</v>
      </c>
      <c r="R122" s="85">
        <f>+SUM(DataEx!FQ253)</f>
        <v>574536.91176913551</v>
      </c>
      <c r="S122" s="127">
        <f t="shared" si="20"/>
        <v>8511664.0019999985</v>
      </c>
      <c r="T122" s="128">
        <f t="shared" si="21"/>
        <v>1.7669685084386868E-3</v>
      </c>
    </row>
    <row r="123" spans="1:20" ht="13.5" thickBot="1">
      <c r="A123" s="137" t="str">
        <f t="shared" si="17"/>
        <v>74p</v>
      </c>
      <c r="B123" s="528" t="str">
        <f>+VLOOKUP(LEFT($A123,LEN(A123)-1)*1,Master!$D$27:$G$225,4,FALSE)</f>
        <v>Grants and Transfers</v>
      </c>
      <c r="C123" s="529"/>
      <c r="D123" s="529"/>
      <c r="E123" s="529"/>
      <c r="F123" s="529"/>
      <c r="G123" s="85">
        <f>+SUM(DataEx!FF256)</f>
        <v>13526711.25</v>
      </c>
      <c r="H123" s="85">
        <f>+SUM(DataEx!FG256)</f>
        <v>1001055.74</v>
      </c>
      <c r="I123" s="85">
        <f>+SUM(DataEx!FH256)</f>
        <v>861265.77</v>
      </c>
      <c r="J123" s="85">
        <f>+SUM(DataEx!FI256)</f>
        <v>627154.51</v>
      </c>
      <c r="K123" s="85">
        <f>+SUM(DataEx!FJ256)</f>
        <v>1388870.5</v>
      </c>
      <c r="L123" s="85">
        <f>+SUM(DataEx!FK256)</f>
        <v>827810.06</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9532777.6842971519</v>
      </c>
      <c r="S123" s="129">
        <f t="shared" si="20"/>
        <v>44480000</v>
      </c>
      <c r="T123" s="130">
        <f t="shared" si="21"/>
        <v>9.2337713562101673E-3</v>
      </c>
    </row>
    <row r="124" spans="1:20" ht="13.5" thickBot="1">
      <c r="A124" s="137" t="str">
        <f t="shared" si="17"/>
        <v>4p</v>
      </c>
      <c r="B124" s="512" t="str">
        <f>+VLOOKUP(LEFT($A124,LEN(A124)-1)*1,Master!$D$27:$G$225,4,FALSE)</f>
        <v>Total Expenditures</v>
      </c>
      <c r="C124" s="513"/>
      <c r="D124" s="513"/>
      <c r="E124" s="513"/>
      <c r="F124" s="513"/>
      <c r="G124" s="97">
        <f>+G126+G137+G143+SUM(G144:G148)</f>
        <v>169675887.19749999</v>
      </c>
      <c r="H124" s="97">
        <f t="shared" ref="H124:R124" si="23">+H126+H137+H143+SUM(H144:H148)</f>
        <v>163118817.50749999</v>
      </c>
      <c r="I124" s="97">
        <f t="shared" si="23"/>
        <v>195750967.64750001</v>
      </c>
      <c r="J124" s="97">
        <f t="shared" si="23"/>
        <v>172597951.91749999</v>
      </c>
      <c r="K124" s="97">
        <f t="shared" si="23"/>
        <v>167763443.14750004</v>
      </c>
      <c r="L124" s="97">
        <f t="shared" si="23"/>
        <v>158638536.14750001</v>
      </c>
      <c r="M124" s="97">
        <f t="shared" si="23"/>
        <v>173593221.77416667</v>
      </c>
      <c r="N124" s="97">
        <f t="shared" si="23"/>
        <v>157395422.72416666</v>
      </c>
      <c r="O124" s="97">
        <f t="shared" si="23"/>
        <v>161208966.37416667</v>
      </c>
      <c r="P124" s="97">
        <f t="shared" si="23"/>
        <v>158508019.66083336</v>
      </c>
      <c r="Q124" s="97">
        <f t="shared" si="23"/>
        <v>152277719.94083336</v>
      </c>
      <c r="R124" s="97">
        <f t="shared" si="23"/>
        <v>146102024.36083338</v>
      </c>
      <c r="S124" s="131">
        <f>+SUM(G124:R124)</f>
        <v>1976630978.4000001</v>
      </c>
      <c r="T124" s="132">
        <f t="shared" si="21"/>
        <v>0.4103362974403687</v>
      </c>
    </row>
    <row r="125" spans="1:20" ht="13.5" thickBot="1">
      <c r="A125" s="137" t="str">
        <f t="shared" si="17"/>
        <v>41p</v>
      </c>
      <c r="B125" s="530" t="str">
        <f>+VLOOKUP(LEFT($A125,LEN(A125)-1)*1,Master!$D$27:$G$225,4,FALSE)</f>
        <v>Current Expenditures</v>
      </c>
      <c r="C125" s="531"/>
      <c r="D125" s="531"/>
      <c r="E125" s="531"/>
      <c r="F125" s="531"/>
      <c r="G125" s="80">
        <f t="shared" ref="G125:R125" si="24">+G124-G144</f>
        <v>142932137.20749998</v>
      </c>
      <c r="H125" s="80">
        <f t="shared" si="24"/>
        <v>136375067.51749998</v>
      </c>
      <c r="I125" s="80">
        <f t="shared" si="24"/>
        <v>169007217.65750003</v>
      </c>
      <c r="J125" s="80">
        <f t="shared" si="24"/>
        <v>145854201.92750001</v>
      </c>
      <c r="K125" s="80">
        <f t="shared" si="24"/>
        <v>141019693.15750003</v>
      </c>
      <c r="L125" s="80">
        <f t="shared" si="24"/>
        <v>131894786.15750001</v>
      </c>
      <c r="M125" s="80">
        <f t="shared" si="24"/>
        <v>146849471.78416669</v>
      </c>
      <c r="N125" s="80">
        <f t="shared" si="24"/>
        <v>130651672.73416667</v>
      </c>
      <c r="O125" s="80">
        <f t="shared" si="24"/>
        <v>134465216.38416666</v>
      </c>
      <c r="P125" s="80">
        <f t="shared" si="24"/>
        <v>131764269.67083336</v>
      </c>
      <c r="Q125" s="80">
        <f t="shared" si="24"/>
        <v>138033969.95083335</v>
      </c>
      <c r="R125" s="80">
        <f t="shared" si="24"/>
        <v>131858274.25083338</v>
      </c>
      <c r="S125" s="133">
        <f t="shared" si="20"/>
        <v>1680705978.4000001</v>
      </c>
      <c r="T125" s="134">
        <f t="shared" si="21"/>
        <v>0.34890410794876586</v>
      </c>
    </row>
    <row r="126" spans="1:20">
      <c r="A126" s="137" t="str">
        <f t="shared" si="17"/>
        <v>40p</v>
      </c>
      <c r="B126" s="532" t="str">
        <f>+VLOOKUP(LEFT($A126,LEN(A126)-1)*1,Master!$D$27:$G$225,4,FALSE)</f>
        <v>Current Budgetary Consumption</v>
      </c>
      <c r="C126" s="533"/>
      <c r="D126" s="533"/>
      <c r="E126" s="533"/>
      <c r="F126" s="533"/>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71113855.702500001</v>
      </c>
      <c r="N126" s="89">
        <f t="shared" si="25"/>
        <v>62800153.3125</v>
      </c>
      <c r="O126" s="89">
        <f t="shared" si="25"/>
        <v>66815564.902500011</v>
      </c>
      <c r="P126" s="89">
        <f t="shared" si="25"/>
        <v>62629581.782500006</v>
      </c>
      <c r="Q126" s="89">
        <f t="shared" si="25"/>
        <v>68882826.062500015</v>
      </c>
      <c r="R126" s="90">
        <f t="shared" si="25"/>
        <v>62463700.292500041</v>
      </c>
      <c r="S126" s="123">
        <f t="shared" si="20"/>
        <v>846670934.61000013</v>
      </c>
      <c r="T126" s="124">
        <f t="shared" si="21"/>
        <v>0.17576362014697641</v>
      </c>
    </row>
    <row r="127" spans="1:20">
      <c r="A127" s="137" t="str">
        <f t="shared" si="17"/>
        <v>411p</v>
      </c>
      <c r="B127" s="522" t="str">
        <f>+VLOOKUP(LEFT($A127,LEN(A127)-1)*1,Master!$D$27:$G$225,4,FALSE)</f>
        <v>Gross Salaries and Contributions</v>
      </c>
      <c r="C127" s="523"/>
      <c r="D127" s="523"/>
      <c r="E127" s="523"/>
      <c r="F127" s="523"/>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38858179.001666702</v>
      </c>
      <c r="S127" s="125">
        <f t="shared" si="20"/>
        <v>472054247.1500001</v>
      </c>
      <c r="T127" s="126">
        <f t="shared" si="21"/>
        <v>9.799552576238818E-2</v>
      </c>
    </row>
    <row r="128" spans="1:20">
      <c r="A128" s="137" t="str">
        <f t="shared" si="17"/>
        <v>412p</v>
      </c>
      <c r="B128" s="522" t="str">
        <f>+VLOOKUP(LEFT($A128,LEN(A128)-1)*1,Master!$D$27:$G$225,4,FALSE)</f>
        <v>Other Personal Income</v>
      </c>
      <c r="C128" s="523"/>
      <c r="D128" s="523"/>
      <c r="E128" s="523"/>
      <c r="F128" s="523"/>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1240174.31083333</v>
      </c>
      <c r="S128" s="125">
        <f t="shared" si="20"/>
        <v>15077125.449999996</v>
      </c>
      <c r="T128" s="126">
        <f t="shared" si="21"/>
        <v>3.129917471092565E-3</v>
      </c>
    </row>
    <row r="129" spans="1:20">
      <c r="A129" s="137" t="str">
        <f t="shared" si="17"/>
        <v>413p</v>
      </c>
      <c r="B129" s="522" t="str">
        <f>+VLOOKUP(LEFT($A129,LEN(A129)-1)*1,Master!$D$27:$G$225,4,FALSE)</f>
        <v>Expenditures for Supplies</v>
      </c>
      <c r="C129" s="523"/>
      <c r="D129" s="523"/>
      <c r="E129" s="523"/>
      <c r="F129" s="523"/>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7.6088990596001752E-3</v>
      </c>
    </row>
    <row r="130" spans="1:20">
      <c r="A130" s="137" t="str">
        <f t="shared" si="17"/>
        <v>414p</v>
      </c>
      <c r="B130" s="522" t="str">
        <f>+VLOOKUP(LEFT($A130,LEN(A130)-1)*1,Master!$D$27:$G$225,4,FALSE)</f>
        <v>Expenditures for Services</v>
      </c>
      <c r="C130" s="523"/>
      <c r="D130" s="523"/>
      <c r="E130" s="523"/>
      <c r="F130" s="523"/>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5059087.2374999989</v>
      </c>
      <c r="N130" s="91">
        <f>+SUM(DataEx!FM286)</f>
        <v>5071091.2374999989</v>
      </c>
      <c r="O130" s="91">
        <f>+SUM(DataEx!FN286)</f>
        <v>5175886.7374999989</v>
      </c>
      <c r="P130" s="91">
        <f>+SUM(DataEx!FO286)</f>
        <v>5062253.3274999987</v>
      </c>
      <c r="Q130" s="91">
        <f>+SUM(DataEx!FP286)</f>
        <v>5061881.6574999988</v>
      </c>
      <c r="R130" s="91">
        <f>+SUM(DataEx!FQ286)</f>
        <v>5000451.0074999994</v>
      </c>
      <c r="S130" s="125">
        <f t="shared" si="20"/>
        <v>63127045.969999991</v>
      </c>
      <c r="T130" s="126">
        <f t="shared" si="21"/>
        <v>1.3104782124099559E-2</v>
      </c>
    </row>
    <row r="131" spans="1:20">
      <c r="A131" s="137" t="str">
        <f t="shared" si="17"/>
        <v>415p</v>
      </c>
      <c r="B131" s="522" t="str">
        <f>+VLOOKUP(LEFT($A131,LEN(A131)-1)*1,Master!$D$27:$G$225,4,FALSE)</f>
        <v>Current Maintenance</v>
      </c>
      <c r="C131" s="523"/>
      <c r="D131" s="523"/>
      <c r="E131" s="523"/>
      <c r="F131" s="523"/>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4.7991330053351608E-3</v>
      </c>
    </row>
    <row r="132" spans="1:20">
      <c r="A132" s="137" t="str">
        <f t="shared" si="17"/>
        <v>416p</v>
      </c>
      <c r="B132" s="522" t="str">
        <f>+VLOOKUP(LEFT($A132,LEN(A132)-1)*1,Master!$D$27:$G$225,4,FALSE)</f>
        <v>Interests</v>
      </c>
      <c r="C132" s="523"/>
      <c r="D132" s="523"/>
      <c r="E132" s="523"/>
      <c r="F132" s="523"/>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1.9877664985157042E-2</v>
      </c>
    </row>
    <row r="133" spans="1:20">
      <c r="A133" s="137" t="str">
        <f t="shared" si="17"/>
        <v>417p</v>
      </c>
      <c r="B133" s="522" t="str">
        <f>+VLOOKUP(LEFT($A133,LEN(A133)-1)*1,Master!$D$27:$G$225,4,FALSE)</f>
        <v>Rent</v>
      </c>
      <c r="C133" s="523"/>
      <c r="D133" s="523"/>
      <c r="E133" s="523"/>
      <c r="F133" s="523"/>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2.0387996429386975E-3</v>
      </c>
    </row>
    <row r="134" spans="1:20">
      <c r="A134" s="137" t="str">
        <f t="shared" si="17"/>
        <v>418p</v>
      </c>
      <c r="B134" s="522" t="str">
        <f>+VLOOKUP(LEFT($A134,LEN(A134)-1)*1,Master!$D$27:$G$225,4,FALSE)</f>
        <v>Subsidies</v>
      </c>
      <c r="C134" s="523"/>
      <c r="D134" s="523"/>
      <c r="E134" s="523"/>
      <c r="F134" s="523"/>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6.3969193082975221E-3</v>
      </c>
    </row>
    <row r="135" spans="1:20">
      <c r="A135" s="137" t="str">
        <f t="shared" si="17"/>
        <v>419p</v>
      </c>
      <c r="B135" s="522" t="str">
        <f>+VLOOKUP(LEFT($A135,LEN(A135)-1)*1,Master!$D$27:$G$225,4,FALSE)</f>
        <v>Other expenditures</v>
      </c>
      <c r="C135" s="523"/>
      <c r="D135" s="523"/>
      <c r="E135" s="523"/>
      <c r="F135" s="523"/>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4122049.5508333351</v>
      </c>
      <c r="N135" s="91">
        <f>+SUM(DataEx!FM311)</f>
        <v>3027649.6708333334</v>
      </c>
      <c r="O135" s="91">
        <f>+SUM(DataEx!FN311)</f>
        <v>2986649.6408333336</v>
      </c>
      <c r="P135" s="91">
        <f>+SUM(DataEx!FO311)</f>
        <v>2977759.6208333336</v>
      </c>
      <c r="Q135" s="91">
        <f>+SUM(DataEx!FP311)</f>
        <v>3014504.6508333334</v>
      </c>
      <c r="R135" s="91">
        <f>+SUM(DataEx!FQ311)</f>
        <v>2914612.7408333337</v>
      </c>
      <c r="S135" s="125">
        <f t="shared" si="20"/>
        <v>41196323.400000006</v>
      </c>
      <c r="T135" s="126">
        <f t="shared" si="21"/>
        <v>8.5521005169085142E-3</v>
      </c>
    </row>
    <row r="136" spans="1:20">
      <c r="A136" s="137" t="str">
        <f t="shared" si="17"/>
        <v>440p</v>
      </c>
      <c r="B136" s="522" t="str">
        <f>+VLOOKUP(LEFT($A136,LEN(A136)-1)*1,Master!$D$27:$G$225,4,FALSE)</f>
        <v>Current Capital Expenditure</v>
      </c>
      <c r="C136" s="523"/>
      <c r="D136" s="523"/>
      <c r="E136" s="523"/>
      <c r="F136" s="523"/>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5014205.3275000015</v>
      </c>
      <c r="N136" s="91">
        <f>+SUM(DataEx!FM369)</f>
        <v>4967667.1475000018</v>
      </c>
      <c r="O136" s="91">
        <f>+SUM(DataEx!FN369)</f>
        <v>4972709.1475000018</v>
      </c>
      <c r="P136" s="91">
        <f>+SUM(DataEx!FO369)</f>
        <v>4947709.1475000018</v>
      </c>
      <c r="Q136" s="91">
        <f>+SUM(DataEx!FP369)</f>
        <v>4786209.1475000018</v>
      </c>
      <c r="R136" s="91">
        <f>+SUM(DataEx!FQ369)</f>
        <v>4798442.6775000012</v>
      </c>
      <c r="S136" s="125">
        <f t="shared" si="20"/>
        <v>59057059.620000012</v>
      </c>
      <c r="T136" s="126">
        <f t="shared" si="21"/>
        <v>1.2259878271158998E-2</v>
      </c>
    </row>
    <row r="137" spans="1:20">
      <c r="A137" s="137" t="str">
        <f t="shared" si="17"/>
        <v>42p</v>
      </c>
      <c r="B137" s="518" t="str">
        <f>+VLOOKUP(LEFT($A137,LEN(A137)-1)*1,Master!$D$27:$G$225,4,FALSE)</f>
        <v>Social Security Transfers</v>
      </c>
      <c r="C137" s="519"/>
      <c r="D137" s="519"/>
      <c r="E137" s="519"/>
      <c r="F137" s="519"/>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47329512.010000005</v>
      </c>
      <c r="Q137" s="87">
        <f t="shared" si="26"/>
        <v>47329512.010000005</v>
      </c>
      <c r="R137" s="87">
        <f t="shared" si="26"/>
        <v>47329512.010000005</v>
      </c>
      <c r="S137" s="127">
        <f t="shared" si="20"/>
        <v>557842584.41999996</v>
      </c>
      <c r="T137" s="128">
        <f t="shared" si="21"/>
        <v>0.11580465101824748</v>
      </c>
    </row>
    <row r="138" spans="1:20">
      <c r="A138" s="137" t="str">
        <f t="shared" si="17"/>
        <v>421p</v>
      </c>
      <c r="B138" s="522" t="str">
        <f>+VLOOKUP(LEFT($A138,LEN(A138)-1)*1,Master!$D$27:$G$225,4,FALSE)</f>
        <v>Social Security</v>
      </c>
      <c r="C138" s="523"/>
      <c r="D138" s="523"/>
      <c r="E138" s="523"/>
      <c r="F138" s="523"/>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1.6813020281912356E-2</v>
      </c>
    </row>
    <row r="139" spans="1:20">
      <c r="A139" s="137" t="str">
        <f t="shared" si="17"/>
        <v>422p</v>
      </c>
      <c r="B139" s="522" t="str">
        <f>+VLOOKUP(LEFT($A139,LEN(A139)-1)*1,Master!$D$27:$G$225,4,FALSE)</f>
        <v>Funds for redundant labor</v>
      </c>
      <c r="C139" s="523"/>
      <c r="D139" s="523"/>
      <c r="E139" s="523"/>
      <c r="F139" s="523"/>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2359394.0699999998</v>
      </c>
      <c r="Q139" s="91">
        <f>SUM(DataEx!FP330)</f>
        <v>2359394.0699999998</v>
      </c>
      <c r="R139" s="91">
        <f>SUM(DataEx!FQ330)</f>
        <v>2359394.0699999998</v>
      </c>
      <c r="S139" s="125">
        <f t="shared" si="20"/>
        <v>18202468.969999999</v>
      </c>
      <c r="T139" s="126">
        <f t="shared" si="21"/>
        <v>3.7787193477403416E-3</v>
      </c>
    </row>
    <row r="140" spans="1:20">
      <c r="A140" s="137" t="str">
        <f t="shared" si="17"/>
        <v>423p</v>
      </c>
      <c r="B140" s="522" t="str">
        <f>+VLOOKUP(LEFT($A140,LEN(A140)-1)*1,Master!$D$27:$G$225,4,FALSE)</f>
        <v>Pension and Disability Insurance</v>
      </c>
      <c r="C140" s="523"/>
      <c r="D140" s="523"/>
      <c r="E140" s="523"/>
      <c r="F140" s="523"/>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8.9062924674596727E-2</v>
      </c>
    </row>
    <row r="141" spans="1:20">
      <c r="A141" s="137" t="str">
        <f t="shared" si="17"/>
        <v>424p</v>
      </c>
      <c r="B141" s="522" t="str">
        <f>+VLOOKUP(LEFT($A141,LEN(A141)-1)*1,Master!$D$27:$G$225,4,FALSE)</f>
        <v>Other Health Care Transfers</v>
      </c>
      <c r="C141" s="523"/>
      <c r="D141" s="523"/>
      <c r="E141" s="523"/>
      <c r="F141" s="523"/>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3.9443025886944424E-3</v>
      </c>
    </row>
    <row r="142" spans="1:20">
      <c r="A142" s="137" t="str">
        <f t="shared" si="17"/>
        <v>425p</v>
      </c>
      <c r="B142" s="522" t="str">
        <f>+VLOOKUP(LEFT($A142,LEN(A142)-1)*1,Master!$D$27:$G$225,4,FALSE)</f>
        <v>Other Health Care Insurance</v>
      </c>
      <c r="C142" s="523"/>
      <c r="D142" s="523"/>
      <c r="E142" s="523"/>
      <c r="F142" s="523"/>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2.2056841253036059E-3</v>
      </c>
    </row>
    <row r="143" spans="1:20">
      <c r="A143" s="137" t="str">
        <f t="shared" si="17"/>
        <v>43p</v>
      </c>
      <c r="B143" s="524" t="str">
        <f>+VLOOKUP(LEFT($A143,LEN(A143)-1)*1,Master!$D$27:$G$225,4,FALSE)</f>
        <v xml:space="preserve">Transfers to Institutions, Individuals, NGO and Public Sector </v>
      </c>
      <c r="C143" s="525"/>
      <c r="D143" s="525"/>
      <c r="E143" s="525"/>
      <c r="F143" s="525"/>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22848909.595000003</v>
      </c>
      <c r="N143" s="85">
        <f>SUM(DataEx!FM350)</f>
        <v>17972208.524999999</v>
      </c>
      <c r="O143" s="85">
        <f>SUM(DataEx!FN350)</f>
        <v>17992208.524999999</v>
      </c>
      <c r="P143" s="85">
        <f>SUM(DataEx!FO350)</f>
        <v>17923875.184999999</v>
      </c>
      <c r="Q143" s="85">
        <f>SUM(DataEx!FP350)</f>
        <v>17866375.204999998</v>
      </c>
      <c r="R143" s="85">
        <f>SUM(DataEx!FQ350)</f>
        <v>18024758.024999999</v>
      </c>
      <c r="S143" s="127">
        <f>+SUM(G143:R143)</f>
        <v>220947786.96000001</v>
      </c>
      <c r="T143" s="128">
        <f t="shared" si="21"/>
        <v>4.5867386385999874E-2</v>
      </c>
    </row>
    <row r="144" spans="1:20">
      <c r="A144" s="137" t="str">
        <f t="shared" si="17"/>
        <v>44p</v>
      </c>
      <c r="B144" s="524" t="str">
        <f>+VLOOKUP(LEFT($A144,LEN(A144)-1)*1,Master!$D$27:$G$225,4,FALSE)</f>
        <v>Capital Expenditure</v>
      </c>
      <c r="C144" s="525"/>
      <c r="D144" s="525"/>
      <c r="E144" s="525"/>
      <c r="F144" s="525"/>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14243749.989999998</v>
      </c>
      <c r="R144" s="85">
        <f>SUM(DataEx!FQ368)</f>
        <v>14243750.109999999</v>
      </c>
      <c r="S144" s="127">
        <f t="shared" si="20"/>
        <v>295925000</v>
      </c>
      <c r="T144" s="128">
        <f t="shared" si="21"/>
        <v>6.1432189491602833E-2</v>
      </c>
    </row>
    <row r="145" spans="1:20">
      <c r="A145" s="137" t="str">
        <f t="shared" si="17"/>
        <v>451p</v>
      </c>
      <c r="B145" s="506" t="str">
        <f>+VLOOKUP(LEFT($A145,LEN(A145)-1)*1,Master!$D$27:$G$225,4,FALSE)</f>
        <v>Credits and Borrowings</v>
      </c>
      <c r="C145" s="507"/>
      <c r="D145" s="507"/>
      <c r="E145" s="507"/>
      <c r="F145" s="507"/>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4.7331402711174765E-4</v>
      </c>
    </row>
    <row r="146" spans="1:20">
      <c r="A146" s="137" t="str">
        <f t="shared" si="17"/>
        <v>47p</v>
      </c>
      <c r="B146" s="506" t="str">
        <f>+VLOOKUP(LEFT($A146,LEN(A146)-1)*1,Master!$D$27:$G$225,4,FALSE)</f>
        <v>Reserves</v>
      </c>
      <c r="C146" s="507"/>
      <c r="D146" s="507"/>
      <c r="E146" s="507"/>
      <c r="F146" s="507"/>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4650583.3333333302</v>
      </c>
      <c r="N146" s="91">
        <f>SUM(DataEx!FM394)</f>
        <v>1650583.3333333333</v>
      </c>
      <c r="O146" s="91">
        <f>SUM(DataEx!FN394)</f>
        <v>1650583.3333333333</v>
      </c>
      <c r="P146" s="91">
        <f>SUM(DataEx!FO394)</f>
        <v>2317250</v>
      </c>
      <c r="Q146" s="91">
        <f>SUM(DataEx!FP394)</f>
        <v>2317250</v>
      </c>
      <c r="R146" s="91">
        <f>SUM(DataEx!FQ394)</f>
        <v>2317250</v>
      </c>
      <c r="S146" s="125">
        <f t="shared" si="20"/>
        <v>24999999.999999996</v>
      </c>
      <c r="T146" s="126">
        <f t="shared" si="21"/>
        <v>5.1898445122584118E-3</v>
      </c>
    </row>
    <row r="147" spans="1:20">
      <c r="A147" s="137" t="str">
        <f t="shared" si="17"/>
        <v>462p</v>
      </c>
      <c r="B147" s="506" t="str">
        <f>+VLOOKUP(LEFT($A147,LEN(A147)-1)*1,Master!$D$27:$G$225,4,FALSE)</f>
        <v>Repayment of Guarantees</v>
      </c>
      <c r="C147" s="507"/>
      <c r="D147" s="507"/>
      <c r="E147" s="507"/>
      <c r="F147" s="507"/>
      <c r="G147" s="91">
        <f>SUM(DataEx!FF390)</f>
        <v>2253720.0299999998</v>
      </c>
      <c r="H147" s="91">
        <f>SUM(DataEx!FG390)</f>
        <v>0</v>
      </c>
      <c r="I147" s="91">
        <f>SUM(DataEx!FH390)</f>
        <v>7180952.3800000008</v>
      </c>
      <c r="J147" s="91">
        <f>SUM(DataEx!FI390)</f>
        <v>0</v>
      </c>
      <c r="K147" s="91">
        <f>SUM(DataEx!FJ390)</f>
        <v>0</v>
      </c>
      <c r="L147" s="91">
        <f>SUM(DataEx!FK390)</f>
        <v>0</v>
      </c>
      <c r="M147" s="91">
        <f>SUM(DataEx!FL390)</f>
        <v>0</v>
      </c>
      <c r="N147" s="91">
        <f>SUM(DataEx!FM390)</f>
        <v>0</v>
      </c>
      <c r="O147" s="91">
        <f>SUM(DataEx!FN390)</f>
        <v>0</v>
      </c>
      <c r="P147" s="91">
        <f>SUM(DataEx!FO390)</f>
        <v>0</v>
      </c>
      <c r="Q147" s="91">
        <f>SUM(DataEx!FP390)</f>
        <v>0</v>
      </c>
      <c r="R147" s="91">
        <f>SUM(DataEx!FQ390)</f>
        <v>0</v>
      </c>
      <c r="S147" s="125">
        <f t="shared" si="20"/>
        <v>9434672.4100000001</v>
      </c>
      <c r="T147" s="126">
        <f t="shared" si="21"/>
        <v>1.9585793132797743E-3</v>
      </c>
    </row>
    <row r="148" spans="1:20">
      <c r="A148" s="138" t="str">
        <f>+CONCATENATE(A53,"p")</f>
        <v>4630p</v>
      </c>
      <c r="B148" s="506" t="str">
        <f>+VLOOKUP(LEFT($A148,LEN(A148)-1)*1,Master!$D$27:$G$225,4,FALSE)</f>
        <v>Repayments of Arrears</v>
      </c>
      <c r="C148" s="507"/>
      <c r="D148" s="507"/>
      <c r="E148" s="507"/>
      <c r="F148" s="507"/>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1533053.84</v>
      </c>
      <c r="S148" s="107">
        <f>+SUM(G148:R148)</f>
        <v>18529999</v>
      </c>
      <c r="T148" s="108">
        <f>+S148/$T$7</f>
        <v>3.8467125448921552E-3</v>
      </c>
    </row>
    <row r="149" spans="1:20" ht="13.5" thickBot="1">
      <c r="A149" s="137"/>
      <c r="B149" s="520" t="s">
        <v>695</v>
      </c>
      <c r="C149" s="521"/>
      <c r="D149" s="521"/>
      <c r="E149" s="521"/>
      <c r="F149" s="521"/>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14" t="str">
        <f>+VLOOKUP(LEFT($A150,LEN(A150)-1)*1,Master!$D$27:$G$225,4,FALSE)</f>
        <v>Surplus / deficit</v>
      </c>
      <c r="C150" s="515"/>
      <c r="D150" s="515"/>
      <c r="E150" s="515"/>
      <c r="F150" s="515"/>
      <c r="G150" s="97">
        <f t="shared" ref="G150:R150" si="27">+G105-G124</f>
        <v>-62417951.607499987</v>
      </c>
      <c r="H150" s="97">
        <f t="shared" si="27"/>
        <v>-46574191.55749999</v>
      </c>
      <c r="I150" s="97">
        <f t="shared" si="27"/>
        <v>-48206287.017500013</v>
      </c>
      <c r="J150" s="97">
        <f t="shared" si="27"/>
        <v>-7552535.5874999762</v>
      </c>
      <c r="K150" s="97">
        <f t="shared" si="27"/>
        <v>-23536603.497500032</v>
      </c>
      <c r="L150" s="97">
        <f t="shared" si="27"/>
        <v>-15244934.667500019</v>
      </c>
      <c r="M150" s="97">
        <f t="shared" si="27"/>
        <v>-9956542.8029392064</v>
      </c>
      <c r="N150" s="97">
        <f t="shared" si="27"/>
        <v>7106786.3305667937</v>
      </c>
      <c r="O150" s="97">
        <f t="shared" si="27"/>
        <v>-9808009.6425497532</v>
      </c>
      <c r="P150" s="97">
        <f t="shared" si="27"/>
        <v>29894513.576703846</v>
      </c>
      <c r="Q150" s="97">
        <f t="shared" si="27"/>
        <v>-3563061.4788611233</v>
      </c>
      <c r="R150" s="97">
        <f t="shared" si="27"/>
        <v>47260753.315640002</v>
      </c>
      <c r="S150" s="113">
        <f t="shared" si="20"/>
        <v>-142598064.63643947</v>
      </c>
      <c r="T150" s="114">
        <f t="shared" si="21"/>
        <v>-2.9602471328483832E-2</v>
      </c>
    </row>
    <row r="151" spans="1:20" ht="13.5" thickBot="1">
      <c r="A151" s="138" t="str">
        <f>+CONCATENATE(A56,"p")</f>
        <v>1001p</v>
      </c>
      <c r="B151" s="516" t="str">
        <f>+VLOOKUP(LEFT($A151,LEN(A151)-1)*1,Master!$D$27:$G$225,4,FALSE)</f>
        <v>Primary balance</v>
      </c>
      <c r="C151" s="517"/>
      <c r="D151" s="517"/>
      <c r="E151" s="517"/>
      <c r="F151" s="517"/>
      <c r="G151" s="98">
        <f t="shared" ref="G151:R151" si="28">+G150+G132</f>
        <v>-54437226.607499987</v>
      </c>
      <c r="H151" s="98">
        <f t="shared" si="28"/>
        <v>-45587471.597499989</v>
      </c>
      <c r="I151" s="98">
        <f t="shared" si="28"/>
        <v>-20104787.917500012</v>
      </c>
      <c r="J151" s="98">
        <f t="shared" si="28"/>
        <v>10947196.512500025</v>
      </c>
      <c r="K151" s="98">
        <f t="shared" si="28"/>
        <v>-9490767.2275000308</v>
      </c>
      <c r="L151" s="98">
        <f t="shared" si="28"/>
        <v>-13271132.007500019</v>
      </c>
      <c r="M151" s="98">
        <f t="shared" si="28"/>
        <v>-1192067.0129392073</v>
      </c>
      <c r="N151" s="98">
        <f t="shared" si="28"/>
        <v>8403992.4705667943</v>
      </c>
      <c r="O151" s="98">
        <f t="shared" si="28"/>
        <v>-6667683.8425497524</v>
      </c>
      <c r="P151" s="98">
        <f t="shared" si="28"/>
        <v>31215805.656703848</v>
      </c>
      <c r="Q151" s="98">
        <f t="shared" si="28"/>
        <v>4240675.8511388777</v>
      </c>
      <c r="R151" s="98">
        <f t="shared" si="28"/>
        <v>49098101.085640006</v>
      </c>
      <c r="S151" s="113">
        <f t="shared" si="20"/>
        <v>-46845364.63643948</v>
      </c>
      <c r="T151" s="114">
        <f t="shared" si="21"/>
        <v>-9.7248063433267896E-3</v>
      </c>
    </row>
    <row r="152" spans="1:20">
      <c r="A152" s="138" t="str">
        <f>+CONCATENATE(A57,"p")</f>
        <v>46p</v>
      </c>
      <c r="B152" s="518" t="str">
        <f>+VLOOKUP(LEFT($A152,LEN(A152)-1)*1,Master!$D$27:$G$225,4,FALSE)</f>
        <v>Repayment of Debt</v>
      </c>
      <c r="C152" s="519"/>
      <c r="D152" s="519"/>
      <c r="E152" s="519"/>
      <c r="F152" s="519"/>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7.7557036391189715E-2</v>
      </c>
    </row>
    <row r="153" spans="1:20">
      <c r="A153" s="138" t="str">
        <f>+CONCATENATE(A58,"p")</f>
        <v>4611p</v>
      </c>
      <c r="B153" s="508" t="str">
        <f>+VLOOKUP(LEFT($A153,LEN(A153)-1)*1,Master!$D$27:$G$225,4,FALSE)</f>
        <v>Repayment of Domestic Debt</v>
      </c>
      <c r="C153" s="509"/>
      <c r="D153" s="509"/>
      <c r="E153" s="509"/>
      <c r="F153" s="509"/>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9.1548857279275912E-3</v>
      </c>
    </row>
    <row r="154" spans="1:20" ht="13.5" thickBot="1">
      <c r="A154" s="138" t="str">
        <f>+CONCATENATE(A59,"p")</f>
        <v>4612p</v>
      </c>
      <c r="B154" s="506" t="str">
        <f>+VLOOKUP(LEFT($A154,LEN(A154)-1)*1,Master!$D$27:$G$225,4,FALSE)</f>
        <v>Repayment of Foreign Debt</v>
      </c>
      <c r="C154" s="507"/>
      <c r="D154" s="507"/>
      <c r="E154" s="507"/>
      <c r="F154" s="507"/>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6.8402150663262121E-2</v>
      </c>
    </row>
    <row r="155" spans="1:20" ht="13.5" thickBot="1">
      <c r="A155" s="138"/>
      <c r="B155" s="492" t="s">
        <v>790</v>
      </c>
      <c r="C155" s="493"/>
      <c r="D155" s="493"/>
      <c r="E155" s="493"/>
      <c r="F155" s="493"/>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8.3494218513213373E-3</v>
      </c>
    </row>
    <row r="156" spans="1:20" ht="13.5" thickBot="1">
      <c r="A156" s="138" t="str">
        <f t="shared" ref="A156:A161" si="30">+CONCATENATE(A61,"p")</f>
        <v>1002p</v>
      </c>
      <c r="B156" s="510" t="str">
        <f>+VLOOKUP(LEFT($A156,LEN(A156)-1)*1,Master!$D$27:$G$225,4,FALSE)</f>
        <v>Financing needs</v>
      </c>
      <c r="C156" s="511"/>
      <c r="D156" s="511"/>
      <c r="E156" s="511"/>
      <c r="F156" s="511"/>
      <c r="G156" s="79">
        <f t="shared" ref="G156:R156" si="31">+G150-G152-G155</f>
        <v>-64162981.937499985</v>
      </c>
      <c r="H156" s="79">
        <f t="shared" si="31"/>
        <v>-49963551.177499995</v>
      </c>
      <c r="I156" s="79">
        <f t="shared" si="31"/>
        <v>-65853879.377500013</v>
      </c>
      <c r="J156" s="79">
        <f t="shared" si="31"/>
        <v>-68696397.547499985</v>
      </c>
      <c r="K156" s="79">
        <f t="shared" si="31"/>
        <v>-205052828.04750001</v>
      </c>
      <c r="L156" s="79">
        <f t="shared" si="31"/>
        <v>-32116387.137500022</v>
      </c>
      <c r="M156" s="79">
        <f t="shared" si="31"/>
        <v>-71704253.742939219</v>
      </c>
      <c r="N156" s="79">
        <f t="shared" si="31"/>
        <v>-6674621.4294332061</v>
      </c>
      <c r="O156" s="79">
        <f t="shared" si="31"/>
        <v>-27665993.622549754</v>
      </c>
      <c r="P156" s="79">
        <f t="shared" si="31"/>
        <v>23716690.676703844</v>
      </c>
      <c r="Q156" s="79">
        <f t="shared" si="31"/>
        <v>-13766234.018861122</v>
      </c>
      <c r="R156" s="79">
        <f t="shared" si="31"/>
        <v>25522372.725640003</v>
      </c>
      <c r="S156" s="117">
        <f t="shared" si="20"/>
        <v>-556418064.63643956</v>
      </c>
      <c r="T156" s="118">
        <f t="shared" si="21"/>
        <v>-0.1155089295709949</v>
      </c>
    </row>
    <row r="157" spans="1:20" ht="13.5" thickBot="1">
      <c r="A157" s="138" t="str">
        <f t="shared" si="30"/>
        <v>1003p</v>
      </c>
      <c r="B157" s="512" t="str">
        <f>+VLOOKUP(LEFT($A157,LEN(A157)-1)*1,Master!$D$27:$G$225,4,FALSE)</f>
        <v>Financing</v>
      </c>
      <c r="C157" s="513"/>
      <c r="D157" s="513"/>
      <c r="E157" s="513"/>
      <c r="F157" s="513"/>
      <c r="G157" s="97">
        <f t="shared" ref="G157:R157" si="32">+SUM(G158:G161)</f>
        <v>64162981.937499985</v>
      </c>
      <c r="H157" s="97">
        <f t="shared" si="32"/>
        <v>49963551.177499995</v>
      </c>
      <c r="I157" s="97">
        <f t="shared" si="32"/>
        <v>65853879.377500013</v>
      </c>
      <c r="J157" s="97">
        <f t="shared" si="32"/>
        <v>68696397.547499985</v>
      </c>
      <c r="K157" s="97">
        <f t="shared" si="32"/>
        <v>205052828.04750001</v>
      </c>
      <c r="L157" s="97">
        <f t="shared" si="32"/>
        <v>32116387.137500022</v>
      </c>
      <c r="M157" s="97">
        <f t="shared" si="32"/>
        <v>71704253.742939219</v>
      </c>
      <c r="N157" s="97">
        <f t="shared" si="32"/>
        <v>6674621.4294332061</v>
      </c>
      <c r="O157" s="97">
        <f t="shared" si="32"/>
        <v>27665993.622549754</v>
      </c>
      <c r="P157" s="97">
        <f t="shared" si="32"/>
        <v>-23716690.67670384</v>
      </c>
      <c r="Q157" s="97">
        <f t="shared" si="32"/>
        <v>13766234.018861122</v>
      </c>
      <c r="R157" s="97">
        <f t="shared" si="32"/>
        <v>-25522372.725640006</v>
      </c>
      <c r="S157" s="119">
        <f t="shared" si="20"/>
        <v>556418064.63643956</v>
      </c>
      <c r="T157" s="120">
        <f t="shared" si="21"/>
        <v>0.1155089295709949</v>
      </c>
    </row>
    <row r="158" spans="1:20">
      <c r="A158" s="138" t="str">
        <f t="shared" si="30"/>
        <v>7511p</v>
      </c>
      <c r="B158" s="508" t="str">
        <f>+VLOOKUP(LEFT($A158,LEN(A158)-1)*1,Master!$D$27:$G$225,4,FALSE)</f>
        <v>Domestic Loans and Borrowings</v>
      </c>
      <c r="C158" s="509"/>
      <c r="D158" s="509"/>
      <c r="E158" s="509"/>
      <c r="F158" s="509"/>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3.9442818293163935E-2</v>
      </c>
    </row>
    <row r="159" spans="1:20">
      <c r="A159" s="138" t="str">
        <f t="shared" si="30"/>
        <v>7512p</v>
      </c>
      <c r="B159" s="506" t="str">
        <f>+VLOOKUP(LEFT($A159,LEN(A159)-1)*1,Master!$D$27:$G$225,4,FALSE)</f>
        <v>Foreign Loans and Borrowings</v>
      </c>
      <c r="C159" s="507"/>
      <c r="D159" s="507"/>
      <c r="E159" s="507"/>
      <c r="F159" s="507"/>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13983087.501553783</v>
      </c>
      <c r="S159" s="107">
        <f t="shared" si="20"/>
        <v>180405268.74155378</v>
      </c>
      <c r="T159" s="108">
        <f t="shared" si="21"/>
        <v>3.745101175843428E-2</v>
      </c>
    </row>
    <row r="160" spans="1:20">
      <c r="A160" s="138" t="str">
        <f t="shared" si="30"/>
        <v>72p</v>
      </c>
      <c r="B160" s="506" t="str">
        <f>+VLOOKUP(LEFT($A160,LEN(A160)-1)*1,Master!$D$27:$G$225,4,FALSE)</f>
        <v>Revenues from Selling Assets</v>
      </c>
      <c r="C160" s="507"/>
      <c r="D160" s="507"/>
      <c r="E160" s="507"/>
      <c r="F160" s="507"/>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1.2455626829420191E-3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39640138.087499984</v>
      </c>
      <c r="H161" s="101">
        <f t="shared" si="33"/>
        <v>49463551.177499995</v>
      </c>
      <c r="I161" s="101">
        <f t="shared" si="33"/>
        <v>-42045458.012499988</v>
      </c>
      <c r="J161" s="101">
        <f t="shared" si="33"/>
        <v>53196397.547499985</v>
      </c>
      <c r="K161" s="101">
        <f t="shared" si="33"/>
        <v>92552828.047500014</v>
      </c>
      <c r="L161" s="101">
        <f t="shared" si="33"/>
        <v>14616387.137500022</v>
      </c>
      <c r="M161" s="101">
        <f t="shared" si="33"/>
        <v>54204253.742939219</v>
      </c>
      <c r="N161" s="101">
        <f t="shared" si="33"/>
        <v>-8825378.5705667939</v>
      </c>
      <c r="O161" s="101">
        <f t="shared" si="33"/>
        <v>10165993.622549754</v>
      </c>
      <c r="P161" s="101">
        <f t="shared" si="33"/>
        <v>-41216690.67670384</v>
      </c>
      <c r="Q161" s="101">
        <f t="shared" si="33"/>
        <v>-1733765.9811388776</v>
      </c>
      <c r="R161" s="101">
        <f t="shared" si="33"/>
        <v>-40005460.227193788</v>
      </c>
      <c r="S161" s="111">
        <f t="shared" si="20"/>
        <v>180012795.89488566</v>
      </c>
      <c r="T161" s="112">
        <f t="shared" si="21"/>
        <v>3.7369536836454643E-2</v>
      </c>
    </row>
  </sheetData>
  <mergeCells count="118">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G102:R102"/>
    <mergeCell ref="S103:T103"/>
    <mergeCell ref="B105:F105"/>
    <mergeCell ref="B106:F106"/>
    <mergeCell ref="B107:F107"/>
    <mergeCell ref="B108:F108"/>
    <mergeCell ref="B61:F61"/>
    <mergeCell ref="B62:F62"/>
    <mergeCell ref="B63:F63"/>
    <mergeCell ref="B64:F64"/>
    <mergeCell ref="B65:F65"/>
    <mergeCell ref="B102:F104"/>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B59" sqref="B59:F59"/>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755</v>
      </c>
      <c r="H6" s="259" t="s">
        <v>756</v>
      </c>
      <c r="I6" s="259" t="s">
        <v>757</v>
      </c>
      <c r="J6" s="259" t="s">
        <v>758</v>
      </c>
      <c r="K6" s="259" t="s">
        <v>759</v>
      </c>
      <c r="L6" s="259" t="s">
        <v>760</v>
      </c>
      <c r="M6" s="259" t="s">
        <v>761</v>
      </c>
      <c r="N6" s="259" t="s">
        <v>762</v>
      </c>
      <c r="O6" s="259" t="s">
        <v>763</v>
      </c>
      <c r="P6" s="259" t="s">
        <v>764</v>
      </c>
      <c r="Q6" s="259" t="s">
        <v>765</v>
      </c>
      <c r="R6" s="259" t="s">
        <v>766</v>
      </c>
      <c r="S6" s="258"/>
      <c r="T6" s="258"/>
    </row>
    <row r="7" spans="1:20" ht="15" customHeight="1" thickBot="1">
      <c r="A7" s="169"/>
      <c r="B7" s="561" t="str">
        <f>+Master!G251</f>
        <v>Budget Execution</v>
      </c>
      <c r="C7" s="459"/>
      <c r="D7" s="459"/>
      <c r="E7" s="459"/>
      <c r="F7" s="459"/>
      <c r="G7" s="467">
        <v>2018</v>
      </c>
      <c r="H7" s="468"/>
      <c r="I7" s="468"/>
      <c r="J7" s="468"/>
      <c r="K7" s="468"/>
      <c r="L7" s="468"/>
      <c r="M7" s="468"/>
      <c r="N7" s="468"/>
      <c r="O7" s="468"/>
      <c r="P7" s="468"/>
      <c r="Q7" s="468"/>
      <c r="R7" s="471"/>
      <c r="S7" s="260" t="str">
        <f>+Master!G248</f>
        <v>GDP</v>
      </c>
      <c r="T7" s="261">
        <v>4619100000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tr">
        <f>+Master!G245</f>
        <v>Jan - Oct</v>
      </c>
      <c r="T8" s="471"/>
    </row>
    <row r="9" spans="1:20" ht="13.5" thickBot="1">
      <c r="A9" s="169"/>
      <c r="B9" s="463"/>
      <c r="C9" s="464"/>
      <c r="D9" s="464"/>
      <c r="E9" s="464"/>
      <c r="F9" s="465"/>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0" t="str">
        <f>+VLOOKUP($A10,Master!$D$27:$G$225,4,FALSE)</f>
        <v>Total Revenues</v>
      </c>
      <c r="C10" s="501"/>
      <c r="D10" s="501"/>
      <c r="E10" s="501"/>
      <c r="F10" s="501"/>
      <c r="G10" s="176">
        <f t="shared" ref="G10:R10" si="1">+G11+G19+SUM(G24:G28)</f>
        <v>81573046.349999994</v>
      </c>
      <c r="H10" s="176">
        <f t="shared" si="1"/>
        <v>107080107.34</v>
      </c>
      <c r="I10" s="176">
        <f t="shared" si="1"/>
        <v>138824742.16</v>
      </c>
      <c r="J10" s="176">
        <f t="shared" si="1"/>
        <v>156838196.73000002</v>
      </c>
      <c r="K10" s="176">
        <f t="shared" si="1"/>
        <v>138843146.69</v>
      </c>
      <c r="L10" s="176">
        <f t="shared" si="1"/>
        <v>140712902.74000001</v>
      </c>
      <c r="M10" s="176">
        <f t="shared" si="1"/>
        <v>160533597.69999999</v>
      </c>
      <c r="N10" s="176">
        <f t="shared" si="1"/>
        <v>161264030.17000002</v>
      </c>
      <c r="O10" s="176">
        <f t="shared" si="1"/>
        <v>187333296.65000001</v>
      </c>
      <c r="P10" s="176">
        <f t="shared" si="1"/>
        <v>145768654.70000002</v>
      </c>
      <c r="Q10" s="176">
        <f t="shared" si="1"/>
        <v>142235974.88999999</v>
      </c>
      <c r="R10" s="176">
        <f t="shared" si="1"/>
        <v>185010591.01999998</v>
      </c>
      <c r="S10" s="264">
        <f>+SUM(G10:R10)</f>
        <v>1746018287.1400003</v>
      </c>
      <c r="T10" s="265">
        <f>+S10/$T$7</f>
        <v>0.37799967247732252</v>
      </c>
    </row>
    <row r="11" spans="1:20">
      <c r="A11" s="175">
        <v>711</v>
      </c>
      <c r="B11" s="502" t="str">
        <f>+VLOOKUP($A11,Master!$D$27:$G$225,4,FALSE)</f>
        <v>Taxes</v>
      </c>
      <c r="C11" s="503"/>
      <c r="D11" s="503"/>
      <c r="E11" s="503"/>
      <c r="F11" s="503"/>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88" t="str">
        <f>+VLOOKUP($A12,Master!$D$27:$G$225,4,FALSE)</f>
        <v>Personal Income Tax</v>
      </c>
      <c r="C12" s="489"/>
      <c r="D12" s="489"/>
      <c r="E12" s="489"/>
      <c r="F12" s="489"/>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88" t="str">
        <f>+VLOOKUP($A13,Master!$D$27:$G$225,4,FALSE)</f>
        <v>Corporate Income Tax</v>
      </c>
      <c r="C13" s="489"/>
      <c r="D13" s="489"/>
      <c r="E13" s="489"/>
      <c r="F13" s="489"/>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88" t="str">
        <f>+VLOOKUP($A14,Master!$D$27:$G$225,4,FALSE)</f>
        <v xml:space="preserve">Taxes on Sales of Property </v>
      </c>
      <c r="C14" s="489"/>
      <c r="D14" s="489"/>
      <c r="E14" s="489"/>
      <c r="F14" s="489"/>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88" t="str">
        <f>+VLOOKUP($A15,Master!$D$27:$G$225,4,FALSE)</f>
        <v>Value Added Tax</v>
      </c>
      <c r="C15" s="489"/>
      <c r="D15" s="489"/>
      <c r="E15" s="489"/>
      <c r="F15" s="489"/>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88" t="str">
        <f>+VLOOKUP($A16,Master!$D$27:$G$225,4,FALSE)</f>
        <v>Excises</v>
      </c>
      <c r="C16" s="489"/>
      <c r="D16" s="489"/>
      <c r="E16" s="489"/>
      <c r="F16" s="489"/>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88" t="str">
        <f>+VLOOKUP($A17,Master!$D$27:$G$225,4,FALSE)</f>
        <v>Tax on International Trade and Transactions</v>
      </c>
      <c r="C17" s="489"/>
      <c r="D17" s="489"/>
      <c r="E17" s="489"/>
      <c r="F17" s="489"/>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88" t="str">
        <f>+VLOOKUP($A18,Master!$D$27:$G$225,4,FALSE)</f>
        <v>Other Republic Taxes</v>
      </c>
      <c r="C18" s="489"/>
      <c r="D18" s="489"/>
      <c r="E18" s="489"/>
      <c r="F18" s="489"/>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98" t="str">
        <f>+VLOOKUP($A19,Master!$D$27:$G$225,4,FALSE)</f>
        <v>Contributions</v>
      </c>
      <c r="C19" s="499"/>
      <c r="D19" s="499"/>
      <c r="E19" s="499"/>
      <c r="F19" s="499"/>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88" t="str">
        <f>+VLOOKUP($A20,Master!$D$27:$G$225,4,FALSE)</f>
        <v>Contributions for Pension and Disability Insurance</v>
      </c>
      <c r="C20" s="489"/>
      <c r="D20" s="489"/>
      <c r="E20" s="489"/>
      <c r="F20" s="489"/>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88" t="str">
        <f>+VLOOKUP($A21,Master!$D$27:$G$225,4,FALSE)</f>
        <v>Contributions for Health Insurance</v>
      </c>
      <c r="C21" s="489"/>
      <c r="D21" s="489"/>
      <c r="E21" s="489"/>
      <c r="F21" s="489"/>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88" t="str">
        <f>+VLOOKUP($A22,Master!$D$27:$G$225,4,FALSE)</f>
        <v>Contributions for  Unemployment Insurance</v>
      </c>
      <c r="C22" s="489"/>
      <c r="D22" s="489"/>
      <c r="E22" s="489"/>
      <c r="F22" s="489"/>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88" t="str">
        <f>+VLOOKUP($A23,Master!$D$27:$G$225,4,FALSE)</f>
        <v>Other contributions</v>
      </c>
      <c r="C23" s="489"/>
      <c r="D23" s="489"/>
      <c r="E23" s="489"/>
      <c r="F23" s="489"/>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90" t="str">
        <f>+VLOOKUP($A24,Master!$D$27:$G$225,4,FALSE)</f>
        <v>Duties</v>
      </c>
      <c r="C24" s="491"/>
      <c r="D24" s="491"/>
      <c r="E24" s="491"/>
      <c r="F24" s="491"/>
      <c r="G24" s="200">
        <f>+INDEX(DataEx!$1:$1048576,MATCH('2018'!$A24,DataEx!$D:$D,0),MATCH('2018'!G$6,DataEx!$7:$7,0))</f>
        <v>814937.81</v>
      </c>
      <c r="H24" s="200">
        <f>+INDEX(DataEx!$1:$1048576,MATCH('2018'!$A24,DataEx!$D:$D,0),MATCH('2018'!H$6,DataEx!$7:$7,0))</f>
        <v>993423.94</v>
      </c>
      <c r="I24" s="200">
        <f>+INDEX(DataEx!$1:$1048576,MATCH('2018'!$A24,DataEx!$D:$D,0),MATCH('2018'!I$6,DataEx!$7:$7,0))</f>
        <v>1111103.6599999999</v>
      </c>
      <c r="J24" s="200">
        <f>+INDEX(DataEx!$1:$1048576,MATCH('2018'!$A24,DataEx!$D:$D,0),MATCH('2018'!J$6,DataEx!$7:$7,0))</f>
        <v>1198538.77</v>
      </c>
      <c r="K24" s="200">
        <f>+INDEX(DataEx!$1:$1048576,MATCH('2018'!$A24,DataEx!$D:$D,0),MATCH('2018'!K$6,DataEx!$7:$7,0))</f>
        <v>1382138.78</v>
      </c>
      <c r="L24" s="200">
        <f>+INDEX(DataEx!$1:$1048576,MATCH('2018'!$A24,DataEx!$D:$D,0),MATCH('2018'!L$6,DataEx!$7:$7,0))</f>
        <v>1616613.01</v>
      </c>
      <c r="M24" s="200">
        <f>+INDEX(DataEx!$1:$1048576,MATCH('2018'!$A24,DataEx!$D:$D,0),MATCH('2018'!M$6,DataEx!$7:$7,0))</f>
        <v>2005608.26</v>
      </c>
      <c r="N24" s="200">
        <f>+INDEX(DataEx!$1:$1048576,MATCH('2018'!$A24,DataEx!$D:$D,0),MATCH('2018'!N$6,DataEx!$7:$7,0))</f>
        <v>1882210.04</v>
      </c>
      <c r="O24" s="200">
        <f>+INDEX(DataEx!$1:$1048576,MATCH('2018'!$A24,DataEx!$D:$D,0),MATCH('2018'!O$6,DataEx!$7:$7,0))</f>
        <v>1545122.56</v>
      </c>
      <c r="P24" s="200">
        <f>+INDEX(DataEx!$1:$1048576,MATCH('2018'!$A24,DataEx!$D:$D,0),MATCH('2018'!P$6,DataEx!$7:$7,0))</f>
        <v>1572482.29</v>
      </c>
      <c r="Q24" s="200">
        <f>+INDEX(DataEx!$1:$1048576,MATCH('2018'!$A24,DataEx!$D:$D,0),MATCH('2018'!Q$6,DataEx!$7:$7,0))</f>
        <v>1331866.75</v>
      </c>
      <c r="R24" s="274">
        <f>+INDEX(DataEx!$1:$1048576,MATCH('2018'!$A24,DataEx!$D:$D,0),MATCH('2018'!R$6,DataEx!$7:$7,0))</f>
        <v>1446961.78</v>
      </c>
      <c r="S24" s="272">
        <f t="shared" si="3"/>
        <v>16901007.650000002</v>
      </c>
      <c r="T24" s="273">
        <f t="shared" si="4"/>
        <v>3.6589395445000114E-3</v>
      </c>
      <c r="Y24" s="379"/>
    </row>
    <row r="25" spans="1:25">
      <c r="A25" s="175">
        <v>714</v>
      </c>
      <c r="B25" s="490" t="str">
        <f>+VLOOKUP($A25,Master!$D$27:$G$225,4,FALSE)</f>
        <v>Fees</v>
      </c>
      <c r="C25" s="491"/>
      <c r="D25" s="491"/>
      <c r="E25" s="491"/>
      <c r="F25" s="491"/>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90" t="str">
        <f>+VLOOKUP($A26,Master!$D$27:$G$225,4,FALSE)</f>
        <v>Other revenues</v>
      </c>
      <c r="C26" s="491"/>
      <c r="D26" s="491"/>
      <c r="E26" s="491"/>
      <c r="F26" s="491"/>
      <c r="G26" s="200">
        <f>+INDEX(DataEx!$1:$1048576,MATCH('2018'!$A26,DataEx!$D:$D,0),MATCH('2018'!G$6,DataEx!$7:$7,0))</f>
        <v>2425522.83</v>
      </c>
      <c r="H26" s="200">
        <f>+INDEX(DataEx!$1:$1048576,MATCH('2018'!$A26,DataEx!$D:$D,0),MATCH('2018'!H$6,DataEx!$7:$7,0))</f>
        <v>1609741.15</v>
      </c>
      <c r="I26" s="200">
        <f>+INDEX(DataEx!$1:$1048576,MATCH('2018'!$A26,DataEx!$D:$D,0),MATCH('2018'!I$6,DataEx!$7:$7,0))</f>
        <v>1991465.56</v>
      </c>
      <c r="J26" s="200">
        <f>+INDEX(DataEx!$1:$1048576,MATCH('2018'!$A26,DataEx!$D:$D,0),MATCH('2018'!J$6,DataEx!$7:$7,0))</f>
        <v>5482661.4299999997</v>
      </c>
      <c r="K26" s="200">
        <f>+INDEX(DataEx!$1:$1048576,MATCH('2018'!$A26,DataEx!$D:$D,0),MATCH('2018'!K$6,DataEx!$7:$7,0))</f>
        <v>2151496.35</v>
      </c>
      <c r="L26" s="200">
        <f>+INDEX(DataEx!$1:$1048576,MATCH('2018'!$A26,DataEx!$D:$D,0),MATCH('2018'!L$6,DataEx!$7:$7,0))</f>
        <v>2746748.26</v>
      </c>
      <c r="M26" s="200">
        <f>+INDEX(DataEx!$1:$1048576,MATCH('2018'!$A26,DataEx!$D:$D,0),MATCH('2018'!M$6,DataEx!$7:$7,0))</f>
        <v>3904620.91</v>
      </c>
      <c r="N26" s="200">
        <f>+INDEX(DataEx!$1:$1048576,MATCH('2018'!$A26,DataEx!$D:$D,0),MATCH('2018'!N$6,DataEx!$7:$7,0))</f>
        <v>3453591.6</v>
      </c>
      <c r="O26" s="200">
        <f>+INDEX(DataEx!$1:$1048576,MATCH('2018'!$A26,DataEx!$D:$D,0),MATCH('2018'!O$6,DataEx!$7:$7,0))</f>
        <v>37485104.390000001</v>
      </c>
      <c r="P26" s="200">
        <f>+INDEX(DataEx!$1:$1048576,MATCH('2018'!$A26,DataEx!$D:$D,0),MATCH('2018'!P$6,DataEx!$7:$7,0))</f>
        <v>2268381.7599999998</v>
      </c>
      <c r="Q26" s="200">
        <f>+INDEX(DataEx!$1:$1048576,MATCH('2018'!$A26,DataEx!$D:$D,0),MATCH('2018'!Q$6,DataEx!$7:$7,0))</f>
        <v>3459602.91</v>
      </c>
      <c r="R26" s="274">
        <f>+INDEX(DataEx!$1:$1048576,MATCH('2018'!$A26,DataEx!$D:$D,0),MATCH('2018'!R$6,DataEx!$7:$7,0))</f>
        <v>4336127.47</v>
      </c>
      <c r="S26" s="272">
        <f t="shared" si="3"/>
        <v>71315064.620000005</v>
      </c>
      <c r="T26" s="273">
        <f t="shared" si="4"/>
        <v>1.5439168803446561E-2</v>
      </c>
    </row>
    <row r="27" spans="1:25">
      <c r="A27" s="175">
        <v>73</v>
      </c>
      <c r="B27" s="490" t="str">
        <f>+VLOOKUP($A27,Master!$D$27:$G$225,4,FALSE)</f>
        <v>Receipts from Repayment of Loans and Funds Carried over from Previous Year</v>
      </c>
      <c r="C27" s="491"/>
      <c r="D27" s="491"/>
      <c r="E27" s="491"/>
      <c r="F27" s="491"/>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2374596.09</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942551.18</v>
      </c>
      <c r="S27" s="272">
        <f t="shared" si="3"/>
        <v>11285945.1</v>
      </c>
      <c r="T27" s="273">
        <f t="shared" si="4"/>
        <v>2.443321231408716E-3</v>
      </c>
    </row>
    <row r="28" spans="1:25" ht="13.5" thickBot="1">
      <c r="A28" s="175">
        <v>74</v>
      </c>
      <c r="B28" s="492" t="str">
        <f>+VLOOKUP($A28,Master!$D$27:$G$225,4,FALSE)</f>
        <v>Grants and Transfers</v>
      </c>
      <c r="C28" s="493"/>
      <c r="D28" s="493"/>
      <c r="E28" s="493"/>
      <c r="F28" s="493"/>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716886.96</v>
      </c>
      <c r="N28" s="200">
        <f>+INDEX(DataEx!$1:$1048576,MATCH('2018'!$A28,DataEx!$D:$D,0),MATCH('2018'!N$6,DataEx!$7:$7,0))</f>
        <v>259046.56</v>
      </c>
      <c r="O28" s="200">
        <f>+INDEX(DataEx!$1:$1048576,MATCH('2018'!$A28,DataEx!$D:$D,0),MATCH('2018'!O$6,DataEx!$7:$7,0))</f>
        <v>658145.13</v>
      </c>
      <c r="P28" s="200">
        <f>+INDEX(DataEx!$1:$1048576,MATCH('2018'!$A28,DataEx!$D:$D,0),MATCH('2018'!P$6,DataEx!$7:$7,0))</f>
        <v>1526648.73</v>
      </c>
      <c r="Q28" s="200">
        <f>+INDEX(DataEx!$1:$1048576,MATCH('2018'!$A28,DataEx!$D:$D,0),MATCH('2018'!Q$6,DataEx!$7:$7,0))</f>
        <v>4414865.1500000004</v>
      </c>
      <c r="R28" s="274">
        <f>+INDEX(DataEx!$1:$1048576,MATCH('2018'!$A28,DataEx!$D:$D,0),MATCH('2018'!R$6,DataEx!$7:$7,0))</f>
        <v>3855321.16</v>
      </c>
      <c r="S28" s="272">
        <f t="shared" si="3"/>
        <v>26709414.990000006</v>
      </c>
      <c r="T28" s="276">
        <f t="shared" si="4"/>
        <v>5.7823850944989296E-3</v>
      </c>
    </row>
    <row r="29" spans="1:25" ht="13.5" thickBot="1">
      <c r="A29" s="175">
        <v>4</v>
      </c>
      <c r="B29" s="478" t="str">
        <f>+VLOOKUP($A29,Master!$D$27:$G$225,4,FALSE)</f>
        <v>Total Expenditures</v>
      </c>
      <c r="C29" s="479"/>
      <c r="D29" s="479"/>
      <c r="E29" s="479"/>
      <c r="F29" s="479"/>
      <c r="G29" s="176">
        <f>+G31+G42+G48+SUM(G49:G53)</f>
        <v>106111880.91999999</v>
      </c>
      <c r="H29" s="176">
        <f t="shared" ref="H29:R29" si="5">+H31+H42+H48+SUM(H49:H53)</f>
        <v>118973047.13999999</v>
      </c>
      <c r="I29" s="176">
        <f t="shared" si="5"/>
        <v>172441842.06000003</v>
      </c>
      <c r="J29" s="176">
        <f t="shared" si="5"/>
        <v>163080353.41</v>
      </c>
      <c r="K29" s="176">
        <f t="shared" si="5"/>
        <v>141760488.21000001</v>
      </c>
      <c r="L29" s="176">
        <f t="shared" si="5"/>
        <v>162100744.01999998</v>
      </c>
      <c r="M29" s="176">
        <f t="shared" si="5"/>
        <v>155869732.34999999</v>
      </c>
      <c r="N29" s="176">
        <f t="shared" si="5"/>
        <v>127160004.33</v>
      </c>
      <c r="O29" s="176">
        <f t="shared" si="5"/>
        <v>166113295.93000001</v>
      </c>
      <c r="P29" s="176">
        <f t="shared" si="5"/>
        <v>158133326.80000001</v>
      </c>
      <c r="Q29" s="176">
        <f t="shared" si="5"/>
        <v>187133728.62</v>
      </c>
      <c r="R29" s="176">
        <f t="shared" si="5"/>
        <v>256047363.06999999</v>
      </c>
      <c r="S29" s="277">
        <f t="shared" si="3"/>
        <v>1914925806.8599999</v>
      </c>
      <c r="T29" s="278">
        <f t="shared" si="4"/>
        <v>0.41456686515987962</v>
      </c>
    </row>
    <row r="30" spans="1:25" ht="13.5" thickBot="1">
      <c r="A30" s="175">
        <v>41</v>
      </c>
      <c r="B30" s="494" t="str">
        <f>+VLOOKUP($A30,Master!$D$27:$G$225,4,FALSE)</f>
        <v>Current Expenditures</v>
      </c>
      <c r="C30" s="495"/>
      <c r="D30" s="495"/>
      <c r="E30" s="495"/>
      <c r="F30" s="495"/>
      <c r="G30" s="206">
        <f>+G29-G49</f>
        <v>104051306.64999999</v>
      </c>
      <c r="H30" s="206">
        <f t="shared" ref="H30:R30" si="6">+H29-H49</f>
        <v>116014651.64999999</v>
      </c>
      <c r="I30" s="206">
        <f t="shared" si="6"/>
        <v>161635336.39000005</v>
      </c>
      <c r="J30" s="206">
        <f t="shared" si="6"/>
        <v>134304861.93000001</v>
      </c>
      <c r="K30" s="206">
        <f t="shared" si="6"/>
        <v>129446129.29000001</v>
      </c>
      <c r="L30" s="206">
        <f t="shared" si="6"/>
        <v>139850147.45999998</v>
      </c>
      <c r="M30" s="206">
        <f t="shared" si="6"/>
        <v>133650268.63</v>
      </c>
      <c r="N30" s="206">
        <f t="shared" si="6"/>
        <v>120092933.75999999</v>
      </c>
      <c r="O30" s="206">
        <f t="shared" si="6"/>
        <v>127759879.86000001</v>
      </c>
      <c r="P30" s="206">
        <f t="shared" si="6"/>
        <v>130847228.48000002</v>
      </c>
      <c r="Q30" s="206">
        <f t="shared" si="6"/>
        <v>162421720.44</v>
      </c>
      <c r="R30" s="206">
        <f t="shared" si="6"/>
        <v>211488892.13999999</v>
      </c>
      <c r="S30" s="431">
        <f t="shared" si="3"/>
        <v>1671563356.6800003</v>
      </c>
      <c r="T30" s="280">
        <f t="shared" si="4"/>
        <v>0.36188074661297664</v>
      </c>
    </row>
    <row r="31" spans="1:25">
      <c r="A31" s="175">
        <v>40</v>
      </c>
      <c r="B31" s="496" t="str">
        <f>+VLOOKUP($A31,Master!$D$27:$G$225,4,FALSE)</f>
        <v>Current Budgetary Consumption</v>
      </c>
      <c r="C31" s="497"/>
      <c r="D31" s="497"/>
      <c r="E31" s="497"/>
      <c r="F31" s="497"/>
      <c r="G31" s="212">
        <f>+SUM(G32:G41)</f>
        <v>48875827.799999997</v>
      </c>
      <c r="H31" s="212">
        <f t="shared" ref="H31:R31" si="7">+SUM(H32:H41)</f>
        <v>54703640.709999993</v>
      </c>
      <c r="I31" s="212">
        <f t="shared" si="7"/>
        <v>95706627.480000019</v>
      </c>
      <c r="J31" s="212">
        <f t="shared" si="7"/>
        <v>72361165.059999987</v>
      </c>
      <c r="K31" s="212">
        <f t="shared" si="7"/>
        <v>66899583.370000005</v>
      </c>
      <c r="L31" s="212">
        <f t="shared" si="7"/>
        <v>72162166.459999993</v>
      </c>
      <c r="M31" s="212">
        <f t="shared" si="7"/>
        <v>62873678.450000003</v>
      </c>
      <c r="N31" s="212">
        <f t="shared" si="7"/>
        <v>54571129.889999993</v>
      </c>
      <c r="O31" s="212">
        <f t="shared" si="7"/>
        <v>63478184.120000005</v>
      </c>
      <c r="P31" s="212">
        <f t="shared" si="7"/>
        <v>65885930.929999992</v>
      </c>
      <c r="Q31" s="212">
        <f t="shared" si="7"/>
        <v>94991094.110000014</v>
      </c>
      <c r="R31" s="281">
        <f t="shared" si="7"/>
        <v>114128464.19999999</v>
      </c>
      <c r="S31" s="432">
        <f t="shared" si="3"/>
        <v>866637492.57999992</v>
      </c>
      <c r="T31" s="268">
        <f t="shared" si="4"/>
        <v>0.18762042228572665</v>
      </c>
    </row>
    <row r="32" spans="1:25">
      <c r="A32" s="175">
        <v>411</v>
      </c>
      <c r="B32" s="488" t="str">
        <f>+VLOOKUP($A32,Master!$D$27:$G$225,4,FALSE)</f>
        <v>Gross Salaries and Contributions</v>
      </c>
      <c r="C32" s="489"/>
      <c r="D32" s="489"/>
      <c r="E32" s="489"/>
      <c r="F32" s="489"/>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88" t="str">
        <f>+VLOOKUP($A33,Master!$D$27:$G$225,4,FALSE)</f>
        <v>Other Personal Income</v>
      </c>
      <c r="C33" s="489"/>
      <c r="D33" s="489"/>
      <c r="E33" s="489"/>
      <c r="F33" s="489"/>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88" t="str">
        <f>+VLOOKUP($A34,Master!$D$27:$G$225,4,FALSE)</f>
        <v>Expenditures for Supplies</v>
      </c>
      <c r="C34" s="489"/>
      <c r="D34" s="489"/>
      <c r="E34" s="489"/>
      <c r="F34" s="489"/>
      <c r="G34" s="188">
        <f>+INDEX(DataEx!$1:$1048576,MATCH('2018'!$A34,DataEx!$D:$D,0),MATCH('2018'!G$6,DataEx!$7:$7,0))</f>
        <v>1028193.82</v>
      </c>
      <c r="H34" s="188">
        <f>+INDEX(DataEx!$1:$1048576,MATCH('2018'!$A34,DataEx!$D:$D,0),MATCH('2018'!H$6,DataEx!$7:$7,0))</f>
        <v>2319006.39</v>
      </c>
      <c r="I34" s="188">
        <f>+INDEX(DataEx!$1:$1048576,MATCH('2018'!$A34,DataEx!$D:$D,0),MATCH('2018'!I$6,DataEx!$7:$7,0))</f>
        <v>3799655</v>
      </c>
      <c r="J34" s="188">
        <f>+INDEX(DataEx!$1:$1048576,MATCH('2018'!$A34,DataEx!$D:$D,0),MATCH('2018'!J$6,DataEx!$7:$7,0))</f>
        <v>2444213.75</v>
      </c>
      <c r="K34" s="188">
        <f>+INDEX(DataEx!$1:$1048576,MATCH('2018'!$A34,DataEx!$D:$D,0),MATCH('2018'!K$6,DataEx!$7:$7,0))</f>
        <v>2819164.34</v>
      </c>
      <c r="L34" s="188">
        <f>+INDEX(DataEx!$1:$1048576,MATCH('2018'!$A34,DataEx!$D:$D,0),MATCH('2018'!L$6,DataEx!$7:$7,0))</f>
        <v>2228904.96</v>
      </c>
      <c r="M34" s="188">
        <f>+INDEX(DataEx!$1:$1048576,MATCH('2018'!$A34,DataEx!$D:$D,0),MATCH('2018'!M$6,DataEx!$7:$7,0))</f>
        <v>2858658.74</v>
      </c>
      <c r="N34" s="188">
        <f>+INDEX(DataEx!$1:$1048576,MATCH('2018'!$A34,DataEx!$D:$D,0),MATCH('2018'!N$6,DataEx!$7:$7,0))</f>
        <v>2380224.89</v>
      </c>
      <c r="O34" s="188">
        <f>+INDEX(DataEx!$1:$1048576,MATCH('2018'!$A34,DataEx!$D:$D,0),MATCH('2018'!O$6,DataEx!$7:$7,0))</f>
        <v>1933588.85</v>
      </c>
      <c r="P34" s="188">
        <f>+INDEX(DataEx!$1:$1048576,MATCH('2018'!$A34,DataEx!$D:$D,0),MATCH('2018'!P$6,DataEx!$7:$7,0))</f>
        <v>2993464.74</v>
      </c>
      <c r="Q34" s="188">
        <f>+INDEX(DataEx!$1:$1048576,MATCH('2018'!$A34,DataEx!$D:$D,0),MATCH('2018'!Q$6,DataEx!$7:$7,0))</f>
        <v>3031428.93</v>
      </c>
      <c r="R34" s="188">
        <f>+INDEX(DataEx!$1:$1048576,MATCH('2018'!$A34,DataEx!$D:$D,0),MATCH('2018'!R$6,DataEx!$7:$7,0))</f>
        <v>8894630.3100000005</v>
      </c>
      <c r="S34" s="269">
        <f t="shared" si="3"/>
        <v>36731134.720000006</v>
      </c>
      <c r="T34" s="270">
        <f t="shared" si="4"/>
        <v>7.9520111536879497E-3</v>
      </c>
      <c r="U34" s="385"/>
      <c r="V34" s="365"/>
    </row>
    <row r="35" spans="1:22">
      <c r="A35" s="175">
        <v>414</v>
      </c>
      <c r="B35" s="488" t="str">
        <f>+VLOOKUP($A35,Master!$D$27:$G$225,4,FALSE)</f>
        <v>Expenditures for Services</v>
      </c>
      <c r="C35" s="489"/>
      <c r="D35" s="489"/>
      <c r="E35" s="489"/>
      <c r="F35" s="489"/>
      <c r="G35" s="188">
        <f>+INDEX(DataEx!$1:$1048576,MATCH('2018'!$A35,DataEx!$D:$D,0),MATCH('2018'!G$6,DataEx!$7:$7,0))</f>
        <v>1680235.02</v>
      </c>
      <c r="H35" s="188">
        <f>+INDEX(DataEx!$1:$1048576,MATCH('2018'!$A35,DataEx!$D:$D,0),MATCH('2018'!H$6,DataEx!$7:$7,0))</f>
        <v>3138627.78</v>
      </c>
      <c r="I35" s="188">
        <f>+INDEX(DataEx!$1:$1048576,MATCH('2018'!$A35,DataEx!$D:$D,0),MATCH('2018'!I$6,DataEx!$7:$7,0))</f>
        <v>4224659.0199999996</v>
      </c>
      <c r="J35" s="188">
        <f>+INDEX(DataEx!$1:$1048576,MATCH('2018'!$A35,DataEx!$D:$D,0),MATCH('2018'!J$6,DataEx!$7:$7,0))</f>
        <v>4569774.72</v>
      </c>
      <c r="K35" s="188">
        <f>+INDEX(DataEx!$1:$1048576,MATCH('2018'!$A35,DataEx!$D:$D,0),MATCH('2018'!K$6,DataEx!$7:$7,0))</f>
        <v>4902792.45</v>
      </c>
      <c r="L35" s="188">
        <f>+INDEX(DataEx!$1:$1048576,MATCH('2018'!$A35,DataEx!$D:$D,0),MATCH('2018'!L$6,DataEx!$7:$7,0))</f>
        <v>14378872.84</v>
      </c>
      <c r="M35" s="188">
        <f>+INDEX(DataEx!$1:$1048576,MATCH('2018'!$A35,DataEx!$D:$D,0),MATCH('2018'!M$6,DataEx!$7:$7,0))</f>
        <v>4934074.01</v>
      </c>
      <c r="N35" s="188">
        <f>+INDEX(DataEx!$1:$1048576,MATCH('2018'!$A35,DataEx!$D:$D,0),MATCH('2018'!N$6,DataEx!$7:$7,0))</f>
        <v>3590546.61</v>
      </c>
      <c r="O35" s="188">
        <f>+INDEX(DataEx!$1:$1048576,MATCH('2018'!$A35,DataEx!$D:$D,0),MATCH('2018'!O$6,DataEx!$7:$7,0))</f>
        <v>5520674.5999999996</v>
      </c>
      <c r="P35" s="188">
        <f>+INDEX(DataEx!$1:$1048576,MATCH('2018'!$A35,DataEx!$D:$D,0),MATCH('2018'!P$6,DataEx!$7:$7,0))</f>
        <v>5584761.9900000002</v>
      </c>
      <c r="Q35" s="188">
        <f>+INDEX(DataEx!$1:$1048576,MATCH('2018'!$A35,DataEx!$D:$D,0),MATCH('2018'!Q$6,DataEx!$7:$7,0))</f>
        <v>5166021.46</v>
      </c>
      <c r="R35" s="188">
        <f>+INDEX(DataEx!$1:$1048576,MATCH('2018'!$A35,DataEx!$D:$D,0),MATCH('2018'!R$6,DataEx!$7:$7,0))</f>
        <v>17447882.190000001</v>
      </c>
      <c r="S35" s="269">
        <f t="shared" si="3"/>
        <v>75138922.689999998</v>
      </c>
      <c r="T35" s="270">
        <f t="shared" si="4"/>
        <v>1.6267004977160052E-2</v>
      </c>
    </row>
    <row r="36" spans="1:22">
      <c r="A36" s="175">
        <v>415</v>
      </c>
      <c r="B36" s="488" t="str">
        <f>+VLOOKUP($A36,Master!$D$27:$G$225,4,FALSE)</f>
        <v>Current Maintenance</v>
      </c>
      <c r="C36" s="489"/>
      <c r="D36" s="489"/>
      <c r="E36" s="489"/>
      <c r="F36" s="489"/>
      <c r="G36" s="188">
        <f>+INDEX(DataEx!$1:$1048576,MATCH('2018'!$A36,DataEx!$D:$D,0),MATCH('2018'!G$6,DataEx!$7:$7,0))</f>
        <v>106817.18</v>
      </c>
      <c r="H36" s="188">
        <f>+INDEX(DataEx!$1:$1048576,MATCH('2018'!$A36,DataEx!$D:$D,0),MATCH('2018'!H$6,DataEx!$7:$7,0))</f>
        <v>1250394.3700000001</v>
      </c>
      <c r="I36" s="188">
        <f>+INDEX(DataEx!$1:$1048576,MATCH('2018'!$A36,DataEx!$D:$D,0),MATCH('2018'!I$6,DataEx!$7:$7,0))</f>
        <v>1932637.76</v>
      </c>
      <c r="J36" s="188">
        <f>+INDEX(DataEx!$1:$1048576,MATCH('2018'!$A36,DataEx!$D:$D,0),MATCH('2018'!J$6,DataEx!$7:$7,0))</f>
        <v>1701228.15</v>
      </c>
      <c r="K36" s="188">
        <f>+INDEX(DataEx!$1:$1048576,MATCH('2018'!$A36,DataEx!$D:$D,0),MATCH('2018'!K$6,DataEx!$7:$7,0))</f>
        <v>1674065.37</v>
      </c>
      <c r="L36" s="188">
        <f>+INDEX(DataEx!$1:$1048576,MATCH('2018'!$A36,DataEx!$D:$D,0),MATCH('2018'!L$6,DataEx!$7:$7,0))</f>
        <v>1595157.28</v>
      </c>
      <c r="M36" s="188">
        <f>+INDEX(DataEx!$1:$1048576,MATCH('2018'!$A36,DataEx!$D:$D,0),MATCH('2018'!M$6,DataEx!$7:$7,0))</f>
        <v>1764069.48</v>
      </c>
      <c r="N36" s="188">
        <f>+INDEX(DataEx!$1:$1048576,MATCH('2018'!$A36,DataEx!$D:$D,0),MATCH('2018'!N$6,DataEx!$7:$7,0))</f>
        <v>822546.3</v>
      </c>
      <c r="O36" s="188">
        <f>+INDEX(DataEx!$1:$1048576,MATCH('2018'!$A36,DataEx!$D:$D,0),MATCH('2018'!O$6,DataEx!$7:$7,0))</f>
        <v>2309329.44</v>
      </c>
      <c r="P36" s="188">
        <f>+INDEX(DataEx!$1:$1048576,MATCH('2018'!$A36,DataEx!$D:$D,0),MATCH('2018'!P$6,DataEx!$7:$7,0))</f>
        <v>1824056.36</v>
      </c>
      <c r="Q36" s="188">
        <f>+INDEX(DataEx!$1:$1048576,MATCH('2018'!$A36,DataEx!$D:$D,0),MATCH('2018'!Q$6,DataEx!$7:$7,0))</f>
        <v>1126241.5900000001</v>
      </c>
      <c r="R36" s="188">
        <f>+INDEX(DataEx!$1:$1048576,MATCH('2018'!$A36,DataEx!$D:$D,0),MATCH('2018'!R$6,DataEx!$7:$7,0))</f>
        <v>4866689.49</v>
      </c>
      <c r="S36" s="269">
        <f t="shared" si="3"/>
        <v>20973232.77</v>
      </c>
      <c r="T36" s="270">
        <f t="shared" si="4"/>
        <v>4.5405452945378967E-3</v>
      </c>
    </row>
    <row r="37" spans="1:22">
      <c r="A37" s="175">
        <v>416</v>
      </c>
      <c r="B37" s="488" t="str">
        <f>+VLOOKUP($A37,Master!$D$27:$G$225,4,FALSE)</f>
        <v>Interests</v>
      </c>
      <c r="C37" s="489"/>
      <c r="D37" s="489"/>
      <c r="E37" s="489"/>
      <c r="F37" s="489"/>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17000784.449999999</v>
      </c>
      <c r="K37" s="188">
        <f>+INDEX(DataEx!$1:$1048576,MATCH('2018'!$A37,DataEx!$D:$D,0),MATCH('2018'!K$6,DataEx!$7:$7,0))</f>
        <v>10064809.060000001</v>
      </c>
      <c r="L37" s="188">
        <f>+INDEX(DataEx!$1:$1048576,MATCH('2018'!$A37,DataEx!$D:$D,0),MATCH('2018'!L$6,DataEx!$7:$7,0))</f>
        <v>1838720.63</v>
      </c>
      <c r="M37" s="188">
        <f>+INDEX(DataEx!$1:$1048576,MATCH('2018'!$A37,DataEx!$D:$D,0),MATCH('2018'!M$6,DataEx!$7:$7,0))</f>
        <v>7518062.3499999996</v>
      </c>
      <c r="N37" s="188">
        <f>+INDEX(DataEx!$1:$1048576,MATCH('2018'!$A37,DataEx!$D:$D,0),MATCH('2018'!N$6,DataEx!$7:$7,0))</f>
        <v>1168435.74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5677848.6699999999</v>
      </c>
      <c r="S37" s="269">
        <f>+SUM(G37:R37)</f>
        <v>97597309.48999998</v>
      </c>
      <c r="T37" s="270">
        <f t="shared" si="4"/>
        <v>2.1129074817605158E-2</v>
      </c>
    </row>
    <row r="38" spans="1:22">
      <c r="A38" s="175">
        <v>417</v>
      </c>
      <c r="B38" s="488" t="str">
        <f>+VLOOKUP($A38,Master!$D$27:$G$225,4,FALSE)</f>
        <v>Rent</v>
      </c>
      <c r="C38" s="489"/>
      <c r="D38" s="489"/>
      <c r="E38" s="489"/>
      <c r="F38" s="489"/>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939048.68</v>
      </c>
      <c r="L38" s="188">
        <f>+INDEX(DataEx!$1:$1048576,MATCH('2018'!$A38,DataEx!$D:$D,0),MATCH('2018'!L$6,DataEx!$7:$7,0))</f>
        <v>835746.88</v>
      </c>
      <c r="M38" s="188">
        <f>+INDEX(DataEx!$1:$1048576,MATCH('2018'!$A38,DataEx!$D:$D,0),MATCH('2018'!M$6,DataEx!$7:$7,0))</f>
        <v>824828.88</v>
      </c>
      <c r="N38" s="188">
        <f>+INDEX(DataEx!$1:$1048576,MATCH('2018'!$A38,DataEx!$D:$D,0),MATCH('2018'!N$6,DataEx!$7:$7,0))</f>
        <v>555711.06999999995</v>
      </c>
      <c r="O38" s="188">
        <f>+INDEX(DataEx!$1:$1048576,MATCH('2018'!$A38,DataEx!$D:$D,0),MATCH('2018'!O$6,DataEx!$7:$7,0))</f>
        <v>949304.64</v>
      </c>
      <c r="P38" s="188">
        <f>+INDEX(DataEx!$1:$1048576,MATCH('2018'!$A38,DataEx!$D:$D,0),MATCH('2018'!P$6,DataEx!$7:$7,0))</f>
        <v>827176.94</v>
      </c>
      <c r="Q38" s="188">
        <f>+INDEX(DataEx!$1:$1048576,MATCH('2018'!$A38,DataEx!$D:$D,0),MATCH('2018'!Q$6,DataEx!$7:$7,0))</f>
        <v>584262.68000000005</v>
      </c>
      <c r="R38" s="188">
        <f>+INDEX(DataEx!$1:$1048576,MATCH('2018'!$A38,DataEx!$D:$D,0),MATCH('2018'!R$6,DataEx!$7:$7,0))</f>
        <v>2717616.81</v>
      </c>
      <c r="S38" s="269">
        <f t="shared" si="3"/>
        <v>10699128.550000001</v>
      </c>
      <c r="T38" s="270">
        <f t="shared" si="4"/>
        <v>2.3162799138360286E-3</v>
      </c>
    </row>
    <row r="39" spans="1:22">
      <c r="A39" s="175">
        <v>418</v>
      </c>
      <c r="B39" s="488" t="str">
        <f>+VLOOKUP($A39,Master!$D$27:$G$225,4,FALSE)</f>
        <v>Subsidies</v>
      </c>
      <c r="C39" s="489"/>
      <c r="D39" s="489"/>
      <c r="E39" s="489"/>
      <c r="F39" s="489"/>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88" t="str">
        <f>+VLOOKUP($A40,Master!$D$27:$G$225,4,FALSE)</f>
        <v>Other expenditures</v>
      </c>
      <c r="C40" s="489"/>
      <c r="D40" s="489"/>
      <c r="E40" s="489"/>
      <c r="F40" s="489"/>
      <c r="G40" s="188">
        <f>+INDEX(DataEx!$1:$1048576,MATCH('2018'!$A40,DataEx!$D:$D,0),MATCH('2018'!G$6,DataEx!$7:$7,0))</f>
        <v>586002.18999999994</v>
      </c>
      <c r="H40" s="188">
        <f>+INDEX(DataEx!$1:$1048576,MATCH('2018'!$A40,DataEx!$D:$D,0),MATCH('2018'!H$6,DataEx!$7:$7,0))</f>
        <v>3384331.52</v>
      </c>
      <c r="I40" s="188">
        <f>+INDEX(DataEx!$1:$1048576,MATCH('2018'!$A40,DataEx!$D:$D,0),MATCH('2018'!I$6,DataEx!$7:$7,0))</f>
        <v>2155321.13</v>
      </c>
      <c r="J40" s="188">
        <f>+INDEX(DataEx!$1:$1048576,MATCH('2018'!$A40,DataEx!$D:$D,0),MATCH('2018'!J$6,DataEx!$7:$7,0))</f>
        <v>2882966.63</v>
      </c>
      <c r="K40" s="188">
        <f>+INDEX(DataEx!$1:$1048576,MATCH('2018'!$A40,DataEx!$D:$D,0),MATCH('2018'!K$6,DataEx!$7:$7,0))</f>
        <v>2637225.6800000002</v>
      </c>
      <c r="L40" s="188">
        <f>+INDEX(DataEx!$1:$1048576,MATCH('2018'!$A40,DataEx!$D:$D,0),MATCH('2018'!L$6,DataEx!$7:$7,0))</f>
        <v>3635960.61</v>
      </c>
      <c r="M40" s="188">
        <f>+INDEX(DataEx!$1:$1048576,MATCH('2018'!$A40,DataEx!$D:$D,0),MATCH('2018'!M$6,DataEx!$7:$7,0))</f>
        <v>2919935.46</v>
      </c>
      <c r="N40" s="188">
        <f>+INDEX(DataEx!$1:$1048576,MATCH('2018'!$A40,DataEx!$D:$D,0),MATCH('2018'!N$6,DataEx!$7:$7,0))</f>
        <v>3454663.76</v>
      </c>
      <c r="O40" s="188">
        <f>+INDEX(DataEx!$1:$1048576,MATCH('2018'!$A40,DataEx!$D:$D,0),MATCH('2018'!O$6,DataEx!$7:$7,0))</f>
        <v>3201193.66</v>
      </c>
      <c r="P40" s="188">
        <f>+INDEX(DataEx!$1:$1048576,MATCH('2018'!$A40,DataEx!$D:$D,0),MATCH('2018'!P$6,DataEx!$7:$7,0))</f>
        <v>3091262.43</v>
      </c>
      <c r="Q40" s="188">
        <f>+INDEX(DataEx!$1:$1048576,MATCH('2018'!$A40,DataEx!$D:$D,0),MATCH('2018'!Q$6,DataEx!$7:$7,0))</f>
        <v>3357403.41</v>
      </c>
      <c r="R40" s="188">
        <f>+INDEX(DataEx!$1:$1048576,MATCH('2018'!$A40,DataEx!$D:$D,0),MATCH('2018'!R$6,DataEx!$7:$7,0))</f>
        <v>12250161.189999999</v>
      </c>
      <c r="S40" s="269">
        <f t="shared" si="3"/>
        <v>43556427.669999994</v>
      </c>
      <c r="T40" s="270">
        <f t="shared" si="4"/>
        <v>9.4296351388798664E-3</v>
      </c>
    </row>
    <row r="41" spans="1:22">
      <c r="A41" s="175">
        <v>440</v>
      </c>
      <c r="B41" s="488" t="str">
        <f>+VLOOKUP($A41,Master!$D$27:$G$225,4,FALSE)</f>
        <v>Current Capital Expenditure</v>
      </c>
      <c r="C41" s="489"/>
      <c r="D41" s="489"/>
      <c r="E41" s="489"/>
      <c r="F41" s="489"/>
      <c r="G41" s="188">
        <f>+INDEX(DataEx!$1:$1048576,MATCH('2018'!$A41,DataEx!$D:$D,0),MATCH('2018'!G$6,DataEx!$7:$7,0))</f>
        <v>3266992.16</v>
      </c>
      <c r="H41" s="188">
        <f>+INDEX(DataEx!$1:$1048576,MATCH('2018'!$A41,DataEx!$D:$D,0),MATCH('2018'!H$6,DataEx!$7:$7,0))</f>
        <v>1252962.76</v>
      </c>
      <c r="I41" s="188">
        <f>+INDEX(DataEx!$1:$1048576,MATCH('2018'!$A41,DataEx!$D:$D,0),MATCH('2018'!I$6,DataEx!$7:$7,0))</f>
        <v>2398205.81</v>
      </c>
      <c r="J41" s="188">
        <f>+INDEX(DataEx!$1:$1048576,MATCH('2018'!$A41,DataEx!$D:$D,0),MATCH('2018'!J$6,DataEx!$7:$7,0))</f>
        <v>2567489.7200000002</v>
      </c>
      <c r="K41" s="188">
        <f>+INDEX(DataEx!$1:$1048576,MATCH('2018'!$A41,DataEx!$D:$D,0),MATCH('2018'!K$6,DataEx!$7:$7,0))</f>
        <v>3090956.98</v>
      </c>
      <c r="L41" s="188">
        <f>+INDEX(DataEx!$1:$1048576,MATCH('2018'!$A41,DataEx!$D:$D,0),MATCH('2018'!L$6,DataEx!$7:$7,0))</f>
        <v>5031700.74</v>
      </c>
      <c r="M41" s="188">
        <f>+INDEX(DataEx!$1:$1048576,MATCH('2018'!$A41,DataEx!$D:$D,0),MATCH('2018'!M$6,DataEx!$7:$7,0))</f>
        <v>2615698.5299999998</v>
      </c>
      <c r="N41" s="188">
        <f>+INDEX(DataEx!$1:$1048576,MATCH('2018'!$A41,DataEx!$D:$D,0),MATCH('2018'!N$6,DataEx!$7:$7,0))</f>
        <v>2782160.17</v>
      </c>
      <c r="O41" s="188">
        <f>+INDEX(DataEx!$1:$1048576,MATCH('2018'!$A41,DataEx!$D:$D,0),MATCH('2018'!O$6,DataEx!$7:$7,0))</f>
        <v>3339367.45</v>
      </c>
      <c r="P41" s="188">
        <f>+INDEX(DataEx!$1:$1048576,MATCH('2018'!$A41,DataEx!$D:$D,0),MATCH('2018'!P$6,DataEx!$7:$7,0))</f>
        <v>5912379.6799999997</v>
      </c>
      <c r="Q41" s="188">
        <f>+INDEX(DataEx!$1:$1048576,MATCH('2018'!$A41,DataEx!$D:$D,0),MATCH('2018'!Q$6,DataEx!$7:$7,0))</f>
        <v>28699706.960000001</v>
      </c>
      <c r="R41" s="188">
        <f>+INDEX(DataEx!$1:$1048576,MATCH('2018'!$A41,DataEx!$D:$D,0),MATCH('2018'!R$6,DataEx!$7:$7,0))</f>
        <v>17413656</v>
      </c>
      <c r="S41" s="269">
        <f t="shared" si="3"/>
        <v>78371276.960000008</v>
      </c>
      <c r="T41" s="270">
        <f t="shared" si="4"/>
        <v>1.6966785079344463E-2</v>
      </c>
    </row>
    <row r="42" spans="1:22">
      <c r="A42" s="175">
        <v>42</v>
      </c>
      <c r="B42" s="484" t="str">
        <f>+VLOOKUP($A42,Master!$D$27:$G$225,4,FALSE)</f>
        <v>Social Security Transfers</v>
      </c>
      <c r="C42" s="485"/>
      <c r="D42" s="485"/>
      <c r="E42" s="485"/>
      <c r="F42" s="485"/>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88" t="str">
        <f>+VLOOKUP($A43,Master!$D$27:$G$225,4,FALSE)</f>
        <v>Social Security</v>
      </c>
      <c r="C43" s="489"/>
      <c r="D43" s="489"/>
      <c r="E43" s="489"/>
      <c r="F43" s="489"/>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88" t="str">
        <f>+VLOOKUP($A44,Master!$D$27:$G$225,4,FALSE)</f>
        <v>Funds for redundant labor</v>
      </c>
      <c r="C44" s="489"/>
      <c r="D44" s="489"/>
      <c r="E44" s="489"/>
      <c r="F44" s="489"/>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88" t="str">
        <f>+VLOOKUP($A45,Master!$D$27:$G$225,4,FALSE)</f>
        <v>Pension and Disability Insurance</v>
      </c>
      <c r="C45" s="489"/>
      <c r="D45" s="489"/>
      <c r="E45" s="489"/>
      <c r="F45" s="489"/>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88" t="str">
        <f>+VLOOKUP($A46,Master!$D$27:$G$225,4,FALSE)</f>
        <v>Other Health Care Transfers</v>
      </c>
      <c r="C46" s="489"/>
      <c r="D46" s="489"/>
      <c r="E46" s="489"/>
      <c r="F46" s="489"/>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59" t="str">
        <f>+VLOOKUP($A47,Master!$D$27:$G$225,4,FALSE)</f>
        <v>Other Health Care Insurance</v>
      </c>
      <c r="C47" s="560"/>
      <c r="D47" s="560"/>
      <c r="E47" s="560"/>
      <c r="F47" s="560"/>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86" t="str">
        <f>+VLOOKUP($A48,Master!$D$27:$G$225,4,FALSE)</f>
        <v xml:space="preserve">Transfers to Institutions, Individuals, NGO and Public Sector </v>
      </c>
      <c r="C48" s="487"/>
      <c r="D48" s="487"/>
      <c r="E48" s="487"/>
      <c r="F48" s="487"/>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15696656.369999999</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16865388.859999999</v>
      </c>
      <c r="Q48" s="200">
        <f>+INDEX(DataEx!$1:$1048576,MATCH('2018'!$A48,DataEx!$D:$D,0),MATCH('2018'!Q$6,DataEx!$7:$7,0))</f>
        <v>17575098.66</v>
      </c>
      <c r="R48" s="274">
        <f>+INDEX(DataEx!$1:$1048576,MATCH('2018'!$A48,DataEx!$D:$D,0),MATCH('2018'!R$6,DataEx!$7:$7,0))</f>
        <v>33426737.670000002</v>
      </c>
      <c r="S48" s="272">
        <f t="shared" si="3"/>
        <v>208728055.53999996</v>
      </c>
      <c r="T48" s="273">
        <f t="shared" si="4"/>
        <v>4.5188035664956369E-2</v>
      </c>
    </row>
    <row r="49" spans="1:22">
      <c r="A49" s="175">
        <v>44</v>
      </c>
      <c r="B49" s="486" t="str">
        <f>+VLOOKUP($A49,Master!$D$27:$G$225,4,FALSE)</f>
        <v>Capital Expenditure</v>
      </c>
      <c r="C49" s="487"/>
      <c r="D49" s="487"/>
      <c r="E49" s="487"/>
      <c r="F49" s="487"/>
      <c r="G49" s="200">
        <f>+INDEX(DataEx!$1:$1048576,MATCH('2018'!$A49,DataEx!$D:$D,0),MATCH('2018'!G$6,DataEx!$7:$7,0))</f>
        <v>2060574.27</v>
      </c>
      <c r="H49" s="200">
        <f>+INDEX(DataEx!$1:$1048576,MATCH('2018'!$A49,DataEx!$D:$D,0),MATCH('2018'!H$6,DataEx!$7:$7,0))</f>
        <v>2958395.49</v>
      </c>
      <c r="I49" s="200">
        <f>+INDEX(DataEx!$1:$1048576,MATCH('2018'!$A49,DataEx!$D:$D,0),MATCH('2018'!I$6,DataEx!$7:$7,0))</f>
        <v>10806505.67</v>
      </c>
      <c r="J49" s="200">
        <f>+INDEX(DataEx!$1:$1048576,MATCH('2018'!$A49,DataEx!$D:$D,0),MATCH('2018'!J$6,DataEx!$7:$7,0))</f>
        <v>28775491.48</v>
      </c>
      <c r="K49" s="200">
        <f>+INDEX(DataEx!$1:$1048576,MATCH('2018'!$A49,DataEx!$D:$D,0),MATCH('2018'!K$6,DataEx!$7:$7,0))</f>
        <v>12314358.92</v>
      </c>
      <c r="L49" s="200">
        <f>+INDEX(DataEx!$1:$1048576,MATCH('2018'!$A49,DataEx!$D:$D,0),MATCH('2018'!L$6,DataEx!$7:$7,0))</f>
        <v>22250596.559999999</v>
      </c>
      <c r="M49" s="200">
        <f>+INDEX(DataEx!$1:$1048576,MATCH('2018'!$A49,DataEx!$D:$D,0),MATCH('2018'!M$6,DataEx!$7:$7,0))</f>
        <v>22219463.719999999</v>
      </c>
      <c r="N49" s="200">
        <f>+INDEX(DataEx!$1:$1048576,MATCH('2018'!$A49,DataEx!$D:$D,0),MATCH('2018'!N$6,DataEx!$7:$7,0))</f>
        <v>7067070.5700000003</v>
      </c>
      <c r="O49" s="200">
        <f>+INDEX(DataEx!$1:$1048576,MATCH('2018'!$A49,DataEx!$D:$D,0),MATCH('2018'!O$6,DataEx!$7:$7,0))</f>
        <v>38353416.07</v>
      </c>
      <c r="P49" s="200">
        <f>+INDEX(DataEx!$1:$1048576,MATCH('2018'!$A49,DataEx!$D:$D,0),MATCH('2018'!P$6,DataEx!$7:$7,0))</f>
        <v>27286098.32</v>
      </c>
      <c r="Q49" s="200">
        <f>+INDEX(DataEx!$1:$1048576,MATCH('2018'!$A49,DataEx!$D:$D,0),MATCH('2018'!Q$6,DataEx!$7:$7,0))</f>
        <v>24712008.18</v>
      </c>
      <c r="R49" s="200">
        <f>+INDEX(DataEx!$1:$1048576,MATCH('2018'!$A49,DataEx!$D:$D,0),MATCH('2018'!R$6,DataEx!$7:$7,0))</f>
        <v>44558470.93</v>
      </c>
      <c r="S49" s="272">
        <f t="shared" si="3"/>
        <v>243362450.18000001</v>
      </c>
      <c r="T49" s="273">
        <f t="shared" si="4"/>
        <v>5.2686118546903075E-2</v>
      </c>
    </row>
    <row r="50" spans="1:22">
      <c r="A50" s="175">
        <v>451</v>
      </c>
      <c r="B50" s="553" t="str">
        <f>+VLOOKUP($A50,Master!$D$27:$G$225,4,FALSE)</f>
        <v>Credits and Borrowings</v>
      </c>
      <c r="C50" s="554"/>
      <c r="D50" s="554"/>
      <c r="E50" s="554"/>
      <c r="F50" s="554"/>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56" t="str">
        <f>+VLOOKUP($A51,Master!$D$27:$G$225,4,FALSE)</f>
        <v>Reserves</v>
      </c>
      <c r="C51" s="457"/>
      <c r="D51" s="457"/>
      <c r="E51" s="457"/>
      <c r="F51" s="457"/>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4" t="str">
        <f>+VLOOKUP($A52,Master!$D$27:$G$225,4,FALSE)</f>
        <v>Repayment of Guarantees</v>
      </c>
      <c r="C52" s="475"/>
      <c r="D52" s="475"/>
      <c r="E52" s="475"/>
      <c r="F52" s="475"/>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55" t="str">
        <f>+VLOOKUP($A53,Master!$D$27:$G$225,4,TRUE)</f>
        <v>Repayments of Arrears</v>
      </c>
      <c r="C53" s="556"/>
      <c r="D53" s="556"/>
      <c r="E53" s="556"/>
      <c r="F53" s="556"/>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4562283.55</v>
      </c>
      <c r="N53" s="224">
        <f>+INDEX(DataEx!$1:$1048576,MATCH('2018'!$A53,DataEx!$D:$D,0),MATCH('2018'!N$6,DataEx!$7:$7,0))</f>
        <v>924617.69</v>
      </c>
      <c r="O53" s="224">
        <f>+INDEX(DataEx!$1:$1048576,MATCH('2018'!$A53,DataEx!$D:$D,0),MATCH('2018'!O$6,DataEx!$7:$7,0))</f>
        <v>872755.39</v>
      </c>
      <c r="P53" s="224">
        <f>+INDEX(DataEx!$1:$1048576,MATCH('2018'!$A53,DataEx!$D:$D,0),MATCH('2018'!P$6,DataEx!$7:$7,0))</f>
        <v>1966075.9</v>
      </c>
      <c r="Q53" s="224">
        <f>+INDEX(DataEx!$1:$1048576,MATCH('2018'!$A53,DataEx!$D:$D,0),MATCH('2018'!Q$6,DataEx!$7:$7,0))</f>
        <v>1659582.3</v>
      </c>
      <c r="R53" s="224">
        <f>+INDEX(DataEx!$1:$1048576,MATCH('2018'!$A53,DataEx!$D:$D,0),MATCH('2018'!R$6,DataEx!$7:$7,0))</f>
        <v>1578931.59</v>
      </c>
      <c r="S53" s="433">
        <f>+SUM(G53:R53)</f>
        <v>23228368.030000001</v>
      </c>
      <c r="T53" s="284">
        <f>+S53/$T$7</f>
        <v>5.0287649174081536E-3</v>
      </c>
    </row>
    <row r="54" spans="1:22" ht="13.5" thickBot="1">
      <c r="A54" s="71">
        <v>1005</v>
      </c>
      <c r="B54" s="557" t="str">
        <f>+VLOOKUP($A54,Master!$D$27:$G$227,4,FALSE)</f>
        <v>Net increase of liabilities</v>
      </c>
      <c r="C54" s="558"/>
      <c r="D54" s="558"/>
      <c r="E54" s="558"/>
      <c r="F54" s="558"/>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28097590.27</v>
      </c>
      <c r="S54" s="135">
        <f>+SUM(G54:R54)</f>
        <v>28097590.27</v>
      </c>
      <c r="T54" s="136">
        <f>+S54/$T$7</f>
        <v>6.0829144790110626E-3</v>
      </c>
    </row>
    <row r="55" spans="1:22" ht="13.5" thickBot="1">
      <c r="A55" s="169">
        <v>1000</v>
      </c>
      <c r="B55" s="480" t="str">
        <f>+VLOOKUP($A55,Master!$D$27:$G$225,4,FALSE)</f>
        <v>Surplus / deficit</v>
      </c>
      <c r="C55" s="481"/>
      <c r="D55" s="481"/>
      <c r="E55" s="481"/>
      <c r="F55" s="481"/>
      <c r="G55" s="176">
        <f t="shared" ref="G55:R55" si="9">+G10-G29</f>
        <v>-24538834.569999993</v>
      </c>
      <c r="H55" s="176">
        <f t="shared" si="9"/>
        <v>-11892939.799999982</v>
      </c>
      <c r="I55" s="176">
        <f t="shared" si="9"/>
        <v>-33617099.900000036</v>
      </c>
      <c r="J55" s="176">
        <f t="shared" si="9"/>
        <v>-6242156.6799999774</v>
      </c>
      <c r="K55" s="176">
        <f t="shared" si="9"/>
        <v>-2917341.5200000107</v>
      </c>
      <c r="L55" s="176">
        <f t="shared" si="9"/>
        <v>-21387841.279999971</v>
      </c>
      <c r="M55" s="176">
        <f t="shared" si="9"/>
        <v>4663865.349999994</v>
      </c>
      <c r="N55" s="176">
        <f t="shared" si="9"/>
        <v>34104025.840000018</v>
      </c>
      <c r="O55" s="176">
        <f t="shared" si="9"/>
        <v>21220000.719999999</v>
      </c>
      <c r="P55" s="176">
        <f t="shared" si="9"/>
        <v>-12364672.099999994</v>
      </c>
      <c r="Q55" s="176">
        <f t="shared" si="9"/>
        <v>-44897753.730000019</v>
      </c>
      <c r="R55" s="176">
        <f t="shared" si="9"/>
        <v>-71036772.050000012</v>
      </c>
      <c r="S55" s="285">
        <f t="shared" si="3"/>
        <v>-168907519.71999997</v>
      </c>
      <c r="T55" s="286">
        <f t="shared" si="4"/>
        <v>-3.6567192682557204E-2</v>
      </c>
    </row>
    <row r="56" spans="1:22" ht="13.5" thickBot="1">
      <c r="A56" s="169">
        <v>1001</v>
      </c>
      <c r="B56" s="482" t="str">
        <f>+VLOOKUP($A56,Master!$D$27:$G$225,4,FALSE)</f>
        <v>Primary balance</v>
      </c>
      <c r="C56" s="483"/>
      <c r="D56" s="483"/>
      <c r="E56" s="483"/>
      <c r="F56" s="483"/>
      <c r="G56" s="230">
        <f>+G55+G37</f>
        <v>-20214757.019999992</v>
      </c>
      <c r="H56" s="230">
        <f t="shared" ref="H56:R56" si="10">+H55+H37</f>
        <v>-10842138.569999982</v>
      </c>
      <c r="I56" s="230">
        <f t="shared" si="10"/>
        <v>5897576.8099999651</v>
      </c>
      <c r="J56" s="230">
        <f t="shared" si="10"/>
        <v>10758627.770000022</v>
      </c>
      <c r="K56" s="230">
        <f t="shared" si="10"/>
        <v>7147467.5399999898</v>
      </c>
      <c r="L56" s="230">
        <f t="shared" si="10"/>
        <v>-19549120.649999972</v>
      </c>
      <c r="M56" s="230">
        <f t="shared" si="10"/>
        <v>12181927.699999994</v>
      </c>
      <c r="N56" s="230">
        <f t="shared" si="10"/>
        <v>35272461.580000021</v>
      </c>
      <c r="O56" s="230">
        <f t="shared" si="10"/>
        <v>24837356.32</v>
      </c>
      <c r="P56" s="230">
        <f t="shared" si="10"/>
        <v>-10825983.799999993</v>
      </c>
      <c r="Q56" s="230">
        <f t="shared" si="10"/>
        <v>-40614704.530000016</v>
      </c>
      <c r="R56" s="230">
        <f t="shared" si="10"/>
        <v>-65358923.38000001</v>
      </c>
      <c r="S56" s="285">
        <f t="shared" si="3"/>
        <v>-71310210.229999974</v>
      </c>
      <c r="T56" s="286">
        <f t="shared" si="4"/>
        <v>-1.5438117864952042E-2</v>
      </c>
    </row>
    <row r="57" spans="1:22">
      <c r="A57" s="169">
        <v>46</v>
      </c>
      <c r="B57" s="551" t="str">
        <f>+VLOOKUP($A57,Master!$D$27:$G$225,4,FALSE)</f>
        <v>Repayment of Debt</v>
      </c>
      <c r="C57" s="552"/>
      <c r="D57" s="552"/>
      <c r="E57" s="552"/>
      <c r="F57" s="552"/>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472" t="str">
        <f>+VLOOKUP($A58,Master!$D$27:$G$225,4,FALSE)</f>
        <v>Repayment of Domestic Debt</v>
      </c>
      <c r="C58" s="473"/>
      <c r="D58" s="473"/>
      <c r="E58" s="473"/>
      <c r="F58" s="473"/>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56" t="str">
        <f>+VLOOKUP($A59,Master!$D$27:$G$225,4,FALSE)</f>
        <v>Repayment of Foreign Debt</v>
      </c>
      <c r="C59" s="457"/>
      <c r="D59" s="457"/>
      <c r="E59" s="457"/>
      <c r="F59" s="457"/>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551" t="str">
        <f>+VLOOKUP($A60,Master!$D$27:$G$225,4,FALSE)</f>
        <v>Capital Expenditure for Securities</v>
      </c>
      <c r="C60" s="552"/>
      <c r="D60" s="552"/>
      <c r="E60" s="552"/>
      <c r="F60" s="552"/>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476" t="str">
        <f>+VLOOKUP($A61,Master!$D$27:$G$225,4,FALSE)</f>
        <v>Financing needs</v>
      </c>
      <c r="C61" s="477"/>
      <c r="D61" s="477"/>
      <c r="E61" s="477"/>
      <c r="F61" s="477"/>
      <c r="G61" s="242">
        <f>+G55-G57-G60</f>
        <v>-50738999.549999997</v>
      </c>
      <c r="H61" s="242">
        <f t="shared" ref="H61:R61" si="12">+H55-H57-H60</f>
        <v>-66381911.55999998</v>
      </c>
      <c r="I61" s="242">
        <f t="shared" si="12"/>
        <v>-52683124.390000038</v>
      </c>
      <c r="J61" s="242">
        <f t="shared" si="12"/>
        <v>-388574628.66999996</v>
      </c>
      <c r="K61" s="242">
        <f t="shared" si="12"/>
        <v>-86617632.640000015</v>
      </c>
      <c r="L61" s="242">
        <f t="shared" si="12"/>
        <v>-34317392.089999974</v>
      </c>
      <c r="M61" s="242">
        <f t="shared" si="12"/>
        <v>-39301900.670000009</v>
      </c>
      <c r="N61" s="242">
        <f t="shared" si="12"/>
        <v>-64476079.299999982</v>
      </c>
      <c r="O61" s="242">
        <f t="shared" si="12"/>
        <v>3796294.8200000003</v>
      </c>
      <c r="P61" s="242">
        <f t="shared" si="12"/>
        <v>-18396664.569999993</v>
      </c>
      <c r="Q61" s="242">
        <f t="shared" si="12"/>
        <v>-54488076.540000021</v>
      </c>
      <c r="R61" s="242">
        <f t="shared" si="12"/>
        <v>-82254161.13000001</v>
      </c>
      <c r="S61" s="291">
        <f t="shared" si="3"/>
        <v>-934434276.2899996</v>
      </c>
      <c r="T61" s="292">
        <f t="shared" si="4"/>
        <v>-0.20229791004524683</v>
      </c>
    </row>
    <row r="62" spans="1:22" ht="13.5" thickBot="1">
      <c r="A62" s="169">
        <v>1003</v>
      </c>
      <c r="B62" s="478" t="str">
        <f>+VLOOKUP($A62,Master!$D$27:$G$225,4,FALSE)</f>
        <v>Financing</v>
      </c>
      <c r="C62" s="479"/>
      <c r="D62" s="479"/>
      <c r="E62" s="479"/>
      <c r="F62" s="479"/>
      <c r="G62" s="176">
        <f>+SUM(G63:G66)</f>
        <v>50738999.549999997</v>
      </c>
      <c r="H62" s="176">
        <f t="shared" ref="H62:R62" si="13">+SUM(H63:H66)</f>
        <v>66381911.55999998</v>
      </c>
      <c r="I62" s="176">
        <f t="shared" si="13"/>
        <v>52683124.390000038</v>
      </c>
      <c r="J62" s="176">
        <f t="shared" si="13"/>
        <v>388574628.66999996</v>
      </c>
      <c r="K62" s="176">
        <f t="shared" si="13"/>
        <v>86617632.640000015</v>
      </c>
      <c r="L62" s="176">
        <f t="shared" si="13"/>
        <v>34317392.089999974</v>
      </c>
      <c r="M62" s="176">
        <f t="shared" si="13"/>
        <v>39301900.670000009</v>
      </c>
      <c r="N62" s="176">
        <f t="shared" si="13"/>
        <v>64476079.299999982</v>
      </c>
      <c r="O62" s="176">
        <f t="shared" si="13"/>
        <v>-3796294.8200000003</v>
      </c>
      <c r="P62" s="176">
        <f t="shared" si="13"/>
        <v>18396664.569999993</v>
      </c>
      <c r="Q62" s="176">
        <f t="shared" si="13"/>
        <v>54488076.540000021</v>
      </c>
      <c r="R62" s="176">
        <f t="shared" si="13"/>
        <v>82254161.13000001</v>
      </c>
      <c r="S62" s="293">
        <f t="shared" si="3"/>
        <v>934434276.2899996</v>
      </c>
      <c r="T62" s="294">
        <f t="shared" si="4"/>
        <v>0.20229791004524683</v>
      </c>
    </row>
    <row r="63" spans="1:22">
      <c r="A63" s="169">
        <v>7511</v>
      </c>
      <c r="B63" s="472" t="str">
        <f>+VLOOKUP($A63,Master!$D$27:$G$225,4,FALSE)</f>
        <v>Domestic Loans and Borrowings</v>
      </c>
      <c r="C63" s="473"/>
      <c r="D63" s="473"/>
      <c r="E63" s="473"/>
      <c r="F63" s="473"/>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56" t="str">
        <f>+VLOOKUP($A64,Master!$D$27:$G$225,4,FALSE)</f>
        <v>Foreign Loans and Borrowings</v>
      </c>
      <c r="C64" s="457"/>
      <c r="D64" s="457"/>
      <c r="E64" s="457"/>
      <c r="F64" s="457"/>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503121949.51999998</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24442619.199999999</v>
      </c>
      <c r="S64" s="289">
        <f t="shared" si="3"/>
        <v>909773438.82000017</v>
      </c>
      <c r="T64" s="290">
        <f t="shared" si="4"/>
        <v>0.19695902639475227</v>
      </c>
    </row>
    <row r="65" spans="1:20">
      <c r="A65" s="169">
        <v>72</v>
      </c>
      <c r="B65" s="456" t="str">
        <f>+VLOOKUP($A65,Master!$D$27:$G$225,4,FALSE)</f>
        <v>Revenues from Selling Assets</v>
      </c>
      <c r="C65" s="457"/>
      <c r="D65" s="457"/>
      <c r="E65" s="457"/>
      <c r="F65" s="457"/>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25846062.949999996</v>
      </c>
      <c r="H66" s="250">
        <f t="shared" ref="H66:R66" si="14">-H61-SUM(H63:H65)</f>
        <v>-25439657.240000017</v>
      </c>
      <c r="I66" s="250">
        <f t="shared" si="14"/>
        <v>24360167.480000034</v>
      </c>
      <c r="J66" s="250">
        <f t="shared" si="14"/>
        <v>-114655593.96000004</v>
      </c>
      <c r="K66" s="250">
        <f t="shared" si="14"/>
        <v>78728714.38000001</v>
      </c>
      <c r="L66" s="250">
        <f t="shared" si="14"/>
        <v>-242184361.89000005</v>
      </c>
      <c r="M66" s="250">
        <f t="shared" si="14"/>
        <v>5531991.6700000092</v>
      </c>
      <c r="N66" s="250">
        <f t="shared" si="14"/>
        <v>-7899309.0700000226</v>
      </c>
      <c r="O66" s="250">
        <f t="shared" si="14"/>
        <v>-20563117.84</v>
      </c>
      <c r="P66" s="250">
        <f t="shared" si="14"/>
        <v>-575826.98000000417</v>
      </c>
      <c r="Q66" s="250">
        <f t="shared" si="14"/>
        <v>15349603.270000026</v>
      </c>
      <c r="R66" s="250">
        <f t="shared" si="14"/>
        <v>56813082.99000001</v>
      </c>
      <c r="S66" s="295">
        <f>+SUM(G66:R66)</f>
        <v>-204688244.24000001</v>
      </c>
      <c r="T66" s="296">
        <f t="shared" si="4"/>
        <v>-4.4313447260288803E-2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43" t="str">
        <f>+Master!G252</f>
        <v>Planned Budget Execution</v>
      </c>
      <c r="C102" s="544"/>
      <c r="D102" s="544"/>
      <c r="E102" s="544"/>
      <c r="F102" s="544"/>
      <c r="G102" s="536">
        <v>2018</v>
      </c>
      <c r="H102" s="537"/>
      <c r="I102" s="537"/>
      <c r="J102" s="537"/>
      <c r="K102" s="537"/>
      <c r="L102" s="537"/>
      <c r="M102" s="537"/>
      <c r="N102" s="537"/>
      <c r="O102" s="537"/>
      <c r="P102" s="537"/>
      <c r="Q102" s="537"/>
      <c r="R102" s="538"/>
      <c r="S102" s="115" t="str">
        <f>+S7</f>
        <v>GDP</v>
      </c>
      <c r="T102" s="116">
        <f>+T7</f>
        <v>4619100000</v>
      </c>
    </row>
    <row r="103" spans="1:21" ht="15.75" customHeight="1">
      <c r="B103" s="545"/>
      <c r="C103" s="546"/>
      <c r="D103" s="546"/>
      <c r="E103" s="546"/>
      <c r="F103" s="547"/>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6" t="str">
        <f>+Master!G246</f>
        <v>Jan - Dec</v>
      </c>
      <c r="T103" s="538">
        <f>+T8</f>
        <v>0</v>
      </c>
    </row>
    <row r="104" spans="1:21" ht="13.5" thickBot="1">
      <c r="B104" s="548"/>
      <c r="C104" s="549"/>
      <c r="D104" s="549"/>
      <c r="E104" s="549"/>
      <c r="F104" s="550"/>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7">+CONCATENATE(A10,"p")</f>
        <v>7p</v>
      </c>
      <c r="B105" s="539" t="str">
        <f>+VLOOKUP(LEFT($A105,LEN(A105)-1)*1,Master!$D$27:$G$225,4,FALSE)</f>
        <v>Total Revenues</v>
      </c>
      <c r="C105" s="540"/>
      <c r="D105" s="540"/>
      <c r="E105" s="540"/>
      <c r="F105" s="540"/>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41" t="str">
        <f>+VLOOKUP(LEFT($A106,LEN(A106)-1)*1,Master!$D$27:$G$225,4,FALSE)</f>
        <v>Taxes</v>
      </c>
      <c r="C106" s="542"/>
      <c r="D106" s="542"/>
      <c r="E106" s="542"/>
      <c r="F106" s="542"/>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22" t="str">
        <f>+VLOOKUP(LEFT($A107,LEN(A107)-1)*1,Master!$D$27:$G$225,4,FALSE)</f>
        <v>Personal Income Tax</v>
      </c>
      <c r="C107" s="523"/>
      <c r="D107" s="523"/>
      <c r="E107" s="523"/>
      <c r="F107" s="523"/>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22" t="str">
        <f>+VLOOKUP(LEFT($A108,LEN(A108)-1)*1,Master!$D$27:$G$225,4,FALSE)</f>
        <v>Corporate Income Tax</v>
      </c>
      <c r="C108" s="523"/>
      <c r="D108" s="523"/>
      <c r="E108" s="523"/>
      <c r="F108" s="523"/>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22" t="str">
        <f>+VLOOKUP(LEFT($A109,LEN(A109)-1)*1,Master!$D$27:$G$225,4,FALSE)</f>
        <v xml:space="preserve">Taxes on Sales of Property </v>
      </c>
      <c r="C109" s="523"/>
      <c r="D109" s="523"/>
      <c r="E109" s="523"/>
      <c r="F109" s="523"/>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22" t="str">
        <f>+VLOOKUP(LEFT($A110,LEN(A110)-1)*1,Master!$D$27:$G$225,4,FALSE)</f>
        <v>Value Added Tax</v>
      </c>
      <c r="C110" s="523"/>
      <c r="D110" s="523"/>
      <c r="E110" s="523"/>
      <c r="F110" s="523"/>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22" t="str">
        <f>+VLOOKUP(LEFT($A111,LEN(A111)-1)*1,Master!$D$27:$G$225,4,FALSE)</f>
        <v>Excises</v>
      </c>
      <c r="C111" s="523"/>
      <c r="D111" s="523"/>
      <c r="E111" s="523"/>
      <c r="F111" s="523"/>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22" t="str">
        <f>+VLOOKUP(LEFT($A112,LEN(A112)-1)*1,Master!$D$27:$G$225,4,FALSE)</f>
        <v>Tax on International Trade and Transactions</v>
      </c>
      <c r="C112" s="523"/>
      <c r="D112" s="523"/>
      <c r="E112" s="523"/>
      <c r="F112" s="523"/>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22" t="str">
        <f>+VLOOKUP(LEFT($A113,LEN(A113)-1)*1,Master!$D$27:$G$225,4,FALSE)</f>
        <v>Other Republic Taxes</v>
      </c>
      <c r="C113" s="523"/>
      <c r="D113" s="523"/>
      <c r="E113" s="523"/>
      <c r="F113" s="523"/>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4" t="str">
        <f>+VLOOKUP(LEFT($A114,LEN(A114)-1)*1,Master!$D$27:$G$225,4,FALSE)</f>
        <v>Contributions</v>
      </c>
      <c r="C114" s="535"/>
      <c r="D114" s="535"/>
      <c r="E114" s="535"/>
      <c r="F114" s="535"/>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22" t="str">
        <f>+VLOOKUP(LEFT($A115,LEN(A115)-1)*1,Master!$D$27:$G$225,4,FALSE)</f>
        <v>Contributions for Pension and Disability Insurance</v>
      </c>
      <c r="C115" s="523"/>
      <c r="D115" s="523"/>
      <c r="E115" s="523"/>
      <c r="F115" s="523"/>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22" t="str">
        <f>+VLOOKUP(LEFT($A116,LEN(A116)-1)*1,Master!$D$27:$G$225,4,FALSE)</f>
        <v>Contributions for Health Insurance</v>
      </c>
      <c r="C116" s="523"/>
      <c r="D116" s="523"/>
      <c r="E116" s="523"/>
      <c r="F116" s="523"/>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22" t="str">
        <f>+VLOOKUP(LEFT($A117,LEN(A117)-1)*1,Master!$D$27:$G$225,4,FALSE)</f>
        <v>Contributions for  Unemployment Insurance</v>
      </c>
      <c r="C117" s="523"/>
      <c r="D117" s="523"/>
      <c r="E117" s="523"/>
      <c r="F117" s="523"/>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22" t="str">
        <f>+VLOOKUP(LEFT($A118,LEN(A118)-1)*1,Master!$D$27:$G$225,4,FALSE)</f>
        <v>Other contributions</v>
      </c>
      <c r="C118" s="523"/>
      <c r="D118" s="523"/>
      <c r="E118" s="523"/>
      <c r="F118" s="523"/>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26" t="str">
        <f>+VLOOKUP(LEFT($A119,LEN(A119)-1)*1,Master!$D$27:$G$225,4,FALSE)</f>
        <v>Duties</v>
      </c>
      <c r="C119" s="527"/>
      <c r="D119" s="527"/>
      <c r="E119" s="527"/>
      <c r="F119" s="527"/>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26" t="str">
        <f>+VLOOKUP(LEFT($A120,LEN(A120)-1)*1,Master!$D$27:$G$225,4,FALSE)</f>
        <v>Fees</v>
      </c>
      <c r="C120" s="527"/>
      <c r="D120" s="527"/>
      <c r="E120" s="527"/>
      <c r="F120" s="527"/>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26" t="str">
        <f>+VLOOKUP(LEFT($A121,LEN(A121)-1)*1,Master!$D$27:$G$225,4,FALSE)</f>
        <v>Other revenues</v>
      </c>
      <c r="C121" s="527"/>
      <c r="D121" s="527"/>
      <c r="E121" s="527"/>
      <c r="F121" s="527"/>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26" t="str">
        <f>+VLOOKUP(LEFT($A122,LEN(A122)-1)*1,Master!$D$27:$G$225,4,FALSE)</f>
        <v>Receipts from Repayment of Loans and Funds Carried over from Previous Year</v>
      </c>
      <c r="C122" s="527"/>
      <c r="D122" s="527"/>
      <c r="E122" s="527"/>
      <c r="F122" s="527"/>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28" t="str">
        <f>+VLOOKUP(LEFT($A123,LEN(A123)-1)*1,Master!$D$27:$G$225,4,FALSE)</f>
        <v>Grants and Transfers</v>
      </c>
      <c r="C123" s="529"/>
      <c r="D123" s="529"/>
      <c r="E123" s="529"/>
      <c r="F123" s="529"/>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12" t="str">
        <f>+VLOOKUP(LEFT($A124,LEN(A124)-1)*1,Master!$D$27:$G$225,4,FALSE)</f>
        <v>Total Expenditures</v>
      </c>
      <c r="C124" s="513"/>
      <c r="D124" s="513"/>
      <c r="E124" s="513"/>
      <c r="F124" s="513"/>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41p</v>
      </c>
      <c r="B125" s="530" t="str">
        <f>+VLOOKUP(LEFT($A125,LEN(A125)-1)*1,Master!$D$27:$G$225,4,FALSE)</f>
        <v>Current Expenditures</v>
      </c>
      <c r="C125" s="531"/>
      <c r="D125" s="531"/>
      <c r="E125" s="531"/>
      <c r="F125" s="531"/>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40p</v>
      </c>
      <c r="B126" s="532" t="str">
        <f>+VLOOKUP(LEFT($A126,LEN(A126)-1)*1,Master!$D$27:$G$225,4,FALSE)</f>
        <v>Current Budgetary Consumption</v>
      </c>
      <c r="C126" s="533"/>
      <c r="D126" s="533"/>
      <c r="E126" s="533"/>
      <c r="F126" s="533"/>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22" t="str">
        <f>+VLOOKUP(LEFT($A127,LEN(A127)-1)*1,Master!$D$27:$G$225,4,FALSE)</f>
        <v>Gross Salaries and Contributions</v>
      </c>
      <c r="C127" s="523"/>
      <c r="D127" s="523"/>
      <c r="E127" s="523"/>
      <c r="F127" s="523"/>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22" t="str">
        <f>+VLOOKUP(LEFT($A128,LEN(A128)-1)*1,Master!$D$27:$G$225,4,FALSE)</f>
        <v>Other Personal Income</v>
      </c>
      <c r="C128" s="523"/>
      <c r="D128" s="523"/>
      <c r="E128" s="523"/>
      <c r="F128" s="523"/>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22" t="str">
        <f>+VLOOKUP(LEFT($A129,LEN(A129)-1)*1,Master!$D$27:$G$225,4,FALSE)</f>
        <v>Expenditures for Supplies</v>
      </c>
      <c r="C129" s="523"/>
      <c r="D129" s="523"/>
      <c r="E129" s="523"/>
      <c r="F129" s="523"/>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22" t="str">
        <f>+VLOOKUP(LEFT($A130,LEN(A130)-1)*1,Master!$D$27:$G$225,4,FALSE)</f>
        <v>Expenditures for Services</v>
      </c>
      <c r="C130" s="523"/>
      <c r="D130" s="523"/>
      <c r="E130" s="523"/>
      <c r="F130" s="523"/>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22" t="str">
        <f>+VLOOKUP(LEFT($A131,LEN(A131)-1)*1,Master!$D$27:$G$225,4,FALSE)</f>
        <v>Current Maintenance</v>
      </c>
      <c r="C131" s="523"/>
      <c r="D131" s="523"/>
      <c r="E131" s="523"/>
      <c r="F131" s="523"/>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22" t="str">
        <f>+VLOOKUP(LEFT($A132,LEN(A132)-1)*1,Master!$D$27:$G$225,4,FALSE)</f>
        <v>Interests</v>
      </c>
      <c r="C132" s="523"/>
      <c r="D132" s="523"/>
      <c r="E132" s="523"/>
      <c r="F132" s="523"/>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22" t="str">
        <f>+VLOOKUP(LEFT($A133,LEN(A133)-1)*1,Master!$D$27:$G$225,4,FALSE)</f>
        <v>Rent</v>
      </c>
      <c r="C133" s="523"/>
      <c r="D133" s="523"/>
      <c r="E133" s="523"/>
      <c r="F133" s="523"/>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22" t="str">
        <f>+VLOOKUP(LEFT($A134,LEN(A134)-1)*1,Master!$D$27:$G$225,4,FALSE)</f>
        <v>Subsidies</v>
      </c>
      <c r="C134" s="523"/>
      <c r="D134" s="523"/>
      <c r="E134" s="523"/>
      <c r="F134" s="523"/>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22" t="str">
        <f>+VLOOKUP(LEFT($A135,LEN(A135)-1)*1,Master!$D$27:$G$225,4,FALSE)</f>
        <v>Other expenditures</v>
      </c>
      <c r="C135" s="523"/>
      <c r="D135" s="523"/>
      <c r="E135" s="523"/>
      <c r="F135" s="523"/>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22" t="str">
        <f>+VLOOKUP(LEFT($A136,LEN(A136)-1)*1,Master!$D$27:$G$225,4,FALSE)</f>
        <v>Current Capital Expenditure</v>
      </c>
      <c r="C136" s="523"/>
      <c r="D136" s="523"/>
      <c r="E136" s="523"/>
      <c r="F136" s="523"/>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18" t="str">
        <f>+VLOOKUP(LEFT($A137,LEN(A137)-1)*1,Master!$D$27:$G$225,4,FALSE)</f>
        <v>Social Security Transfers</v>
      </c>
      <c r="C137" s="519"/>
      <c r="D137" s="519"/>
      <c r="E137" s="519"/>
      <c r="F137" s="519"/>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22" t="str">
        <f>+VLOOKUP(LEFT($A138,LEN(A138)-1)*1,Master!$D$27:$G$225,4,FALSE)</f>
        <v>Social Security</v>
      </c>
      <c r="C138" s="523"/>
      <c r="D138" s="523"/>
      <c r="E138" s="523"/>
      <c r="F138" s="523"/>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22" t="str">
        <f>+VLOOKUP(LEFT($A139,LEN(A139)-1)*1,Master!$D$27:$G$225,4,FALSE)</f>
        <v>Funds for redundant labor</v>
      </c>
      <c r="C139" s="523"/>
      <c r="D139" s="523"/>
      <c r="E139" s="523"/>
      <c r="F139" s="523"/>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22" t="str">
        <f>+VLOOKUP(LEFT($A140,LEN(A140)-1)*1,Master!$D$27:$G$225,4,FALSE)</f>
        <v>Pension and Disability Insurance</v>
      </c>
      <c r="C140" s="523"/>
      <c r="D140" s="523"/>
      <c r="E140" s="523"/>
      <c r="F140" s="523"/>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22" t="str">
        <f>+VLOOKUP(LEFT($A141,LEN(A141)-1)*1,Master!$D$27:$G$225,4,FALSE)</f>
        <v>Other Health Care Transfers</v>
      </c>
      <c r="C141" s="523"/>
      <c r="D141" s="523"/>
      <c r="E141" s="523"/>
      <c r="F141" s="523"/>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22" t="str">
        <f>+VLOOKUP(LEFT($A142,LEN(A142)-1)*1,Master!$D$27:$G$225,4,FALSE)</f>
        <v>Other Health Care Insurance</v>
      </c>
      <c r="C142" s="523"/>
      <c r="D142" s="523"/>
      <c r="E142" s="523"/>
      <c r="F142" s="523"/>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24" t="str">
        <f>+VLOOKUP(LEFT($A143,LEN(A143)-1)*1,Master!$D$27:$G$225,4,FALSE)</f>
        <v xml:space="preserve">Transfers to Institutions, Individuals, NGO and Public Sector </v>
      </c>
      <c r="C143" s="525"/>
      <c r="D143" s="525"/>
      <c r="E143" s="525"/>
      <c r="F143" s="525"/>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24" t="str">
        <f>+VLOOKUP(LEFT($A144,LEN(A144)-1)*1,Master!$D$27:$G$225,4,FALSE)</f>
        <v>Capital Expenditure</v>
      </c>
      <c r="C144" s="525"/>
      <c r="D144" s="525"/>
      <c r="E144" s="525"/>
      <c r="F144" s="525"/>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06" t="str">
        <f>+VLOOKUP(LEFT($A145,LEN(A145)-1)*1,Master!$D$27:$G$225,4,FALSE)</f>
        <v>Credits and Borrowings</v>
      </c>
      <c r="C145" s="507"/>
      <c r="D145" s="507"/>
      <c r="E145" s="507"/>
      <c r="F145" s="507"/>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06" t="str">
        <f>+VLOOKUP(LEFT($A146,LEN(A146)-1)*1,Master!$D$27:$G$225,4,FALSE)</f>
        <v>Reserves</v>
      </c>
      <c r="C146" s="507"/>
      <c r="D146" s="507"/>
      <c r="E146" s="507"/>
      <c r="F146" s="507"/>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06" t="str">
        <f>+VLOOKUP(LEFT($A147,LEN(A147)-1)*1,Master!$D$27:$G$225,4,FALSE)</f>
        <v>Repayment of Guarantees</v>
      </c>
      <c r="C147" s="507"/>
      <c r="D147" s="507"/>
      <c r="E147" s="507"/>
      <c r="F147" s="507"/>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695</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14" t="str">
        <f>+VLOOKUP(LEFT($A149,LEN(A149)-1)*1,Master!$D$27:$G$225,4,FALSE)</f>
        <v>Surplus / deficit</v>
      </c>
      <c r="C149" s="515"/>
      <c r="D149" s="515"/>
      <c r="E149" s="515"/>
      <c r="F149" s="515"/>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16" t="str">
        <f>+VLOOKUP(LEFT($A150,LEN(A150)-1)*1,Master!$D$27:$G$225,4,FALSE)</f>
        <v>Primary balance</v>
      </c>
      <c r="C150" s="517"/>
      <c r="D150" s="517"/>
      <c r="E150" s="517"/>
      <c r="F150" s="517"/>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18" t="str">
        <f>+VLOOKUP(LEFT($A151,LEN(A151)-1)*1,Master!$D$27:$G$225,4,FALSE)</f>
        <v>Repayment of Debt</v>
      </c>
      <c r="C151" s="519"/>
      <c r="D151" s="519"/>
      <c r="E151" s="519"/>
      <c r="F151" s="519"/>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08" t="str">
        <f>+VLOOKUP(LEFT($A152,LEN(A152)-1)*1,Master!$D$27:$G$225,4,FALSE)</f>
        <v>Repayment of Domestic Debt</v>
      </c>
      <c r="C152" s="509"/>
      <c r="D152" s="509"/>
      <c r="E152" s="509"/>
      <c r="F152" s="509"/>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06" t="str">
        <f>+VLOOKUP(LEFT($A153,LEN(A153)-1)*1,Master!$D$27:$G$225,4,FALSE)</f>
        <v>Repayment of Foreign Debt</v>
      </c>
      <c r="C153" s="507"/>
      <c r="D153" s="507"/>
      <c r="E153" s="507"/>
      <c r="F153" s="507"/>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06" t="str">
        <f>+VLOOKUP(LEFT($A154,LEN(A154)-1)*1,Master!$D$27:$G$225,4,FALSE)</f>
        <v>Repayments of Arrears</v>
      </c>
      <c r="C154" s="507"/>
      <c r="D154" s="507"/>
      <c r="E154" s="507"/>
      <c r="F154" s="507"/>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790</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10" t="str">
        <f>+VLOOKUP(LEFT($A156,LEN(A156)-1)*1,Master!$D$27:$G$225,4,FALSE)</f>
        <v>Financing needs</v>
      </c>
      <c r="C156" s="511"/>
      <c r="D156" s="511"/>
      <c r="E156" s="511"/>
      <c r="F156" s="511"/>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12" t="str">
        <f>+VLOOKUP(LEFT($A157,LEN(A157)-1)*1,Master!$D$27:$G$225,4,FALSE)</f>
        <v>Financing</v>
      </c>
      <c r="C157" s="513"/>
      <c r="D157" s="513"/>
      <c r="E157" s="513"/>
      <c r="F157" s="513"/>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08" t="str">
        <f>+VLOOKUP(LEFT($A158,LEN(A158)-1)*1,Master!$D$27:$G$225,4,FALSE)</f>
        <v>Domestic Loans and Borrowings</v>
      </c>
      <c r="C158" s="509"/>
      <c r="D158" s="509"/>
      <c r="E158" s="509"/>
      <c r="F158" s="509"/>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06" t="str">
        <f>+VLOOKUP(LEFT($A159,LEN(A159)-1)*1,Master!$D$27:$G$225,4,FALSE)</f>
        <v>Foreign Loans and Borrowings</v>
      </c>
      <c r="C159" s="507"/>
      <c r="D159" s="507"/>
      <c r="E159" s="507"/>
      <c r="F159" s="507"/>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06" t="str">
        <f>+VLOOKUP(LEFT($A160,LEN(A160)-1)*1,Master!$D$27:$G$225,4,FALSE)</f>
        <v>Revenues from Selling Assets</v>
      </c>
      <c r="C160" s="507"/>
      <c r="D160" s="507"/>
      <c r="E160" s="507"/>
      <c r="F160" s="507"/>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1:F61"/>
    <mergeCell ref="B49:F49"/>
    <mergeCell ref="B50:F50"/>
    <mergeCell ref="B51:F51"/>
    <mergeCell ref="B52:F52"/>
    <mergeCell ref="B53:F53"/>
    <mergeCell ref="B54:F54"/>
    <mergeCell ref="B60:F60"/>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9" activePane="bottomLeft" state="frozen"/>
      <selection pane="bottomLeft" activeCell="G5" sqref="G5"/>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
        <v>792</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737</v>
      </c>
      <c r="H6" s="259" t="s">
        <v>738</v>
      </c>
      <c r="I6" s="259" t="s">
        <v>739</v>
      </c>
      <c r="J6" s="259" t="s">
        <v>740</v>
      </c>
      <c r="K6" s="259" t="s">
        <v>741</v>
      </c>
      <c r="L6" s="259" t="s">
        <v>742</v>
      </c>
      <c r="M6" s="259" t="s">
        <v>743</v>
      </c>
      <c r="N6" s="259" t="s">
        <v>744</v>
      </c>
      <c r="O6" s="259" t="s">
        <v>745</v>
      </c>
      <c r="P6" s="259" t="s">
        <v>746</v>
      </c>
      <c r="Q6" s="259" t="s">
        <v>747</v>
      </c>
      <c r="R6" s="259" t="s">
        <v>748</v>
      </c>
      <c r="S6" s="258"/>
      <c r="T6" s="258"/>
    </row>
    <row r="7" spans="1:20" ht="15" customHeight="1" thickBot="1">
      <c r="A7" s="169"/>
      <c r="B7" s="561" t="s">
        <v>560</v>
      </c>
      <c r="C7" s="459"/>
      <c r="D7" s="459"/>
      <c r="E7" s="459"/>
      <c r="F7" s="459"/>
      <c r="G7" s="467">
        <v>2017</v>
      </c>
      <c r="H7" s="468"/>
      <c r="I7" s="468"/>
      <c r="J7" s="468"/>
      <c r="K7" s="468"/>
      <c r="L7" s="468"/>
      <c r="M7" s="468"/>
      <c r="N7" s="468"/>
      <c r="O7" s="468"/>
      <c r="P7" s="468"/>
      <c r="Q7" s="468"/>
      <c r="R7" s="471"/>
      <c r="S7" s="260" t="str">
        <f>+[1]Master!G246</f>
        <v>BDP</v>
      </c>
      <c r="T7" s="261">
        <v>4299000000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tr">
        <f>+[1]Master!G243</f>
        <v>Jan - Dec</v>
      </c>
      <c r="T8" s="471"/>
    </row>
    <row r="9" spans="1:20" ht="13.5" thickBot="1">
      <c r="A9" s="169"/>
      <c r="B9" s="463"/>
      <c r="C9" s="464"/>
      <c r="D9" s="464"/>
      <c r="E9" s="464"/>
      <c r="F9" s="465"/>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+[1]Master!G247</f>
        <v>% BDP</v>
      </c>
    </row>
    <row r="10" spans="1:20" ht="13.5" thickBot="1">
      <c r="A10" s="175">
        <v>7</v>
      </c>
      <c r="B10" s="500" t="s">
        <v>20</v>
      </c>
      <c r="C10" s="501"/>
      <c r="D10" s="501"/>
      <c r="E10" s="501"/>
      <c r="F10" s="501"/>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502" t="s">
        <v>24</v>
      </c>
      <c r="C11" s="503"/>
      <c r="D11" s="503"/>
      <c r="E11" s="503"/>
      <c r="F11" s="503"/>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88" t="s">
        <v>26</v>
      </c>
      <c r="C12" s="489"/>
      <c r="D12" s="489"/>
      <c r="E12" s="489"/>
      <c r="F12" s="489"/>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88" t="s">
        <v>28</v>
      </c>
      <c r="C13" s="489"/>
      <c r="D13" s="489"/>
      <c r="E13" s="489"/>
      <c r="F13" s="489"/>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88" t="s">
        <v>30</v>
      </c>
      <c r="C14" s="489"/>
      <c r="D14" s="489"/>
      <c r="E14" s="489"/>
      <c r="F14" s="489"/>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88" t="s">
        <v>32</v>
      </c>
      <c r="C15" s="489"/>
      <c r="D15" s="489"/>
      <c r="E15" s="489"/>
      <c r="F15" s="489"/>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88" t="s">
        <v>34</v>
      </c>
      <c r="C16" s="489"/>
      <c r="D16" s="489"/>
      <c r="E16" s="489"/>
      <c r="F16" s="489"/>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88" t="s">
        <v>36</v>
      </c>
      <c r="C17" s="489"/>
      <c r="D17" s="489"/>
      <c r="E17" s="489"/>
      <c r="F17" s="489"/>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88" t="s">
        <v>38</v>
      </c>
      <c r="C18" s="489"/>
      <c r="D18" s="489"/>
      <c r="E18" s="489"/>
      <c r="F18" s="489"/>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98" t="s">
        <v>40</v>
      </c>
      <c r="C19" s="499"/>
      <c r="D19" s="499"/>
      <c r="E19" s="499"/>
      <c r="F19" s="499"/>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88" t="s">
        <v>42</v>
      </c>
      <c r="C20" s="489"/>
      <c r="D20" s="489"/>
      <c r="E20" s="489"/>
      <c r="F20" s="489"/>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88" t="s">
        <v>44</v>
      </c>
      <c r="C21" s="489"/>
      <c r="D21" s="489"/>
      <c r="E21" s="489"/>
      <c r="F21" s="489"/>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88" t="s">
        <v>46</v>
      </c>
      <c r="C22" s="489"/>
      <c r="D22" s="489"/>
      <c r="E22" s="489"/>
      <c r="F22" s="489"/>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88" t="s">
        <v>48</v>
      </c>
      <c r="C23" s="489"/>
      <c r="D23" s="489"/>
      <c r="E23" s="489"/>
      <c r="F23" s="489"/>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90" t="s">
        <v>50</v>
      </c>
      <c r="C24" s="491"/>
      <c r="D24" s="491"/>
      <c r="E24" s="491"/>
      <c r="F24" s="491"/>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90" t="s">
        <v>64</v>
      </c>
      <c r="C25" s="491"/>
      <c r="D25" s="491"/>
      <c r="E25" s="491"/>
      <c r="F25" s="491"/>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90" t="s">
        <v>84</v>
      </c>
      <c r="C26" s="491"/>
      <c r="D26" s="491"/>
      <c r="E26" s="491"/>
      <c r="F26" s="491"/>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90" t="s">
        <v>102</v>
      </c>
      <c r="C27" s="491"/>
      <c r="D27" s="491"/>
      <c r="E27" s="491"/>
      <c r="F27" s="491"/>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92" t="s">
        <v>108</v>
      </c>
      <c r="C28" s="493"/>
      <c r="D28" s="493"/>
      <c r="E28" s="493"/>
      <c r="F28" s="493"/>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78" t="s">
        <v>121</v>
      </c>
      <c r="C29" s="479"/>
      <c r="D29" s="479"/>
      <c r="E29" s="479"/>
      <c r="F29" s="479"/>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94" t="s">
        <v>123</v>
      </c>
      <c r="C30" s="495"/>
      <c r="D30" s="495"/>
      <c r="E30" s="495"/>
      <c r="F30" s="495"/>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96" t="s">
        <v>419</v>
      </c>
      <c r="C31" s="497"/>
      <c r="D31" s="497"/>
      <c r="E31" s="497"/>
      <c r="F31" s="497"/>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88" t="s">
        <v>125</v>
      </c>
      <c r="C32" s="489"/>
      <c r="D32" s="489"/>
      <c r="E32" s="489"/>
      <c r="F32" s="489"/>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88" t="s">
        <v>136</v>
      </c>
      <c r="C33" s="489"/>
      <c r="D33" s="489"/>
      <c r="E33" s="489"/>
      <c r="F33" s="489"/>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88" t="s">
        <v>151</v>
      </c>
      <c r="C34" s="489"/>
      <c r="D34" s="489"/>
      <c r="E34" s="489"/>
      <c r="F34" s="489"/>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88" t="s">
        <v>165</v>
      </c>
      <c r="C35" s="489"/>
      <c r="D35" s="489"/>
      <c r="E35" s="489"/>
      <c r="F35" s="489"/>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88" t="s">
        <v>185</v>
      </c>
      <c r="C36" s="489"/>
      <c r="D36" s="489"/>
      <c r="E36" s="489"/>
      <c r="F36" s="489"/>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88" t="s">
        <v>193</v>
      </c>
      <c r="C37" s="489"/>
      <c r="D37" s="489"/>
      <c r="E37" s="489"/>
      <c r="F37" s="489"/>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88" t="s">
        <v>199</v>
      </c>
      <c r="C38" s="489"/>
      <c r="D38" s="489"/>
      <c r="E38" s="489"/>
      <c r="F38" s="489"/>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88" t="s">
        <v>207</v>
      </c>
      <c r="C39" s="489"/>
      <c r="D39" s="489"/>
      <c r="E39" s="489"/>
      <c r="F39" s="489"/>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88" t="s">
        <v>215</v>
      </c>
      <c r="C40" s="489"/>
      <c r="D40" s="489"/>
      <c r="E40" s="489"/>
      <c r="F40" s="489"/>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88" t="s">
        <v>421</v>
      </c>
      <c r="C41" s="489"/>
      <c r="D41" s="489"/>
      <c r="E41" s="489"/>
      <c r="F41" s="489"/>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84" t="s">
        <v>233</v>
      </c>
      <c r="C42" s="485"/>
      <c r="D42" s="485"/>
      <c r="E42" s="485"/>
      <c r="F42" s="485"/>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88" t="s">
        <v>235</v>
      </c>
      <c r="C43" s="489"/>
      <c r="D43" s="489"/>
      <c r="E43" s="489"/>
      <c r="F43" s="489"/>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88" t="s">
        <v>251</v>
      </c>
      <c r="C44" s="489"/>
      <c r="D44" s="489"/>
      <c r="E44" s="489"/>
      <c r="F44" s="489"/>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88" t="s">
        <v>262</v>
      </c>
      <c r="C45" s="489"/>
      <c r="D45" s="489"/>
      <c r="E45" s="489"/>
      <c r="F45" s="489"/>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88" t="s">
        <v>277</v>
      </c>
      <c r="C46" s="489"/>
      <c r="D46" s="489"/>
      <c r="E46" s="489"/>
      <c r="F46" s="489"/>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88" t="s">
        <v>281</v>
      </c>
      <c r="C47" s="489"/>
      <c r="D47" s="489"/>
      <c r="E47" s="489"/>
      <c r="F47" s="489"/>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86" t="s">
        <v>289</v>
      </c>
      <c r="C48" s="487"/>
      <c r="D48" s="487"/>
      <c r="E48" s="487"/>
      <c r="F48" s="487"/>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86" t="s">
        <v>323</v>
      </c>
      <c r="C49" s="487"/>
      <c r="D49" s="487"/>
      <c r="E49" s="487"/>
      <c r="F49" s="487"/>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56" t="s">
        <v>343</v>
      </c>
      <c r="C50" s="457"/>
      <c r="D50" s="457"/>
      <c r="E50" s="457"/>
      <c r="F50" s="457"/>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56" t="s">
        <v>370</v>
      </c>
      <c r="C51" s="457"/>
      <c r="D51" s="457"/>
      <c r="E51" s="457"/>
      <c r="F51" s="457"/>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4" t="s">
        <v>362</v>
      </c>
      <c r="C52" s="475"/>
      <c r="D52" s="475"/>
      <c r="E52" s="475"/>
      <c r="F52" s="475"/>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4" t="s">
        <v>368</v>
      </c>
      <c r="C53" s="475"/>
      <c r="D53" s="475"/>
      <c r="E53" s="475"/>
      <c r="F53" s="475"/>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20" t="s">
        <v>695</v>
      </c>
      <c r="C54" s="521"/>
      <c r="D54" s="521"/>
      <c r="E54" s="521"/>
      <c r="F54" s="521"/>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80" t="s">
        <v>553</v>
      </c>
      <c r="C55" s="481"/>
      <c r="D55" s="481"/>
      <c r="E55" s="481"/>
      <c r="F55" s="481"/>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791</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82" t="s">
        <v>555</v>
      </c>
      <c r="C57" s="483"/>
      <c r="D57" s="483"/>
      <c r="E57" s="483"/>
      <c r="F57" s="483"/>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84" t="s">
        <v>355</v>
      </c>
      <c r="C58" s="485"/>
      <c r="D58" s="485"/>
      <c r="E58" s="485"/>
      <c r="F58" s="485"/>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72" t="s">
        <v>358</v>
      </c>
      <c r="C59" s="473"/>
      <c r="D59" s="473"/>
      <c r="E59" s="473"/>
      <c r="F59" s="473"/>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56" t="s">
        <v>360</v>
      </c>
      <c r="C60" s="457"/>
      <c r="D60" s="457"/>
      <c r="E60" s="457"/>
      <c r="F60" s="457"/>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76" t="str">
        <f>+VLOOKUP($A61,Master!$D$27:$G$225,4,FALSE)</f>
        <v>Financing needs</v>
      </c>
      <c r="C61" s="477"/>
      <c r="D61" s="477"/>
      <c r="E61" s="477"/>
      <c r="F61" s="477"/>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78" t="str">
        <f>+VLOOKUP($A62,Master!$D$27:$G$225,4,FALSE)</f>
        <v>Financing</v>
      </c>
      <c r="C62" s="479"/>
      <c r="D62" s="479"/>
      <c r="E62" s="479"/>
      <c r="F62" s="479"/>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72" t="str">
        <f>+VLOOKUP($A63,Master!$D$27:$G$225,4,FALSE)</f>
        <v>Domestic Loans and Borrowings</v>
      </c>
      <c r="C63" s="473"/>
      <c r="D63" s="473"/>
      <c r="E63" s="473"/>
      <c r="F63" s="473"/>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56" t="str">
        <f>+VLOOKUP($A64,Master!$D$27:$G$225,4,FALSE)</f>
        <v>Foreign Loans and Borrowings</v>
      </c>
      <c r="C64" s="457"/>
      <c r="D64" s="457"/>
      <c r="E64" s="457"/>
      <c r="F64" s="457"/>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56" t="str">
        <f>+VLOOKUP($A65,Master!$D$27:$G$225,4,FALSE)</f>
        <v>Revenues from Selling Assets</v>
      </c>
      <c r="C65" s="457"/>
      <c r="D65" s="457"/>
      <c r="E65" s="457"/>
      <c r="F65" s="457"/>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43" t="str">
        <f>+[1]Master!G250</f>
        <v>Plan ostvarenja budžeta</v>
      </c>
      <c r="C102" s="544"/>
      <c r="D102" s="544"/>
      <c r="E102" s="544"/>
      <c r="F102" s="544"/>
      <c r="G102" s="536">
        <v>2017</v>
      </c>
      <c r="H102" s="537"/>
      <c r="I102" s="537"/>
      <c r="J102" s="537"/>
      <c r="K102" s="537"/>
      <c r="L102" s="537"/>
      <c r="M102" s="537"/>
      <c r="N102" s="537"/>
      <c r="O102" s="537"/>
      <c r="P102" s="537"/>
      <c r="Q102" s="537"/>
      <c r="R102" s="538"/>
      <c r="S102" s="115" t="str">
        <f>+S7</f>
        <v>BDP</v>
      </c>
      <c r="T102" s="116">
        <f>+T7</f>
        <v>4299000000</v>
      </c>
    </row>
    <row r="103" spans="1:21" ht="15.75" customHeight="1">
      <c r="B103" s="545"/>
      <c r="C103" s="546"/>
      <c r="D103" s="546"/>
      <c r="E103" s="546"/>
      <c r="F103" s="547"/>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6" t="str">
        <f>+[1]Master!G244</f>
        <v>Jan - Dec</v>
      </c>
      <c r="T103" s="538">
        <f>+T8</f>
        <v>0</v>
      </c>
    </row>
    <row r="104" spans="1:21" ht="13.5" thickBot="1">
      <c r="B104" s="548"/>
      <c r="C104" s="549"/>
      <c r="D104" s="549"/>
      <c r="E104" s="549"/>
      <c r="F104" s="550"/>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BDP</v>
      </c>
    </row>
    <row r="105" spans="1:21" ht="13.5" thickBot="1">
      <c r="A105" s="137" t="str">
        <f t="shared" ref="A105:A147" si="18">+CONCATENATE(A10,"p")</f>
        <v>7p</v>
      </c>
      <c r="B105" s="539" t="str">
        <f>+VLOOKUP(LEFT($A105,LEN(A105)-1)*1,[1]Master!$D$25:$G$223,4,FALSE)</f>
        <v>Prihodi budžeta</v>
      </c>
      <c r="C105" s="540"/>
      <c r="D105" s="540"/>
      <c r="E105" s="540"/>
      <c r="F105" s="540"/>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41" t="str">
        <f>+VLOOKUP(LEFT($A106,LEN(A106)-1)*1,[1]Master!$D$25:$G$223,4,FALSE)</f>
        <v>Porezi</v>
      </c>
      <c r="C106" s="542"/>
      <c r="D106" s="542"/>
      <c r="E106" s="542"/>
      <c r="F106" s="542"/>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2" t="str">
        <f>+VLOOKUP(LEFT($A107,LEN(A107)-1)*1,[1]Master!$D$25:$G$223,4,FALSE)</f>
        <v>Porez na dohodak fizičkih lica</v>
      </c>
      <c r="C107" s="523"/>
      <c r="D107" s="523"/>
      <c r="E107" s="523"/>
      <c r="F107" s="523"/>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2" t="str">
        <f>+VLOOKUP(LEFT($A108,LEN(A108)-1)*1,[1]Master!$D$25:$G$223,4,FALSE)</f>
        <v>Porez na dobit pravnih lica</v>
      </c>
      <c r="C108" s="523"/>
      <c r="D108" s="523"/>
      <c r="E108" s="523"/>
      <c r="F108" s="523"/>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2" t="str">
        <f>+VLOOKUP(LEFT($A109,LEN(A109)-1)*1,[1]Master!$D$25:$G$223,4,FALSE)</f>
        <v>Porez na promet nepokretnosti</v>
      </c>
      <c r="C109" s="523"/>
      <c r="D109" s="523"/>
      <c r="E109" s="523"/>
      <c r="F109" s="523"/>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2" t="str">
        <f>+VLOOKUP(LEFT($A110,LEN(A110)-1)*1,[1]Master!$D$25:$G$223,4,FALSE)</f>
        <v>Porez na dodatu vrijednost</v>
      </c>
      <c r="C110" s="523"/>
      <c r="D110" s="523"/>
      <c r="E110" s="523"/>
      <c r="F110" s="523"/>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2" t="str">
        <f>+VLOOKUP(LEFT($A111,LEN(A111)-1)*1,[1]Master!$D$25:$G$223,4,FALSE)</f>
        <v>Akcize</v>
      </c>
      <c r="C111" s="523"/>
      <c r="D111" s="523"/>
      <c r="E111" s="523"/>
      <c r="F111" s="523"/>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2" t="str">
        <f>+VLOOKUP(LEFT($A112,LEN(A112)-1)*1,[1]Master!$D$25:$G$223,4,FALSE)</f>
        <v>Porez na međunarodnu trgovinu i transakcije</v>
      </c>
      <c r="C112" s="523"/>
      <c r="D112" s="523"/>
      <c r="E112" s="523"/>
      <c r="F112" s="523"/>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2" t="str">
        <f>+VLOOKUP(LEFT($A113,LEN(A113)-1)*1,[1]Master!$D$25:$G$223,4,FALSE)</f>
        <v>Ostali državni porezi</v>
      </c>
      <c r="C113" s="523"/>
      <c r="D113" s="523"/>
      <c r="E113" s="523"/>
      <c r="F113" s="523"/>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4" t="str">
        <f>+VLOOKUP(LEFT($A114,LEN(A114)-1)*1,[1]Master!$D$25:$G$223,4,FALSE)</f>
        <v>Doprinosi</v>
      </c>
      <c r="C114" s="535"/>
      <c r="D114" s="535"/>
      <c r="E114" s="535"/>
      <c r="F114" s="535"/>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2" t="str">
        <f>+VLOOKUP(LEFT($A115,LEN(A115)-1)*1,[1]Master!$D$25:$G$223,4,FALSE)</f>
        <v>Doprinosi za penzijsko i invalidsko osiguranje</v>
      </c>
      <c r="C115" s="523"/>
      <c r="D115" s="523"/>
      <c r="E115" s="523"/>
      <c r="F115" s="523"/>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2" t="str">
        <f>+VLOOKUP(LEFT($A116,LEN(A116)-1)*1,[1]Master!$D$25:$G$223,4,FALSE)</f>
        <v>Doprinosi za zdravstveno osiguranje</v>
      </c>
      <c r="C116" s="523"/>
      <c r="D116" s="523"/>
      <c r="E116" s="523"/>
      <c r="F116" s="523"/>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2" t="str">
        <f>+VLOOKUP(LEFT($A117,LEN(A117)-1)*1,[1]Master!$D$25:$G$223,4,FALSE)</f>
        <v>Doprinosi za osiguranje od nezaposlenosti</v>
      </c>
      <c r="C117" s="523"/>
      <c r="D117" s="523"/>
      <c r="E117" s="523"/>
      <c r="F117" s="523"/>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2" t="str">
        <f>+VLOOKUP(LEFT($A118,LEN(A118)-1)*1,[1]Master!$D$25:$G$223,4,FALSE)</f>
        <v>Ostali doprinosi</v>
      </c>
      <c r="C118" s="523"/>
      <c r="D118" s="523"/>
      <c r="E118" s="523"/>
      <c r="F118" s="523"/>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26" t="str">
        <f>+VLOOKUP(LEFT($A119,LEN(A119)-1)*1,[1]Master!$D$25:$G$223,4,FALSE)</f>
        <v>Takse</v>
      </c>
      <c r="C119" s="527"/>
      <c r="D119" s="527"/>
      <c r="E119" s="527"/>
      <c r="F119" s="527"/>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26" t="str">
        <f>+VLOOKUP(LEFT($A120,LEN(A120)-1)*1,[1]Master!$D$25:$G$223,4,FALSE)</f>
        <v>Naknade</v>
      </c>
      <c r="C120" s="527"/>
      <c r="D120" s="527"/>
      <c r="E120" s="527"/>
      <c r="F120" s="527"/>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26" t="str">
        <f>+VLOOKUP(LEFT($A121,LEN(A121)-1)*1,[1]Master!$D$25:$G$223,4,FALSE)</f>
        <v>Ostali prihodi</v>
      </c>
      <c r="C121" s="527"/>
      <c r="D121" s="527"/>
      <c r="E121" s="527"/>
      <c r="F121" s="527"/>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26" t="str">
        <f>+VLOOKUP(LEFT($A122,LEN(A122)-1)*1,[1]Master!$D$25:$G$223,4,FALSE)</f>
        <v>Primici od otplate kredita i sredstva prenesena iz prethodne godine</v>
      </c>
      <c r="C122" s="527"/>
      <c r="D122" s="527"/>
      <c r="E122" s="527"/>
      <c r="F122" s="527"/>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28" t="str">
        <f>+VLOOKUP(LEFT($A123,LEN(A123)-1)*1,[1]Master!$D$25:$G$223,4,FALSE)</f>
        <v>Donacije i transferi</v>
      </c>
      <c r="C123" s="529"/>
      <c r="D123" s="529"/>
      <c r="E123" s="529"/>
      <c r="F123" s="529"/>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12" t="str">
        <f>+VLOOKUP(LEFT($A124,LEN(A124)-1)*1,[1]Master!$D$25:$G$223,4,FALSE)</f>
        <v>Budžetki izdaci</v>
      </c>
      <c r="C124" s="513"/>
      <c r="D124" s="513"/>
      <c r="E124" s="513"/>
      <c r="F124" s="513"/>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30" t="str">
        <f>+VLOOKUP(LEFT($A125,LEN(A125)-1)*1,[1]Master!$D$25:$G$223,4,FALSE)</f>
        <v>Tekući izdaci</v>
      </c>
      <c r="C125" s="531"/>
      <c r="D125" s="531"/>
      <c r="E125" s="531"/>
      <c r="F125" s="531"/>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32" t="str">
        <f>+VLOOKUP(LEFT($A126,LEN(A126)-1)*1,[1]Master!$D$25:$G$223,4,FALSE)</f>
        <v>Tekući budžetski izdaci</v>
      </c>
      <c r="C126" s="533"/>
      <c r="D126" s="533"/>
      <c r="E126" s="533"/>
      <c r="F126" s="533"/>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2" t="str">
        <f>+VLOOKUP(LEFT($A127,LEN(A127)-1)*1,[1]Master!$D$25:$G$223,4,FALSE)</f>
        <v>Bruto zarade i doprinosi na teret poslodavca</v>
      </c>
      <c r="C127" s="523"/>
      <c r="D127" s="523"/>
      <c r="E127" s="523"/>
      <c r="F127" s="523"/>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2" t="str">
        <f>+VLOOKUP(LEFT($A128,LEN(A128)-1)*1,[1]Master!$D$25:$G$223,4,FALSE)</f>
        <v>Ostala lična primanja</v>
      </c>
      <c r="C128" s="523"/>
      <c r="D128" s="523"/>
      <c r="E128" s="523"/>
      <c r="F128" s="523"/>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2" t="str">
        <f>+VLOOKUP(LEFT($A129,LEN(A129)-1)*1,[1]Master!$D$25:$G$223,4,FALSE)</f>
        <v>Rashodi za materijal</v>
      </c>
      <c r="C129" s="523"/>
      <c r="D129" s="523"/>
      <c r="E129" s="523"/>
      <c r="F129" s="523"/>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2" t="str">
        <f>+VLOOKUP(LEFT($A130,LEN(A130)-1)*1,[1]Master!$D$25:$G$223,4,FALSE)</f>
        <v>Rashodi za usluge</v>
      </c>
      <c r="C130" s="523"/>
      <c r="D130" s="523"/>
      <c r="E130" s="523"/>
      <c r="F130" s="523"/>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2" t="str">
        <f>+VLOOKUP(LEFT($A131,LEN(A131)-1)*1,[1]Master!$D$25:$G$223,4,FALSE)</f>
        <v>Rashodi za tekuće održavanje</v>
      </c>
      <c r="C131" s="523"/>
      <c r="D131" s="523"/>
      <c r="E131" s="523"/>
      <c r="F131" s="523"/>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2" t="str">
        <f>+VLOOKUP(LEFT($A132,LEN(A132)-1)*1,[1]Master!$D$25:$G$223,4,FALSE)</f>
        <v>Kamate</v>
      </c>
      <c r="C132" s="523"/>
      <c r="D132" s="523"/>
      <c r="E132" s="523"/>
      <c r="F132" s="523"/>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2" t="str">
        <f>+VLOOKUP(LEFT($A133,LEN(A133)-1)*1,[1]Master!$D$25:$G$223,4,FALSE)</f>
        <v>Renta</v>
      </c>
      <c r="C133" s="523"/>
      <c r="D133" s="523"/>
      <c r="E133" s="523"/>
      <c r="F133" s="523"/>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2" t="str">
        <f>+VLOOKUP(LEFT($A134,LEN(A134)-1)*1,[1]Master!$D$25:$G$223,4,FALSE)</f>
        <v>Subvencije</v>
      </c>
      <c r="C134" s="523"/>
      <c r="D134" s="523"/>
      <c r="E134" s="523"/>
      <c r="F134" s="523"/>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2" t="str">
        <f>+VLOOKUP(LEFT($A135,LEN(A135)-1)*1,[1]Master!$D$25:$G$223,4,FALSE)</f>
        <v>Ostali izdaci</v>
      </c>
      <c r="C135" s="523"/>
      <c r="D135" s="523"/>
      <c r="E135" s="523"/>
      <c r="F135" s="523"/>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2" t="str">
        <f>+VLOOKUP(LEFT($A136,LEN(A136)-1)*1,[1]Master!$D$25:$G$223,4,FALSE)</f>
        <v>Kapitalni izdaci u tekućem budžetu</v>
      </c>
      <c r="C136" s="523"/>
      <c r="D136" s="523"/>
      <c r="E136" s="523"/>
      <c r="F136" s="523"/>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18" t="str">
        <f>+VLOOKUP(LEFT($A137,LEN(A137)-1)*1,[1]Master!$D$25:$G$223,4,FALSE)</f>
        <v>Transferi za socijalnu zaštitu</v>
      </c>
      <c r="C137" s="519"/>
      <c r="D137" s="519"/>
      <c r="E137" s="519"/>
      <c r="F137" s="519"/>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2" t="str">
        <f>+VLOOKUP(LEFT($A138,LEN(A138)-1)*1,[1]Master!$D$25:$G$223,4,FALSE)</f>
        <v>Prava iz oblasti socijalne zaštite</v>
      </c>
      <c r="C138" s="523"/>
      <c r="D138" s="523"/>
      <c r="E138" s="523"/>
      <c r="F138" s="523"/>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2" t="str">
        <f>+VLOOKUP(LEFT($A139,LEN(A139)-1)*1,[1]Master!$D$25:$G$223,4,FALSE)</f>
        <v>Sredstva za tehnološke viškove</v>
      </c>
      <c r="C139" s="523"/>
      <c r="D139" s="523"/>
      <c r="E139" s="523"/>
      <c r="F139" s="523"/>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2" t="str">
        <f>+VLOOKUP(LEFT($A140,LEN(A140)-1)*1,[1]Master!$D$25:$G$223,4,FALSE)</f>
        <v>Prava iz oblasti penzijskog i invalidskog osiguranja</v>
      </c>
      <c r="C140" s="523"/>
      <c r="D140" s="523"/>
      <c r="E140" s="523"/>
      <c r="F140" s="523"/>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2" t="str">
        <f>+VLOOKUP(LEFT($A141,LEN(A141)-1)*1,[1]Master!$D$25:$G$223,4,FALSE)</f>
        <v>Ostala prava iz oblasti zdravstvene zaštite</v>
      </c>
      <c r="C141" s="523"/>
      <c r="D141" s="523"/>
      <c r="E141" s="523"/>
      <c r="F141" s="523"/>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2" t="str">
        <f>+VLOOKUP(LEFT($A142,LEN(A142)-1)*1,[1]Master!$D$25:$G$223,4,FALSE)</f>
        <v>Ostala prava iz zdravstvenog osiguranja</v>
      </c>
      <c r="C142" s="523"/>
      <c r="D142" s="523"/>
      <c r="E142" s="523"/>
      <c r="F142" s="523"/>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24" t="str">
        <f>+VLOOKUP(LEFT($A143,LEN(A143)-1)*1,[1]Master!$D$25:$G$223,4,FALSE)</f>
        <v xml:space="preserve">Transferi institucijama, pojedincima, nevladinom i javnom sektoru </v>
      </c>
      <c r="C143" s="525"/>
      <c r="D143" s="525"/>
      <c r="E143" s="525"/>
      <c r="F143" s="525"/>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24" t="str">
        <f>+VLOOKUP(LEFT($A144,LEN(A144)-1)*1,[1]Master!$D$25:$G$223,4,FALSE)</f>
        <v>Kapitalni budžet</v>
      </c>
      <c r="C144" s="525"/>
      <c r="D144" s="525"/>
      <c r="E144" s="525"/>
      <c r="F144" s="525"/>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06" t="str">
        <f>+VLOOKUP(LEFT($A145,LEN(A145)-1)*1,[1]Master!$D$25:$G$223,4,FALSE)</f>
        <v>Pozajmice i krediti</v>
      </c>
      <c r="C145" s="507"/>
      <c r="D145" s="507"/>
      <c r="E145" s="507"/>
      <c r="F145" s="507"/>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06" t="str">
        <f>+VLOOKUP(LEFT($A146,LEN(A146)-1)*1,[1]Master!$D$25:$G$223,4,FALSE)</f>
        <v>Rezerve</v>
      </c>
      <c r="C146" s="507"/>
      <c r="D146" s="507"/>
      <c r="E146" s="507"/>
      <c r="F146" s="507"/>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06" t="str">
        <f>+VLOOKUP(LEFT($A147,LEN(A147)-1)*1,[1]Master!$D$25:$G$223,4,FALSE)</f>
        <v>Otplata garancija</v>
      </c>
      <c r="C147" s="507"/>
      <c r="D147" s="507"/>
      <c r="E147" s="507"/>
      <c r="F147" s="507"/>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694</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4" t="str">
        <f>+VLOOKUP(LEFT($A149,LEN(A149)-1)*1,[1]Master!$D$25:$G$223,4,FALSE)</f>
        <v>Suficit / deficit</v>
      </c>
      <c r="C149" s="515"/>
      <c r="D149" s="515"/>
      <c r="E149" s="515"/>
      <c r="F149" s="515"/>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16" t="str">
        <f>+VLOOKUP(LEFT($A150,LEN(A150)-1)*1,[1]Master!$D$25:$G$223,4,FALSE)</f>
        <v>Primarni bilans</v>
      </c>
      <c r="C150" s="517"/>
      <c r="D150" s="517"/>
      <c r="E150" s="517"/>
      <c r="F150" s="517"/>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18" t="str">
        <f>+VLOOKUP(LEFT($A151,LEN(A151)-1)*1,[1]Master!$D$25:$G$223,4,FALSE)</f>
        <v>Otplata dugova</v>
      </c>
      <c r="C151" s="519"/>
      <c r="D151" s="519"/>
      <c r="E151" s="519"/>
      <c r="F151" s="519"/>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08" t="str">
        <f>+VLOOKUP(LEFT($A152,LEN(A152)-1)*1,[1]Master!$D$25:$G$223,4,FALSE)</f>
        <v>Otplata hartija od vrijednosti i kredita rezidentima</v>
      </c>
      <c r="C152" s="509"/>
      <c r="D152" s="509"/>
      <c r="E152" s="509"/>
      <c r="F152" s="509"/>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06" t="str">
        <f>+VLOOKUP(LEFT($A153,LEN(A153)-1)*1,[1]Master!$D$25:$G$223,4,FALSE)</f>
        <v>Otplata hartija od vrijednosti i kredita nerezidentima</v>
      </c>
      <c r="C153" s="507"/>
      <c r="D153" s="507"/>
      <c r="E153" s="507"/>
      <c r="F153" s="507"/>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20" t="str">
        <f>+VLOOKUP(LEFT($A154,LEN(A154)-1)*1,[1]Master!$D$25:$G$223,4,FALSE)</f>
        <v>Otplata obaveza iz prethodnih godina</v>
      </c>
      <c r="C154" s="521"/>
      <c r="D154" s="521"/>
      <c r="E154" s="521"/>
      <c r="F154" s="521"/>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10" t="str">
        <f>+VLOOKUP(LEFT($A155,LEN(A155)-1)*1,[1]Master!$D$25:$G$223,4,FALSE)</f>
        <v>Nedostajuća sredstva</v>
      </c>
      <c r="C155" s="511"/>
      <c r="D155" s="511"/>
      <c r="E155" s="511"/>
      <c r="F155" s="511"/>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12" t="str">
        <f>+VLOOKUP(LEFT($A156,LEN(A156)-1)*1,[1]Master!$D$25:$G$223,4,FALSE)</f>
        <v>Finansiranje</v>
      </c>
      <c r="C156" s="513"/>
      <c r="D156" s="513"/>
      <c r="E156" s="513"/>
      <c r="F156" s="513"/>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08" t="str">
        <f>+VLOOKUP(LEFT($A157,LEN(A157)-1)*1,[1]Master!$D$25:$G$223,4,FALSE)</f>
        <v>Pozajmice i krediti od domaćih izvora</v>
      </c>
      <c r="C157" s="509"/>
      <c r="D157" s="509"/>
      <c r="E157" s="509"/>
      <c r="F157" s="509"/>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06" t="str">
        <f>+VLOOKUP(LEFT($A158,LEN(A158)-1)*1,[1]Master!$D$25:$G$223,4,FALSE)</f>
        <v>Pozajmice i krediti od inostranih izvora</v>
      </c>
      <c r="C158" s="507"/>
      <c r="D158" s="507"/>
      <c r="E158" s="507"/>
      <c r="F158" s="507"/>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06" t="str">
        <f>+VLOOKUP(LEFT($A159,LEN(A159)-1)*1,[1]Master!$D$25:$G$223,4,FALSE)</f>
        <v>Primici od prodaje imovine</v>
      </c>
      <c r="C159" s="507"/>
      <c r="D159" s="507"/>
      <c r="E159" s="507"/>
      <c r="F159" s="507"/>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J24" sqref="J24"/>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703</v>
      </c>
      <c r="H6" s="259" t="s">
        <v>704</v>
      </c>
      <c r="I6" s="259" t="s">
        <v>705</v>
      </c>
      <c r="J6" s="259" t="s">
        <v>706</v>
      </c>
      <c r="K6" s="259" t="s">
        <v>707</v>
      </c>
      <c r="L6" s="259" t="s">
        <v>708</v>
      </c>
      <c r="M6" s="259" t="s">
        <v>709</v>
      </c>
      <c r="N6" s="259" t="s">
        <v>710</v>
      </c>
      <c r="O6" s="259" t="s">
        <v>711</v>
      </c>
      <c r="P6" s="259" t="s">
        <v>712</v>
      </c>
      <c r="Q6" s="259" t="s">
        <v>713</v>
      </c>
      <c r="R6" s="259" t="s">
        <v>714</v>
      </c>
      <c r="S6" s="258"/>
      <c r="T6" s="258"/>
    </row>
    <row r="7" spans="1:20" ht="15" customHeight="1" thickBot="1">
      <c r="A7" s="169"/>
      <c r="B7" s="561" t="str">
        <f>+Master!G251</f>
        <v>Budget Execution</v>
      </c>
      <c r="C7" s="459"/>
      <c r="D7" s="459"/>
      <c r="E7" s="459"/>
      <c r="F7" s="459"/>
      <c r="G7" s="467">
        <v>2016</v>
      </c>
      <c r="H7" s="468"/>
      <c r="I7" s="468"/>
      <c r="J7" s="468"/>
      <c r="K7" s="468"/>
      <c r="L7" s="468"/>
      <c r="M7" s="468"/>
      <c r="N7" s="468"/>
      <c r="O7" s="468"/>
      <c r="P7" s="468"/>
      <c r="Q7" s="468"/>
      <c r="R7" s="471"/>
      <c r="S7" s="260" t="str">
        <f>+Master!G248</f>
        <v>GDP</v>
      </c>
      <c r="T7" s="261">
        <v>3954200000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tr">
        <f>+Master!G245</f>
        <v>Jan - Oct</v>
      </c>
      <c r="T8" s="471"/>
    </row>
    <row r="9" spans="1:20" ht="13.5" thickBot="1">
      <c r="A9" s="169"/>
      <c r="B9" s="463"/>
      <c r="C9" s="464"/>
      <c r="D9" s="464"/>
      <c r="E9" s="464"/>
      <c r="F9" s="465"/>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0" t="str">
        <f>+VLOOKUP($A10,Master!$D$27:$G$225,4,FALSE)</f>
        <v>Total Revenues</v>
      </c>
      <c r="C10" s="501"/>
      <c r="D10" s="501"/>
      <c r="E10" s="501"/>
      <c r="F10" s="501"/>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502" t="str">
        <f>+VLOOKUP($A11,Master!$D$27:$G$225,4,FALSE)</f>
        <v>Taxes</v>
      </c>
      <c r="C11" s="503"/>
      <c r="D11" s="503"/>
      <c r="E11" s="503"/>
      <c r="F11" s="503"/>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88" t="str">
        <f>+VLOOKUP($A12,Master!$D$27:$G$225,4,FALSE)</f>
        <v>Personal Income Tax</v>
      </c>
      <c r="C12" s="489"/>
      <c r="D12" s="489"/>
      <c r="E12" s="489"/>
      <c r="F12" s="489"/>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88" t="str">
        <f>+VLOOKUP($A13,Master!$D$27:$G$225,4,FALSE)</f>
        <v>Corporate Income Tax</v>
      </c>
      <c r="C13" s="489"/>
      <c r="D13" s="489"/>
      <c r="E13" s="489"/>
      <c r="F13" s="489"/>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88" t="str">
        <f>+VLOOKUP($A14,Master!$D$27:$G$225,4,FALSE)</f>
        <v xml:space="preserve">Taxes on Sales of Property </v>
      </c>
      <c r="C14" s="489"/>
      <c r="D14" s="489"/>
      <c r="E14" s="489"/>
      <c r="F14" s="489"/>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88" t="str">
        <f>+VLOOKUP($A15,Master!$D$27:$G$225,4,FALSE)</f>
        <v>Value Added Tax</v>
      </c>
      <c r="C15" s="489"/>
      <c r="D15" s="489"/>
      <c r="E15" s="489"/>
      <c r="F15" s="489"/>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88" t="str">
        <f>+VLOOKUP($A16,Master!$D$27:$G$225,4,FALSE)</f>
        <v>Excises</v>
      </c>
      <c r="C16" s="489"/>
      <c r="D16" s="489"/>
      <c r="E16" s="489"/>
      <c r="F16" s="489"/>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88" t="str">
        <f>+VLOOKUP($A17,Master!$D$27:$G$225,4,FALSE)</f>
        <v>Tax on International Trade and Transactions</v>
      </c>
      <c r="C17" s="489"/>
      <c r="D17" s="489"/>
      <c r="E17" s="489"/>
      <c r="F17" s="489"/>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88" t="str">
        <f>+VLOOKUP($A18,Master!$D$27:$G$225,4,FALSE)</f>
        <v>Other Republic Taxes</v>
      </c>
      <c r="C18" s="489"/>
      <c r="D18" s="489"/>
      <c r="E18" s="489"/>
      <c r="F18" s="489"/>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98" t="str">
        <f>+VLOOKUP($A19,Master!$D$27:$G$225,4,FALSE)</f>
        <v>Contributions</v>
      </c>
      <c r="C19" s="499"/>
      <c r="D19" s="499"/>
      <c r="E19" s="499"/>
      <c r="F19" s="499"/>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88" t="str">
        <f>+VLOOKUP($A20,Master!$D$27:$G$225,4,FALSE)</f>
        <v>Contributions for Pension and Disability Insurance</v>
      </c>
      <c r="C20" s="489"/>
      <c r="D20" s="489"/>
      <c r="E20" s="489"/>
      <c r="F20" s="489"/>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88" t="str">
        <f>+VLOOKUP($A21,Master!$D$27:$G$225,4,FALSE)</f>
        <v>Contributions for Health Insurance</v>
      </c>
      <c r="C21" s="489"/>
      <c r="D21" s="489"/>
      <c r="E21" s="489"/>
      <c r="F21" s="489"/>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88" t="str">
        <f>+VLOOKUP($A22,Master!$D$27:$G$225,4,FALSE)</f>
        <v>Contributions for  Unemployment Insurance</v>
      </c>
      <c r="C22" s="489"/>
      <c r="D22" s="489"/>
      <c r="E22" s="489"/>
      <c r="F22" s="489"/>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88" t="str">
        <f>+VLOOKUP($A23,Master!$D$27:$G$225,4,FALSE)</f>
        <v>Other contributions</v>
      </c>
      <c r="C23" s="489"/>
      <c r="D23" s="489"/>
      <c r="E23" s="489"/>
      <c r="F23" s="489"/>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90" t="str">
        <f>+VLOOKUP($A24,Master!$D$27:$G$225,4,FALSE)</f>
        <v>Duties</v>
      </c>
      <c r="C24" s="491"/>
      <c r="D24" s="491"/>
      <c r="E24" s="491"/>
      <c r="F24" s="491"/>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90" t="str">
        <f>+VLOOKUP($A25,Master!$D$27:$G$225,4,FALSE)</f>
        <v>Fees</v>
      </c>
      <c r="C25" s="491"/>
      <c r="D25" s="491"/>
      <c r="E25" s="491"/>
      <c r="F25" s="491"/>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90" t="str">
        <f>+VLOOKUP($A26,Master!$D$27:$G$225,4,FALSE)</f>
        <v>Other revenues</v>
      </c>
      <c r="C26" s="491"/>
      <c r="D26" s="491"/>
      <c r="E26" s="491"/>
      <c r="F26" s="491"/>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90" t="str">
        <f>+VLOOKUP($A27,Master!$D$27:$G$225,4,FALSE)</f>
        <v>Receipts from Repayment of Loans and Funds Carried over from Previous Year</v>
      </c>
      <c r="C27" s="491"/>
      <c r="D27" s="491"/>
      <c r="E27" s="491"/>
      <c r="F27" s="491"/>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92" t="str">
        <f>+VLOOKUP($A28,Master!$D$27:$G$225,4,FALSE)</f>
        <v>Grants and Transfers</v>
      </c>
      <c r="C28" s="493"/>
      <c r="D28" s="493"/>
      <c r="E28" s="493"/>
      <c r="F28" s="493"/>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78" t="str">
        <f>+VLOOKUP($A29,Master!$D$27:$G$225,4,FALSE)</f>
        <v>Total Expenditures</v>
      </c>
      <c r="C29" s="479"/>
      <c r="D29" s="479"/>
      <c r="E29" s="479"/>
      <c r="F29" s="479"/>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94" t="str">
        <f>+VLOOKUP($A30,Master!$D$27:$G$225,4,FALSE)</f>
        <v>Current Expenditures</v>
      </c>
      <c r="C30" s="495"/>
      <c r="D30" s="495"/>
      <c r="E30" s="495"/>
      <c r="F30" s="495"/>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96" t="str">
        <f>+VLOOKUP($A31,Master!$D$27:$G$225,4,FALSE)</f>
        <v>Current Budgetary Consumption</v>
      </c>
      <c r="C31" s="497"/>
      <c r="D31" s="497"/>
      <c r="E31" s="497"/>
      <c r="F31" s="497"/>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88" t="str">
        <f>+VLOOKUP($A32,Master!$D$27:$G$225,4,FALSE)</f>
        <v>Gross Salaries and Contributions</v>
      </c>
      <c r="C32" s="489"/>
      <c r="D32" s="489"/>
      <c r="E32" s="489"/>
      <c r="F32" s="489"/>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88" t="str">
        <f>+VLOOKUP($A33,Master!$D$27:$G$225,4,FALSE)</f>
        <v>Other Personal Income</v>
      </c>
      <c r="C33" s="489"/>
      <c r="D33" s="489"/>
      <c r="E33" s="489"/>
      <c r="F33" s="489"/>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88" t="str">
        <f>+VLOOKUP($A34,Master!$D$27:$G$225,4,FALSE)</f>
        <v>Expenditures for Supplies</v>
      </c>
      <c r="C34" s="489"/>
      <c r="D34" s="489"/>
      <c r="E34" s="489"/>
      <c r="F34" s="489"/>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88" t="str">
        <f>+VLOOKUP($A35,Master!$D$27:$G$225,4,FALSE)</f>
        <v>Expenditures for Services</v>
      </c>
      <c r="C35" s="489"/>
      <c r="D35" s="489"/>
      <c r="E35" s="489"/>
      <c r="F35" s="489"/>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88" t="str">
        <f>+VLOOKUP($A36,Master!$D$27:$G$225,4,FALSE)</f>
        <v>Current Maintenance</v>
      </c>
      <c r="C36" s="489"/>
      <c r="D36" s="489"/>
      <c r="E36" s="489"/>
      <c r="F36" s="489"/>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88" t="str">
        <f>+VLOOKUP($A37,Master!$D$27:$G$225,4,FALSE)</f>
        <v>Interests</v>
      </c>
      <c r="C37" s="489"/>
      <c r="D37" s="489"/>
      <c r="E37" s="489"/>
      <c r="F37" s="489"/>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88" t="str">
        <f>+VLOOKUP($A38,Master!$D$27:$G$225,4,FALSE)</f>
        <v>Rent</v>
      </c>
      <c r="C38" s="489"/>
      <c r="D38" s="489"/>
      <c r="E38" s="489"/>
      <c r="F38" s="489"/>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88" t="str">
        <f>+VLOOKUP($A39,Master!$D$27:$G$225,4,FALSE)</f>
        <v>Subsidies</v>
      </c>
      <c r="C39" s="489"/>
      <c r="D39" s="489"/>
      <c r="E39" s="489"/>
      <c r="F39" s="489"/>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88" t="str">
        <f>+VLOOKUP($A40,Master!$D$27:$G$225,4,FALSE)</f>
        <v>Other expenditures</v>
      </c>
      <c r="C40" s="489"/>
      <c r="D40" s="489"/>
      <c r="E40" s="489"/>
      <c r="F40" s="489"/>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88" t="str">
        <f>+VLOOKUP($A41,Master!$D$27:$G$225,4,FALSE)</f>
        <v>Current Capital Expenditure</v>
      </c>
      <c r="C41" s="489"/>
      <c r="D41" s="489"/>
      <c r="E41" s="489"/>
      <c r="F41" s="489"/>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84" t="str">
        <f>+VLOOKUP($A42,Master!$D$27:$G$225,4,FALSE)</f>
        <v>Social Security Transfers</v>
      </c>
      <c r="C42" s="485"/>
      <c r="D42" s="485"/>
      <c r="E42" s="485"/>
      <c r="F42" s="485"/>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88" t="str">
        <f>+VLOOKUP($A43,Master!$D$27:$G$225,4,FALSE)</f>
        <v>Social Security</v>
      </c>
      <c r="C43" s="489"/>
      <c r="D43" s="489"/>
      <c r="E43" s="489"/>
      <c r="F43" s="489"/>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88" t="str">
        <f>+VLOOKUP($A44,Master!$D$27:$G$225,4,FALSE)</f>
        <v>Funds for redundant labor</v>
      </c>
      <c r="C44" s="489"/>
      <c r="D44" s="489"/>
      <c r="E44" s="489"/>
      <c r="F44" s="489"/>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88" t="str">
        <f>+VLOOKUP($A45,Master!$D$27:$G$225,4,FALSE)</f>
        <v>Pension and Disability Insurance</v>
      </c>
      <c r="C45" s="489"/>
      <c r="D45" s="489"/>
      <c r="E45" s="489"/>
      <c r="F45" s="489"/>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88" t="str">
        <f>+VLOOKUP($A46,Master!$D$27:$G$225,4,FALSE)</f>
        <v>Other Health Care Transfers</v>
      </c>
      <c r="C46" s="489"/>
      <c r="D46" s="489"/>
      <c r="E46" s="489"/>
      <c r="F46" s="489"/>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88" t="str">
        <f>+VLOOKUP($A47,Master!$D$27:$G$225,4,FALSE)</f>
        <v>Other Health Care Insurance</v>
      </c>
      <c r="C47" s="489"/>
      <c r="D47" s="489"/>
      <c r="E47" s="489"/>
      <c r="F47" s="489"/>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86" t="str">
        <f>+VLOOKUP($A48,Master!$D$27:$G$225,4,FALSE)</f>
        <v xml:space="preserve">Transfers to Institutions, Individuals, NGO and Public Sector </v>
      </c>
      <c r="C48" s="487"/>
      <c r="D48" s="487"/>
      <c r="E48" s="487"/>
      <c r="F48" s="487"/>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86" t="str">
        <f>+VLOOKUP($A49,Master!$D$27:$G$225,4,FALSE)</f>
        <v>Capital Expenditure</v>
      </c>
      <c r="C49" s="487"/>
      <c r="D49" s="487"/>
      <c r="E49" s="487"/>
      <c r="F49" s="487"/>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56" t="str">
        <f>+VLOOKUP($A50,Master!$D$27:$G$225,4,FALSE)</f>
        <v>Credits and Borrowings</v>
      </c>
      <c r="C50" s="457"/>
      <c r="D50" s="457"/>
      <c r="E50" s="457"/>
      <c r="F50" s="457"/>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56" t="str">
        <f>+VLOOKUP($A51,Master!$D$27:$G$225,4,FALSE)</f>
        <v>Reserves</v>
      </c>
      <c r="C51" s="457"/>
      <c r="D51" s="457"/>
      <c r="E51" s="457"/>
      <c r="F51" s="457"/>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4" t="str">
        <f>+VLOOKUP($A52,Master!$D$27:$G$225,4,FALSE)</f>
        <v>Repayment of Guarantees</v>
      </c>
      <c r="C52" s="475"/>
      <c r="D52" s="475"/>
      <c r="E52" s="475"/>
      <c r="F52" s="475"/>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4" t="str">
        <f>+VLOOKUP($A53,Master!$D$27:$G$225,4,TRUE)</f>
        <v>Repayments of Arrears</v>
      </c>
      <c r="C53" s="475"/>
      <c r="D53" s="475"/>
      <c r="E53" s="475"/>
      <c r="F53" s="475"/>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20" t="str">
        <f>+VLOOKUP($A54,Master!$D$27:$G$227,4,FALSE)</f>
        <v>Net increase of liabilities</v>
      </c>
      <c r="C54" s="521"/>
      <c r="D54" s="521"/>
      <c r="E54" s="521"/>
      <c r="F54" s="521"/>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80" t="str">
        <f>+VLOOKUP($A55,Master!$D$27:$G$225,4,FALSE)</f>
        <v>Surplus / deficit</v>
      </c>
      <c r="C55" s="481"/>
      <c r="D55" s="481"/>
      <c r="E55" s="481"/>
      <c r="F55" s="481"/>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791</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80" t="str">
        <f>+VLOOKUP($A57,Master!$D$27:$G$225,4,FALSE)</f>
        <v>Primary balance</v>
      </c>
      <c r="C57" s="481"/>
      <c r="D57" s="481"/>
      <c r="E57" s="481"/>
      <c r="F57" s="481"/>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84" t="str">
        <f>+VLOOKUP($A58,Master!$D$27:$G$225,4,FALSE)</f>
        <v>Repayment of Debt</v>
      </c>
      <c r="C58" s="485"/>
      <c r="D58" s="485"/>
      <c r="E58" s="485"/>
      <c r="F58" s="485"/>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72" t="str">
        <f>+VLOOKUP($A59,Master!$D$27:$G$225,4,FALSE)</f>
        <v>Repayment of Domestic Debt</v>
      </c>
      <c r="C59" s="473"/>
      <c r="D59" s="473"/>
      <c r="E59" s="473"/>
      <c r="F59" s="473"/>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56" t="str">
        <f>+VLOOKUP($A60,Master!$D$27:$G$225,4,FALSE)</f>
        <v>Repayment of Foreign Debt</v>
      </c>
      <c r="C60" s="457"/>
      <c r="D60" s="457"/>
      <c r="E60" s="457"/>
      <c r="F60" s="457"/>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76" t="str">
        <f>+VLOOKUP($A61,Master!$D$27:$G$225,4,FALSE)</f>
        <v>Financing needs</v>
      </c>
      <c r="C61" s="477"/>
      <c r="D61" s="477"/>
      <c r="E61" s="477"/>
      <c r="F61" s="477"/>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78" t="str">
        <f>+VLOOKUP($A62,Master!$D$27:$G$225,4,FALSE)</f>
        <v>Financing</v>
      </c>
      <c r="C62" s="479"/>
      <c r="D62" s="479"/>
      <c r="E62" s="479"/>
      <c r="F62" s="479"/>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72" t="str">
        <f>+VLOOKUP($A63,Master!$D$27:$G$225,4,FALSE)</f>
        <v>Domestic Loans and Borrowings</v>
      </c>
      <c r="C63" s="473"/>
      <c r="D63" s="473"/>
      <c r="E63" s="473"/>
      <c r="F63" s="473"/>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56" t="str">
        <f>+VLOOKUP($A64,Master!$D$27:$G$225,4,FALSE)</f>
        <v>Foreign Loans and Borrowings</v>
      </c>
      <c r="C64" s="457"/>
      <c r="D64" s="457"/>
      <c r="E64" s="457"/>
      <c r="F64" s="457"/>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56" t="str">
        <f>+VLOOKUP($A65,Master!$D$27:$G$225,4,FALSE)</f>
        <v>Revenues from Selling Assets</v>
      </c>
      <c r="C65" s="457"/>
      <c r="D65" s="457"/>
      <c r="E65" s="457"/>
      <c r="F65" s="457"/>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43" t="str">
        <f>+Master!G252</f>
        <v>Planned Budget Execution</v>
      </c>
      <c r="C102" s="544"/>
      <c r="D102" s="544"/>
      <c r="E102" s="544"/>
      <c r="F102" s="544"/>
      <c r="G102" s="536">
        <v>2016</v>
      </c>
      <c r="H102" s="537"/>
      <c r="I102" s="537"/>
      <c r="J102" s="537"/>
      <c r="K102" s="537"/>
      <c r="L102" s="537"/>
      <c r="M102" s="537"/>
      <c r="N102" s="537"/>
      <c r="O102" s="537"/>
      <c r="P102" s="537"/>
      <c r="Q102" s="537"/>
      <c r="R102" s="538"/>
      <c r="S102" s="115" t="str">
        <f>+S7</f>
        <v>GDP</v>
      </c>
      <c r="T102" s="116">
        <f>+T7</f>
        <v>3954200000</v>
      </c>
    </row>
    <row r="103" spans="1:21" ht="15.75" customHeight="1">
      <c r="B103" s="545"/>
      <c r="C103" s="546"/>
      <c r="D103" s="546"/>
      <c r="E103" s="546"/>
      <c r="F103" s="547"/>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6" t="str">
        <f>+Master!G246</f>
        <v>Jan - Dec</v>
      </c>
      <c r="T103" s="538">
        <f>+T8</f>
        <v>0</v>
      </c>
    </row>
    <row r="104" spans="1:21" ht="13.5" thickBot="1">
      <c r="B104" s="548"/>
      <c r="C104" s="549"/>
      <c r="D104" s="549"/>
      <c r="E104" s="549"/>
      <c r="F104" s="550"/>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8">+CONCATENATE(A10,"p")</f>
        <v>7p</v>
      </c>
      <c r="B105" s="539" t="str">
        <f>+VLOOKUP(LEFT($A105,LEN(A105)-1)*1,Master!$D$27:$G$225,4,FALSE)</f>
        <v>Total Revenues</v>
      </c>
      <c r="C105" s="540"/>
      <c r="D105" s="540"/>
      <c r="E105" s="540"/>
      <c r="F105" s="540"/>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41" t="str">
        <f>+VLOOKUP(LEFT($A106,LEN(A106)-1)*1,Master!$D$27:$G$225,4,FALSE)</f>
        <v>Taxes</v>
      </c>
      <c r="C106" s="542"/>
      <c r="D106" s="542"/>
      <c r="E106" s="542"/>
      <c r="F106" s="542"/>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2" t="str">
        <f>+VLOOKUP(LEFT($A107,LEN(A107)-1)*1,Master!$D$27:$G$225,4,FALSE)</f>
        <v>Personal Income Tax</v>
      </c>
      <c r="C107" s="523"/>
      <c r="D107" s="523"/>
      <c r="E107" s="523"/>
      <c r="F107" s="523"/>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2" t="str">
        <f>+VLOOKUP(LEFT($A108,LEN(A108)-1)*1,Master!$D$27:$G$225,4,FALSE)</f>
        <v>Corporate Income Tax</v>
      </c>
      <c r="C108" s="523"/>
      <c r="D108" s="523"/>
      <c r="E108" s="523"/>
      <c r="F108" s="523"/>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2" t="str">
        <f>+VLOOKUP(LEFT($A109,LEN(A109)-1)*1,Master!$D$27:$G$225,4,FALSE)</f>
        <v xml:space="preserve">Taxes on Sales of Property </v>
      </c>
      <c r="C109" s="523"/>
      <c r="D109" s="523"/>
      <c r="E109" s="523"/>
      <c r="F109" s="523"/>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2" t="str">
        <f>+VLOOKUP(LEFT($A110,LEN(A110)-1)*1,Master!$D$27:$G$225,4,FALSE)</f>
        <v>Value Added Tax</v>
      </c>
      <c r="C110" s="523"/>
      <c r="D110" s="523"/>
      <c r="E110" s="523"/>
      <c r="F110" s="523"/>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2" t="str">
        <f>+VLOOKUP(LEFT($A111,LEN(A111)-1)*1,Master!$D$27:$G$225,4,FALSE)</f>
        <v>Excises</v>
      </c>
      <c r="C111" s="523"/>
      <c r="D111" s="523"/>
      <c r="E111" s="523"/>
      <c r="F111" s="523"/>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2" t="str">
        <f>+VLOOKUP(LEFT($A112,LEN(A112)-1)*1,Master!$D$27:$G$225,4,FALSE)</f>
        <v>Tax on International Trade and Transactions</v>
      </c>
      <c r="C112" s="523"/>
      <c r="D112" s="523"/>
      <c r="E112" s="523"/>
      <c r="F112" s="523"/>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2" t="str">
        <f>+VLOOKUP(LEFT($A113,LEN(A113)-1)*1,Master!$D$27:$G$225,4,FALSE)</f>
        <v>Other Republic Taxes</v>
      </c>
      <c r="C113" s="523"/>
      <c r="D113" s="523"/>
      <c r="E113" s="523"/>
      <c r="F113" s="523"/>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4" t="str">
        <f>+VLOOKUP(LEFT($A114,LEN(A114)-1)*1,Master!$D$27:$G$225,4,FALSE)</f>
        <v>Contributions</v>
      </c>
      <c r="C114" s="535"/>
      <c r="D114" s="535"/>
      <c r="E114" s="535"/>
      <c r="F114" s="535"/>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2" t="str">
        <f>+VLOOKUP(LEFT($A115,LEN(A115)-1)*1,Master!$D$27:$G$225,4,FALSE)</f>
        <v>Contributions for Pension and Disability Insurance</v>
      </c>
      <c r="C115" s="523"/>
      <c r="D115" s="523"/>
      <c r="E115" s="523"/>
      <c r="F115" s="523"/>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2" t="str">
        <f>+VLOOKUP(LEFT($A116,LEN(A116)-1)*1,Master!$D$27:$G$225,4,FALSE)</f>
        <v>Contributions for Health Insurance</v>
      </c>
      <c r="C116" s="523"/>
      <c r="D116" s="523"/>
      <c r="E116" s="523"/>
      <c r="F116" s="523"/>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2" t="str">
        <f>+VLOOKUP(LEFT($A117,LEN(A117)-1)*1,Master!$D$27:$G$225,4,FALSE)</f>
        <v>Contributions for  Unemployment Insurance</v>
      </c>
      <c r="C117" s="523"/>
      <c r="D117" s="523"/>
      <c r="E117" s="523"/>
      <c r="F117" s="523"/>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2" t="str">
        <f>+VLOOKUP(LEFT($A118,LEN(A118)-1)*1,Master!$D$27:$G$225,4,FALSE)</f>
        <v>Other contributions</v>
      </c>
      <c r="C118" s="523"/>
      <c r="D118" s="523"/>
      <c r="E118" s="523"/>
      <c r="F118" s="523"/>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26" t="str">
        <f>+VLOOKUP(LEFT($A119,LEN(A119)-1)*1,Master!$D$27:$G$225,4,FALSE)</f>
        <v>Duties</v>
      </c>
      <c r="C119" s="527"/>
      <c r="D119" s="527"/>
      <c r="E119" s="527"/>
      <c r="F119" s="527"/>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26" t="str">
        <f>+VLOOKUP(LEFT($A120,LEN(A120)-1)*1,Master!$D$27:$G$225,4,FALSE)</f>
        <v>Fees</v>
      </c>
      <c r="C120" s="527"/>
      <c r="D120" s="527"/>
      <c r="E120" s="527"/>
      <c r="F120" s="527"/>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26" t="str">
        <f>+VLOOKUP(LEFT($A121,LEN(A121)-1)*1,Master!$D$27:$G$225,4,FALSE)</f>
        <v>Other revenues</v>
      </c>
      <c r="C121" s="527"/>
      <c r="D121" s="527"/>
      <c r="E121" s="527"/>
      <c r="F121" s="527"/>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26" t="str">
        <f>+VLOOKUP(LEFT($A122,LEN(A122)-1)*1,Master!$D$27:$G$225,4,FALSE)</f>
        <v>Receipts from Repayment of Loans and Funds Carried over from Previous Year</v>
      </c>
      <c r="C122" s="527"/>
      <c r="D122" s="527"/>
      <c r="E122" s="527"/>
      <c r="F122" s="527"/>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28" t="str">
        <f>+VLOOKUP(LEFT($A123,LEN(A123)-1)*1,Master!$D$27:$G$225,4,FALSE)</f>
        <v>Grants and Transfers</v>
      </c>
      <c r="C123" s="529"/>
      <c r="D123" s="529"/>
      <c r="E123" s="529"/>
      <c r="F123" s="529"/>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12" t="str">
        <f>+VLOOKUP(LEFT($A124,LEN(A124)-1)*1,Master!$D$27:$G$225,4,FALSE)</f>
        <v>Total Expenditures</v>
      </c>
      <c r="C124" s="513"/>
      <c r="D124" s="513"/>
      <c r="E124" s="513"/>
      <c r="F124" s="513"/>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30" t="str">
        <f>+VLOOKUP(LEFT($A125,LEN(A125)-1)*1,Master!$D$27:$G$225,4,FALSE)</f>
        <v>Current Expenditures</v>
      </c>
      <c r="C125" s="531"/>
      <c r="D125" s="531"/>
      <c r="E125" s="531"/>
      <c r="F125" s="531"/>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32" t="str">
        <f>+VLOOKUP(LEFT($A126,LEN(A126)-1)*1,Master!$D$27:$G$225,4,FALSE)</f>
        <v>Current Budgetary Consumption</v>
      </c>
      <c r="C126" s="533"/>
      <c r="D126" s="533"/>
      <c r="E126" s="533"/>
      <c r="F126" s="533"/>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2" t="str">
        <f>+VLOOKUP(LEFT($A127,LEN(A127)-1)*1,Master!$D$27:$G$225,4,FALSE)</f>
        <v>Gross Salaries and Contributions</v>
      </c>
      <c r="C127" s="523"/>
      <c r="D127" s="523"/>
      <c r="E127" s="523"/>
      <c r="F127" s="523"/>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2" t="str">
        <f>+VLOOKUP(LEFT($A128,LEN(A128)-1)*1,Master!$D$27:$G$225,4,FALSE)</f>
        <v>Other Personal Income</v>
      </c>
      <c r="C128" s="523"/>
      <c r="D128" s="523"/>
      <c r="E128" s="523"/>
      <c r="F128" s="523"/>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2" t="str">
        <f>+VLOOKUP(LEFT($A129,LEN(A129)-1)*1,Master!$D$27:$G$225,4,FALSE)</f>
        <v>Expenditures for Supplies</v>
      </c>
      <c r="C129" s="523"/>
      <c r="D129" s="523"/>
      <c r="E129" s="523"/>
      <c r="F129" s="523"/>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2" t="str">
        <f>+VLOOKUP(LEFT($A130,LEN(A130)-1)*1,Master!$D$27:$G$225,4,FALSE)</f>
        <v>Expenditures for Services</v>
      </c>
      <c r="C130" s="523"/>
      <c r="D130" s="523"/>
      <c r="E130" s="523"/>
      <c r="F130" s="523"/>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2" t="str">
        <f>+VLOOKUP(LEFT($A131,LEN(A131)-1)*1,Master!$D$27:$G$225,4,FALSE)</f>
        <v>Current Maintenance</v>
      </c>
      <c r="C131" s="523"/>
      <c r="D131" s="523"/>
      <c r="E131" s="523"/>
      <c r="F131" s="523"/>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2" t="str">
        <f>+VLOOKUP(LEFT($A132,LEN(A132)-1)*1,Master!$D$27:$G$225,4,FALSE)</f>
        <v>Interests</v>
      </c>
      <c r="C132" s="523"/>
      <c r="D132" s="523"/>
      <c r="E132" s="523"/>
      <c r="F132" s="523"/>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2" t="str">
        <f>+VLOOKUP(LEFT($A133,LEN(A133)-1)*1,Master!$D$27:$G$225,4,FALSE)</f>
        <v>Rent</v>
      </c>
      <c r="C133" s="523"/>
      <c r="D133" s="523"/>
      <c r="E133" s="523"/>
      <c r="F133" s="523"/>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2" t="str">
        <f>+VLOOKUP(LEFT($A134,LEN(A134)-1)*1,Master!$D$27:$G$225,4,FALSE)</f>
        <v>Subsidies</v>
      </c>
      <c r="C134" s="523"/>
      <c r="D134" s="523"/>
      <c r="E134" s="523"/>
      <c r="F134" s="523"/>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2" t="str">
        <f>+VLOOKUP(LEFT($A135,LEN(A135)-1)*1,Master!$D$27:$G$225,4,FALSE)</f>
        <v>Other expenditures</v>
      </c>
      <c r="C135" s="523"/>
      <c r="D135" s="523"/>
      <c r="E135" s="523"/>
      <c r="F135" s="523"/>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2" t="str">
        <f>+VLOOKUP(LEFT($A136,LEN(A136)-1)*1,Master!$D$27:$G$225,4,FALSE)</f>
        <v>Current Capital Expenditure</v>
      </c>
      <c r="C136" s="523"/>
      <c r="D136" s="523"/>
      <c r="E136" s="523"/>
      <c r="F136" s="523"/>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18" t="str">
        <f>+VLOOKUP(LEFT($A137,LEN(A137)-1)*1,Master!$D$27:$G$225,4,FALSE)</f>
        <v>Social Security Transfers</v>
      </c>
      <c r="C137" s="519"/>
      <c r="D137" s="519"/>
      <c r="E137" s="519"/>
      <c r="F137" s="519"/>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2" t="str">
        <f>+VLOOKUP(LEFT($A138,LEN(A138)-1)*1,Master!$D$27:$G$225,4,FALSE)</f>
        <v>Social Security</v>
      </c>
      <c r="C138" s="523"/>
      <c r="D138" s="523"/>
      <c r="E138" s="523"/>
      <c r="F138" s="523"/>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2" t="str">
        <f>+VLOOKUP(LEFT($A139,LEN(A139)-1)*1,Master!$D$27:$G$225,4,FALSE)</f>
        <v>Funds for redundant labor</v>
      </c>
      <c r="C139" s="523"/>
      <c r="D139" s="523"/>
      <c r="E139" s="523"/>
      <c r="F139" s="523"/>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2" t="str">
        <f>+VLOOKUP(LEFT($A140,LEN(A140)-1)*1,Master!$D$27:$G$225,4,FALSE)</f>
        <v>Pension and Disability Insurance</v>
      </c>
      <c r="C140" s="523"/>
      <c r="D140" s="523"/>
      <c r="E140" s="523"/>
      <c r="F140" s="523"/>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2" t="str">
        <f>+VLOOKUP(LEFT($A141,LEN(A141)-1)*1,Master!$D$27:$G$225,4,FALSE)</f>
        <v>Other Health Care Transfers</v>
      </c>
      <c r="C141" s="523"/>
      <c r="D141" s="523"/>
      <c r="E141" s="523"/>
      <c r="F141" s="523"/>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2" t="str">
        <f>+VLOOKUP(LEFT($A142,LEN(A142)-1)*1,Master!$D$27:$G$225,4,FALSE)</f>
        <v>Other Health Care Insurance</v>
      </c>
      <c r="C142" s="523"/>
      <c r="D142" s="523"/>
      <c r="E142" s="523"/>
      <c r="F142" s="523"/>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24" t="str">
        <f>+VLOOKUP(LEFT($A143,LEN(A143)-1)*1,Master!$D$27:$G$225,4,FALSE)</f>
        <v xml:space="preserve">Transfers to Institutions, Individuals, NGO and Public Sector </v>
      </c>
      <c r="C143" s="525"/>
      <c r="D143" s="525"/>
      <c r="E143" s="525"/>
      <c r="F143" s="525"/>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24" t="str">
        <f>+VLOOKUP(LEFT($A144,LEN(A144)-1)*1,Master!$D$27:$G$225,4,FALSE)</f>
        <v>Capital Expenditure</v>
      </c>
      <c r="C144" s="525"/>
      <c r="D144" s="525"/>
      <c r="E144" s="525"/>
      <c r="F144" s="525"/>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06" t="str">
        <f>+VLOOKUP(LEFT($A145,LEN(A145)-1)*1,Master!$D$27:$G$225,4,FALSE)</f>
        <v>Credits and Borrowings</v>
      </c>
      <c r="C145" s="507"/>
      <c r="D145" s="507"/>
      <c r="E145" s="507"/>
      <c r="F145" s="507"/>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06" t="str">
        <f>+VLOOKUP(LEFT($A146,LEN(A146)-1)*1,Master!$D$27:$G$225,4,FALSE)</f>
        <v>Reserves</v>
      </c>
      <c r="C146" s="507"/>
      <c r="D146" s="507"/>
      <c r="E146" s="507"/>
      <c r="F146" s="507"/>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06" t="str">
        <f>+VLOOKUP(LEFT($A147,LEN(A147)-1)*1,Master!$D$27:$G$225,4,FALSE)</f>
        <v>Repayment of Guarantees</v>
      </c>
      <c r="C147" s="507"/>
      <c r="D147" s="507"/>
      <c r="E147" s="507"/>
      <c r="F147" s="507"/>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695</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4" t="str">
        <f>+VLOOKUP(LEFT($A149,LEN(A149)-1)*1,Master!$D$27:$G$225,4,FALSE)</f>
        <v>Surplus / deficit</v>
      </c>
      <c r="C149" s="515"/>
      <c r="D149" s="515"/>
      <c r="E149" s="515"/>
      <c r="F149" s="515"/>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16" t="str">
        <f>+VLOOKUP(LEFT($A150,LEN(A150)-1)*1,Master!$D$27:$G$225,4,FALSE)</f>
        <v>Primary balance</v>
      </c>
      <c r="C150" s="517"/>
      <c r="D150" s="517"/>
      <c r="E150" s="517"/>
      <c r="F150" s="517"/>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18" t="str">
        <f>+VLOOKUP(LEFT($A151,LEN(A151)-1)*1,Master!$D$27:$G$225,4,FALSE)</f>
        <v>Repayment of Debt</v>
      </c>
      <c r="C151" s="519"/>
      <c r="D151" s="519"/>
      <c r="E151" s="519"/>
      <c r="F151" s="519"/>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08" t="str">
        <f>+VLOOKUP(LEFT($A152,LEN(A152)-1)*1,Master!$D$27:$G$225,4,FALSE)</f>
        <v>Repayment of Domestic Debt</v>
      </c>
      <c r="C152" s="509"/>
      <c r="D152" s="509"/>
      <c r="E152" s="509"/>
      <c r="F152" s="509"/>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06" t="str">
        <f>+VLOOKUP(LEFT($A153,LEN(A153)-1)*1,Master!$D$27:$G$225,4,FALSE)</f>
        <v>Repayment of Foreign Debt</v>
      </c>
      <c r="C153" s="507"/>
      <c r="D153" s="507"/>
      <c r="E153" s="507"/>
      <c r="F153" s="507"/>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20" t="str">
        <f>+VLOOKUP(LEFT($A154,LEN(A154)-1)*1,Master!$D$27:$G$225,4,FALSE)</f>
        <v>Repayments of Arrears</v>
      </c>
      <c r="C154" s="521"/>
      <c r="D154" s="521"/>
      <c r="E154" s="521"/>
      <c r="F154" s="521"/>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10" t="str">
        <f>+VLOOKUP(LEFT($A155,LEN(A155)-1)*1,Master!$D$27:$G$225,4,FALSE)</f>
        <v>Financing needs</v>
      </c>
      <c r="C155" s="511"/>
      <c r="D155" s="511"/>
      <c r="E155" s="511"/>
      <c r="F155" s="511"/>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12" t="str">
        <f>+VLOOKUP(LEFT($A156,LEN(A156)-1)*1,Master!$D$27:$G$225,4,FALSE)</f>
        <v>Financing</v>
      </c>
      <c r="C156" s="513"/>
      <c r="D156" s="513"/>
      <c r="E156" s="513"/>
      <c r="F156" s="513"/>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08" t="str">
        <f>+VLOOKUP(LEFT($A157,LEN(A157)-1)*1,Master!$D$27:$G$225,4,FALSE)</f>
        <v>Domestic Loans and Borrowings</v>
      </c>
      <c r="C157" s="509"/>
      <c r="D157" s="509"/>
      <c r="E157" s="509"/>
      <c r="F157" s="509"/>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06" t="str">
        <f>+VLOOKUP(LEFT($A158,LEN(A158)-1)*1,Master!$D$27:$G$225,4,FALSE)</f>
        <v>Foreign Loans and Borrowings</v>
      </c>
      <c r="C158" s="507"/>
      <c r="D158" s="507"/>
      <c r="E158" s="507"/>
      <c r="F158" s="507"/>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06" t="str">
        <f>+VLOOKUP(LEFT($A159,LEN(A159)-1)*1,Master!$D$27:$G$225,4,FALSE)</f>
        <v>Revenues from Selling Assets</v>
      </c>
      <c r="C159" s="507"/>
      <c r="D159" s="507"/>
      <c r="E159" s="507"/>
      <c r="F159" s="507"/>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57:F157"/>
    <mergeCell ref="B158:F158"/>
    <mergeCell ref="B159:F159"/>
    <mergeCell ref="B151:F151"/>
    <mergeCell ref="B152:F152"/>
    <mergeCell ref="B153:F153"/>
    <mergeCell ref="B154:F154"/>
    <mergeCell ref="B155:F155"/>
    <mergeCell ref="B156:F156"/>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537</v>
      </c>
      <c r="H6" s="259" t="s">
        <v>538</v>
      </c>
      <c r="I6" s="259" t="s">
        <v>539</v>
      </c>
      <c r="J6" s="259" t="s">
        <v>540</v>
      </c>
      <c r="K6" s="259" t="s">
        <v>541</v>
      </c>
      <c r="L6" s="259" t="s">
        <v>542</v>
      </c>
      <c r="M6" s="259" t="s">
        <v>543</v>
      </c>
      <c r="N6" s="259" t="s">
        <v>544</v>
      </c>
      <c r="O6" s="259" t="s">
        <v>545</v>
      </c>
      <c r="P6" s="259" t="s">
        <v>546</v>
      </c>
      <c r="Q6" s="259" t="s">
        <v>547</v>
      </c>
      <c r="R6" s="259" t="s">
        <v>548</v>
      </c>
      <c r="S6" s="258"/>
      <c r="T6" s="258"/>
    </row>
    <row r="7" spans="1:20" ht="15" customHeight="1" thickBot="1">
      <c r="A7" s="169"/>
      <c r="B7" s="561" t="str">
        <f>+Master!G251</f>
        <v>Budget Execution</v>
      </c>
      <c r="C7" s="459"/>
      <c r="D7" s="459"/>
      <c r="E7" s="459"/>
      <c r="F7" s="459"/>
      <c r="G7" s="467">
        <v>2015</v>
      </c>
      <c r="H7" s="468"/>
      <c r="I7" s="468"/>
      <c r="J7" s="468"/>
      <c r="K7" s="468"/>
      <c r="L7" s="468"/>
      <c r="M7" s="468"/>
      <c r="N7" s="468"/>
      <c r="O7" s="468"/>
      <c r="P7" s="468"/>
      <c r="Q7" s="468"/>
      <c r="R7" s="471"/>
      <c r="S7" s="260" t="str">
        <f>+Master!G248</f>
        <v>GDP</v>
      </c>
      <c r="T7" s="261">
        <v>3655000000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
        <v>735</v>
      </c>
      <c r="T8" s="471"/>
    </row>
    <row r="9" spans="1:20" ht="13.5" thickBot="1">
      <c r="A9" s="169"/>
      <c r="B9" s="463"/>
      <c r="C9" s="464"/>
      <c r="D9" s="464"/>
      <c r="E9" s="464"/>
      <c r="F9" s="465"/>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0" t="str">
        <f>+VLOOKUP($A10,Master!$D$27:$G$225,4,FALSE)</f>
        <v>Total Revenues</v>
      </c>
      <c r="C10" s="501"/>
      <c r="D10" s="501"/>
      <c r="E10" s="501"/>
      <c r="F10" s="501"/>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502" t="str">
        <f>+VLOOKUP($A11,Master!$D$27:$G$225,4,FALSE)</f>
        <v>Taxes</v>
      </c>
      <c r="C11" s="503"/>
      <c r="D11" s="503"/>
      <c r="E11" s="503"/>
      <c r="F11" s="503"/>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88" t="str">
        <f>+VLOOKUP($A12,Master!$D$27:$G$225,4,FALSE)</f>
        <v>Personal Income Tax</v>
      </c>
      <c r="C12" s="489"/>
      <c r="D12" s="489"/>
      <c r="E12" s="489"/>
      <c r="F12" s="489"/>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88" t="str">
        <f>+VLOOKUP($A13,Master!$D$27:$G$225,4,FALSE)</f>
        <v>Corporate Income Tax</v>
      </c>
      <c r="C13" s="489"/>
      <c r="D13" s="489"/>
      <c r="E13" s="489"/>
      <c r="F13" s="489"/>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88" t="str">
        <f>+VLOOKUP($A14,Master!$D$27:$G$225,4,FALSE)</f>
        <v xml:space="preserve">Taxes on Sales of Property </v>
      </c>
      <c r="C14" s="489"/>
      <c r="D14" s="489"/>
      <c r="E14" s="489"/>
      <c r="F14" s="489"/>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88" t="str">
        <f>+VLOOKUP($A15,Master!$D$27:$G$225,4,FALSE)</f>
        <v>Value Added Tax</v>
      </c>
      <c r="C15" s="489"/>
      <c r="D15" s="489"/>
      <c r="E15" s="489"/>
      <c r="F15" s="489"/>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88" t="str">
        <f>+VLOOKUP($A16,Master!$D$27:$G$225,4,FALSE)</f>
        <v>Excises</v>
      </c>
      <c r="C16" s="489"/>
      <c r="D16" s="489"/>
      <c r="E16" s="489"/>
      <c r="F16" s="489"/>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88" t="str">
        <f>+VLOOKUP($A17,Master!$D$27:$G$225,4,FALSE)</f>
        <v>Tax on International Trade and Transactions</v>
      </c>
      <c r="C17" s="489"/>
      <c r="D17" s="489"/>
      <c r="E17" s="489"/>
      <c r="F17" s="489"/>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88" t="str">
        <f>+VLOOKUP($A18,Master!$D$27:$G$225,4,FALSE)</f>
        <v>Other Republic Taxes</v>
      </c>
      <c r="C18" s="489"/>
      <c r="D18" s="489"/>
      <c r="E18" s="489"/>
      <c r="F18" s="489"/>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98" t="str">
        <f>+VLOOKUP($A19,Master!$D$27:$G$225,4,FALSE)</f>
        <v>Contributions</v>
      </c>
      <c r="C19" s="499"/>
      <c r="D19" s="499"/>
      <c r="E19" s="499"/>
      <c r="F19" s="499"/>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88" t="str">
        <f>+VLOOKUP($A20,Master!$D$27:$G$225,4,FALSE)</f>
        <v>Contributions for Pension and Disability Insurance</v>
      </c>
      <c r="C20" s="489"/>
      <c r="D20" s="489"/>
      <c r="E20" s="489"/>
      <c r="F20" s="489"/>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88" t="str">
        <f>+VLOOKUP($A21,Master!$D$27:$G$225,4,FALSE)</f>
        <v>Contributions for Health Insurance</v>
      </c>
      <c r="C21" s="489"/>
      <c r="D21" s="489"/>
      <c r="E21" s="489"/>
      <c r="F21" s="489"/>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88" t="str">
        <f>+VLOOKUP($A22,Master!$D$27:$G$225,4,FALSE)</f>
        <v>Contributions for  Unemployment Insurance</v>
      </c>
      <c r="C22" s="489"/>
      <c r="D22" s="489"/>
      <c r="E22" s="489"/>
      <c r="F22" s="489"/>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88" t="str">
        <f>+VLOOKUP($A23,Master!$D$27:$G$225,4,FALSE)</f>
        <v>Other contributions</v>
      </c>
      <c r="C23" s="489"/>
      <c r="D23" s="489"/>
      <c r="E23" s="489"/>
      <c r="F23" s="489"/>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90" t="str">
        <f>+VLOOKUP($A24,Master!$D$27:$G$225,4,FALSE)</f>
        <v>Duties</v>
      </c>
      <c r="C24" s="491"/>
      <c r="D24" s="491"/>
      <c r="E24" s="491"/>
      <c r="F24" s="491"/>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90" t="str">
        <f>+VLOOKUP($A25,Master!$D$27:$G$225,4,FALSE)</f>
        <v>Fees</v>
      </c>
      <c r="C25" s="491"/>
      <c r="D25" s="491"/>
      <c r="E25" s="491"/>
      <c r="F25" s="491"/>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90" t="str">
        <f>+VLOOKUP($A26,Master!$D$27:$G$225,4,FALSE)</f>
        <v>Other revenues</v>
      </c>
      <c r="C26" s="491"/>
      <c r="D26" s="491"/>
      <c r="E26" s="491"/>
      <c r="F26" s="491"/>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90" t="str">
        <f>+VLOOKUP($A27,Master!$D$27:$G$225,4,FALSE)</f>
        <v>Receipts from Repayment of Loans and Funds Carried over from Previous Year</v>
      </c>
      <c r="C27" s="491"/>
      <c r="D27" s="491"/>
      <c r="E27" s="491"/>
      <c r="F27" s="491"/>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92" t="str">
        <f>+VLOOKUP($A28,Master!$D$27:$G$225,4,FALSE)</f>
        <v>Grants and Transfers</v>
      </c>
      <c r="C28" s="493"/>
      <c r="D28" s="493"/>
      <c r="E28" s="493"/>
      <c r="F28" s="493"/>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78" t="str">
        <f>+VLOOKUP($A29,Master!$D$27:$G$225,4,FALSE)</f>
        <v>Total Expenditures</v>
      </c>
      <c r="C29" s="479"/>
      <c r="D29" s="479"/>
      <c r="E29" s="479"/>
      <c r="F29" s="479"/>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94" t="str">
        <f>+VLOOKUP($A30,Master!$D$27:$G$225,4,FALSE)</f>
        <v>Current Expenditures</v>
      </c>
      <c r="C30" s="495"/>
      <c r="D30" s="495"/>
      <c r="E30" s="495"/>
      <c r="F30" s="495"/>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96" t="str">
        <f>+VLOOKUP($A31,Master!$D$27:$G$225,4,FALSE)</f>
        <v>Current Budgetary Consumption</v>
      </c>
      <c r="C31" s="497"/>
      <c r="D31" s="497"/>
      <c r="E31" s="497"/>
      <c r="F31" s="497"/>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88" t="str">
        <f>+VLOOKUP($A32,Master!$D$27:$G$225,4,FALSE)</f>
        <v>Gross Salaries and Contributions</v>
      </c>
      <c r="C32" s="489"/>
      <c r="D32" s="489"/>
      <c r="E32" s="489"/>
      <c r="F32" s="489"/>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88" t="str">
        <f>+VLOOKUP($A33,Master!$D$27:$G$225,4,FALSE)</f>
        <v>Other Personal Income</v>
      </c>
      <c r="C33" s="489"/>
      <c r="D33" s="489"/>
      <c r="E33" s="489"/>
      <c r="F33" s="489"/>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88" t="str">
        <f>+VLOOKUP($A34,Master!$D$27:$G$225,4,FALSE)</f>
        <v>Expenditures for Supplies</v>
      </c>
      <c r="C34" s="489"/>
      <c r="D34" s="489"/>
      <c r="E34" s="489"/>
      <c r="F34" s="489"/>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88" t="str">
        <f>+VLOOKUP($A35,Master!$D$27:$G$225,4,FALSE)</f>
        <v>Expenditures for Services</v>
      </c>
      <c r="C35" s="489"/>
      <c r="D35" s="489"/>
      <c r="E35" s="489"/>
      <c r="F35" s="489"/>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88" t="str">
        <f>+VLOOKUP($A36,Master!$D$27:$G$225,4,FALSE)</f>
        <v>Current Maintenance</v>
      </c>
      <c r="C36" s="489"/>
      <c r="D36" s="489"/>
      <c r="E36" s="489"/>
      <c r="F36" s="489"/>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88" t="str">
        <f>+VLOOKUP($A37,Master!$D$27:$G$225,4,FALSE)</f>
        <v>Interests</v>
      </c>
      <c r="C37" s="489"/>
      <c r="D37" s="489"/>
      <c r="E37" s="489"/>
      <c r="F37" s="489"/>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88" t="str">
        <f>+VLOOKUP($A38,Master!$D$27:$G$225,4,FALSE)</f>
        <v>Rent</v>
      </c>
      <c r="C38" s="489"/>
      <c r="D38" s="489"/>
      <c r="E38" s="489"/>
      <c r="F38" s="489"/>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88" t="str">
        <f>+VLOOKUP($A39,Master!$D$27:$G$225,4,FALSE)</f>
        <v>Subsidies</v>
      </c>
      <c r="C39" s="489"/>
      <c r="D39" s="489"/>
      <c r="E39" s="489"/>
      <c r="F39" s="489"/>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88" t="str">
        <f>+VLOOKUP($A40,Master!$D$27:$G$225,4,FALSE)</f>
        <v>Other expenditures</v>
      </c>
      <c r="C40" s="489"/>
      <c r="D40" s="489"/>
      <c r="E40" s="489"/>
      <c r="F40" s="489"/>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88" t="str">
        <f>+VLOOKUP($A41,Master!$D$27:$G$225,4,FALSE)</f>
        <v>Current Capital Expenditure</v>
      </c>
      <c r="C41" s="489"/>
      <c r="D41" s="489"/>
      <c r="E41" s="489"/>
      <c r="F41" s="489"/>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84" t="str">
        <f>+VLOOKUP($A42,Master!$D$27:$G$225,4,FALSE)</f>
        <v>Social Security Transfers</v>
      </c>
      <c r="C42" s="485"/>
      <c r="D42" s="485"/>
      <c r="E42" s="485"/>
      <c r="F42" s="485"/>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88" t="str">
        <f>+VLOOKUP($A43,Master!$D$27:$G$225,4,FALSE)</f>
        <v>Social Security</v>
      </c>
      <c r="C43" s="489"/>
      <c r="D43" s="489"/>
      <c r="E43" s="489"/>
      <c r="F43" s="489"/>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88" t="str">
        <f>+VLOOKUP($A44,Master!$D$27:$G$225,4,FALSE)</f>
        <v>Funds for redundant labor</v>
      </c>
      <c r="C44" s="489"/>
      <c r="D44" s="489"/>
      <c r="E44" s="489"/>
      <c r="F44" s="489"/>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88" t="str">
        <f>+VLOOKUP($A45,Master!$D$27:$G$225,4,FALSE)</f>
        <v>Pension and Disability Insurance</v>
      </c>
      <c r="C45" s="489"/>
      <c r="D45" s="489"/>
      <c r="E45" s="489"/>
      <c r="F45" s="489"/>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88" t="str">
        <f>+VLOOKUP($A46,Master!$D$27:$G$225,4,FALSE)</f>
        <v>Other Health Care Transfers</v>
      </c>
      <c r="C46" s="489"/>
      <c r="D46" s="489"/>
      <c r="E46" s="489"/>
      <c r="F46" s="489"/>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88" t="str">
        <f>+VLOOKUP($A47,Master!$D$27:$G$225,4,FALSE)</f>
        <v>Other Health Care Insurance</v>
      </c>
      <c r="C47" s="489"/>
      <c r="D47" s="489"/>
      <c r="E47" s="489"/>
      <c r="F47" s="489"/>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86" t="str">
        <f>+VLOOKUP($A48,Master!$D$27:$G$225,4,FALSE)</f>
        <v xml:space="preserve">Transfers to Institutions, Individuals, NGO and Public Sector </v>
      </c>
      <c r="C48" s="487"/>
      <c r="D48" s="487"/>
      <c r="E48" s="487"/>
      <c r="F48" s="487"/>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86" t="str">
        <f>+VLOOKUP($A49,Master!$D$27:$G$225,4,FALSE)</f>
        <v>Capital Expenditure</v>
      </c>
      <c r="C49" s="487"/>
      <c r="D49" s="487"/>
      <c r="E49" s="487"/>
      <c r="F49" s="487"/>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56" t="str">
        <f>+VLOOKUP($A50,Master!$D$27:$G$225,4,FALSE)</f>
        <v>Credits and Borrowings</v>
      </c>
      <c r="C50" s="457"/>
      <c r="D50" s="457"/>
      <c r="E50" s="457"/>
      <c r="F50" s="457"/>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56" t="str">
        <f>+VLOOKUP($A51,Master!$D$27:$G$225,4,FALSE)</f>
        <v>Reserves</v>
      </c>
      <c r="C51" s="457"/>
      <c r="D51" s="457"/>
      <c r="E51" s="457"/>
      <c r="F51" s="457"/>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4" t="str">
        <f>+VLOOKUP($A52,Master!$D$27:$G$225,4,FALSE)</f>
        <v>Repayment of Guarantees</v>
      </c>
      <c r="C52" s="475"/>
      <c r="D52" s="475"/>
      <c r="E52" s="475"/>
      <c r="F52" s="475"/>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4" t="str">
        <f>+VLOOKUP($A53,Master!$D$27:$G$225,4,TRUE)</f>
        <v>Repayments of Arrears</v>
      </c>
      <c r="C53" s="475"/>
      <c r="D53" s="475"/>
      <c r="E53" s="475"/>
      <c r="F53" s="475"/>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20" t="str">
        <f>+VLOOKUP($A54,Master!$D$27:$G$227,4,FALSE)</f>
        <v>Net increase of liabilities</v>
      </c>
      <c r="C54" s="521"/>
      <c r="D54" s="521"/>
      <c r="E54" s="521"/>
      <c r="F54" s="521"/>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80" t="str">
        <f>+VLOOKUP($A55,Master!$D$27:$G$225,4,FALSE)</f>
        <v>Surplus / deficit</v>
      </c>
      <c r="C55" s="481"/>
      <c r="D55" s="481"/>
      <c r="E55" s="481"/>
      <c r="F55" s="481"/>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772</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82" t="str">
        <f>+VLOOKUP($A57,Master!$D$27:$G$225,4,FALSE)</f>
        <v>Primary balance</v>
      </c>
      <c r="C57" s="483"/>
      <c r="D57" s="483"/>
      <c r="E57" s="483"/>
      <c r="F57" s="483"/>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84" t="str">
        <f>+VLOOKUP($A58,Master!$D$27:$G$225,4,FALSE)</f>
        <v>Repayment of Debt</v>
      </c>
      <c r="C58" s="485"/>
      <c r="D58" s="485"/>
      <c r="E58" s="485"/>
      <c r="F58" s="485"/>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72" t="str">
        <f>+VLOOKUP($A59,Master!$D$27:$G$225,4,FALSE)</f>
        <v>Repayment of Domestic Debt</v>
      </c>
      <c r="C59" s="473"/>
      <c r="D59" s="473"/>
      <c r="E59" s="473"/>
      <c r="F59" s="473"/>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56" t="str">
        <f>+VLOOKUP($A60,Master!$D$27:$G$225,4,FALSE)</f>
        <v>Repayment of Foreign Debt</v>
      </c>
      <c r="C60" s="457"/>
      <c r="D60" s="457"/>
      <c r="E60" s="457"/>
      <c r="F60" s="457"/>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76" t="str">
        <f>+VLOOKUP($A61,Master!$D$27:$G$225,4,FALSE)</f>
        <v>Financing needs</v>
      </c>
      <c r="C61" s="477"/>
      <c r="D61" s="477"/>
      <c r="E61" s="477"/>
      <c r="F61" s="477"/>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78" t="str">
        <f>+VLOOKUP($A62,Master!$D$27:$G$225,4,FALSE)</f>
        <v>Financing</v>
      </c>
      <c r="C62" s="479"/>
      <c r="D62" s="479"/>
      <c r="E62" s="479"/>
      <c r="F62" s="479"/>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72" t="str">
        <f>+VLOOKUP($A63,Master!$D$27:$G$225,4,FALSE)</f>
        <v>Domestic Loans and Borrowings</v>
      </c>
      <c r="C63" s="473"/>
      <c r="D63" s="473"/>
      <c r="E63" s="473"/>
      <c r="F63" s="473"/>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56" t="str">
        <f>+VLOOKUP($A64,Master!$D$27:$G$225,4,FALSE)</f>
        <v>Foreign Loans and Borrowings</v>
      </c>
      <c r="C64" s="457"/>
      <c r="D64" s="457"/>
      <c r="E64" s="457"/>
      <c r="F64" s="457"/>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56" t="str">
        <f>+VLOOKUP($A65,Master!$D$27:$G$225,4,FALSE)</f>
        <v>Revenues from Selling Assets</v>
      </c>
      <c r="C65" s="457"/>
      <c r="D65" s="457"/>
      <c r="E65" s="457"/>
      <c r="F65" s="457"/>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43" t="str">
        <f>+Master!G252</f>
        <v>Planned Budget Execution</v>
      </c>
      <c r="C102" s="544"/>
      <c r="D102" s="544"/>
      <c r="E102" s="544"/>
      <c r="F102" s="544"/>
      <c r="G102" s="536">
        <v>2015</v>
      </c>
      <c r="H102" s="537"/>
      <c r="I102" s="537"/>
      <c r="J102" s="537"/>
      <c r="K102" s="537"/>
      <c r="L102" s="537"/>
      <c r="M102" s="537"/>
      <c r="N102" s="537"/>
      <c r="O102" s="537"/>
      <c r="P102" s="537"/>
      <c r="Q102" s="537"/>
      <c r="R102" s="538"/>
      <c r="S102" s="115" t="str">
        <f>+S7</f>
        <v>GDP</v>
      </c>
      <c r="T102" s="116">
        <f>+T7</f>
        <v>3655000000</v>
      </c>
    </row>
    <row r="103" spans="1:21" ht="15.75" customHeight="1">
      <c r="B103" s="545"/>
      <c r="C103" s="546"/>
      <c r="D103" s="546"/>
      <c r="E103" s="546"/>
      <c r="F103" s="547"/>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6" t="str">
        <f>+Master!G246</f>
        <v>Jan - Dec</v>
      </c>
      <c r="T103" s="538">
        <f>+T8</f>
        <v>0</v>
      </c>
    </row>
    <row r="104" spans="1:21" ht="13.5" thickBot="1">
      <c r="B104" s="548"/>
      <c r="C104" s="549"/>
      <c r="D104" s="549"/>
      <c r="E104" s="549"/>
      <c r="F104" s="550"/>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8">+CONCATENATE(A10,"p")</f>
        <v>7p</v>
      </c>
      <c r="B105" s="539" t="str">
        <f>+VLOOKUP(LEFT($A105,LEN(A105)-1)*1,Master!$D$27:$G$225,4,FALSE)</f>
        <v>Total Revenues</v>
      </c>
      <c r="C105" s="540"/>
      <c r="D105" s="540"/>
      <c r="E105" s="540"/>
      <c r="F105" s="540"/>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41" t="str">
        <f>+VLOOKUP(LEFT($A106,LEN(A106)-1)*1,Master!$D$27:$G$225,4,FALSE)</f>
        <v>Taxes</v>
      </c>
      <c r="C106" s="542"/>
      <c r="D106" s="542"/>
      <c r="E106" s="542"/>
      <c r="F106" s="542"/>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2" t="str">
        <f>+VLOOKUP(LEFT($A107,LEN(A107)-1)*1,Master!$D$27:$G$225,4,FALSE)</f>
        <v>Personal Income Tax</v>
      </c>
      <c r="C107" s="523"/>
      <c r="D107" s="523"/>
      <c r="E107" s="523"/>
      <c r="F107" s="523"/>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2" t="str">
        <f>+VLOOKUP(LEFT($A108,LEN(A108)-1)*1,Master!$D$27:$G$225,4,FALSE)</f>
        <v>Corporate Income Tax</v>
      </c>
      <c r="C108" s="523"/>
      <c r="D108" s="523"/>
      <c r="E108" s="523"/>
      <c r="F108" s="523"/>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2" t="str">
        <f>+VLOOKUP(LEFT($A109,LEN(A109)-1)*1,Master!$D$27:$G$225,4,FALSE)</f>
        <v xml:space="preserve">Taxes on Sales of Property </v>
      </c>
      <c r="C109" s="523"/>
      <c r="D109" s="523"/>
      <c r="E109" s="523"/>
      <c r="F109" s="523"/>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2" t="str">
        <f>+VLOOKUP(LEFT($A110,LEN(A110)-1)*1,Master!$D$27:$G$225,4,FALSE)</f>
        <v>Value Added Tax</v>
      </c>
      <c r="C110" s="523"/>
      <c r="D110" s="523"/>
      <c r="E110" s="523"/>
      <c r="F110" s="523"/>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2" t="str">
        <f>+VLOOKUP(LEFT($A111,LEN(A111)-1)*1,Master!$D$27:$G$225,4,FALSE)</f>
        <v>Excises</v>
      </c>
      <c r="C111" s="523"/>
      <c r="D111" s="523"/>
      <c r="E111" s="523"/>
      <c r="F111" s="523"/>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2" t="str">
        <f>+VLOOKUP(LEFT($A112,LEN(A112)-1)*1,Master!$D$27:$G$225,4,FALSE)</f>
        <v>Tax on International Trade and Transactions</v>
      </c>
      <c r="C112" s="523"/>
      <c r="D112" s="523"/>
      <c r="E112" s="523"/>
      <c r="F112" s="523"/>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2" t="str">
        <f>+VLOOKUP(LEFT($A113,LEN(A113)-1)*1,Master!$D$27:$G$225,4,FALSE)</f>
        <v>Other Republic Taxes</v>
      </c>
      <c r="C113" s="523"/>
      <c r="D113" s="523"/>
      <c r="E113" s="523"/>
      <c r="F113" s="523"/>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4" t="str">
        <f>+VLOOKUP(LEFT($A114,LEN(A114)-1)*1,Master!$D$27:$G$225,4,FALSE)</f>
        <v>Contributions</v>
      </c>
      <c r="C114" s="535"/>
      <c r="D114" s="535"/>
      <c r="E114" s="535"/>
      <c r="F114" s="535"/>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2" t="str">
        <f>+VLOOKUP(LEFT($A115,LEN(A115)-1)*1,Master!$D$27:$G$225,4,FALSE)</f>
        <v>Contributions for Pension and Disability Insurance</v>
      </c>
      <c r="C115" s="523"/>
      <c r="D115" s="523"/>
      <c r="E115" s="523"/>
      <c r="F115" s="523"/>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2" t="str">
        <f>+VLOOKUP(LEFT($A116,LEN(A116)-1)*1,Master!$D$27:$G$225,4,FALSE)</f>
        <v>Contributions for Health Insurance</v>
      </c>
      <c r="C116" s="523"/>
      <c r="D116" s="523"/>
      <c r="E116" s="523"/>
      <c r="F116" s="523"/>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2" t="str">
        <f>+VLOOKUP(LEFT($A117,LEN(A117)-1)*1,Master!$D$27:$G$225,4,FALSE)</f>
        <v>Contributions for  Unemployment Insurance</v>
      </c>
      <c r="C117" s="523"/>
      <c r="D117" s="523"/>
      <c r="E117" s="523"/>
      <c r="F117" s="523"/>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2" t="str">
        <f>+VLOOKUP(LEFT($A118,LEN(A118)-1)*1,Master!$D$27:$G$225,4,FALSE)</f>
        <v>Other contributions</v>
      </c>
      <c r="C118" s="523"/>
      <c r="D118" s="523"/>
      <c r="E118" s="523"/>
      <c r="F118" s="523"/>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26" t="str">
        <f>+VLOOKUP(LEFT($A119,LEN(A119)-1)*1,Master!$D$27:$G$225,4,FALSE)</f>
        <v>Duties</v>
      </c>
      <c r="C119" s="527"/>
      <c r="D119" s="527"/>
      <c r="E119" s="527"/>
      <c r="F119" s="527"/>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26" t="str">
        <f>+VLOOKUP(LEFT($A120,LEN(A120)-1)*1,Master!$D$27:$G$225,4,FALSE)</f>
        <v>Fees</v>
      </c>
      <c r="C120" s="527"/>
      <c r="D120" s="527"/>
      <c r="E120" s="527"/>
      <c r="F120" s="527"/>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26" t="str">
        <f>+VLOOKUP(LEFT($A121,LEN(A121)-1)*1,Master!$D$27:$G$225,4,FALSE)</f>
        <v>Other revenues</v>
      </c>
      <c r="C121" s="527"/>
      <c r="D121" s="527"/>
      <c r="E121" s="527"/>
      <c r="F121" s="527"/>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26" t="str">
        <f>+VLOOKUP(LEFT($A122,LEN(A122)-1)*1,Master!$D$27:$G$225,4,FALSE)</f>
        <v>Receipts from Repayment of Loans and Funds Carried over from Previous Year</v>
      </c>
      <c r="C122" s="527"/>
      <c r="D122" s="527"/>
      <c r="E122" s="527"/>
      <c r="F122" s="527"/>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28" t="str">
        <f>+VLOOKUP(LEFT($A123,LEN(A123)-1)*1,Master!$D$27:$G$225,4,FALSE)</f>
        <v>Grants and Transfers</v>
      </c>
      <c r="C123" s="529"/>
      <c r="D123" s="529"/>
      <c r="E123" s="529"/>
      <c r="F123" s="529"/>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12" t="str">
        <f>+VLOOKUP(LEFT($A124,LEN(A124)-1)*1,Master!$D$27:$G$225,4,FALSE)</f>
        <v>Total Expenditures</v>
      </c>
      <c r="C124" s="513"/>
      <c r="D124" s="513"/>
      <c r="E124" s="513"/>
      <c r="F124" s="513"/>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30" t="str">
        <f>+VLOOKUP(LEFT($A125,LEN(A125)-1)*1,Master!$D$27:$G$225,4,FALSE)</f>
        <v>Current Expenditures</v>
      </c>
      <c r="C125" s="531"/>
      <c r="D125" s="531"/>
      <c r="E125" s="531"/>
      <c r="F125" s="531"/>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32" t="str">
        <f>+VLOOKUP(LEFT($A126,LEN(A126)-1)*1,Master!$D$27:$G$225,4,FALSE)</f>
        <v>Current Budgetary Consumption</v>
      </c>
      <c r="C126" s="533"/>
      <c r="D126" s="533"/>
      <c r="E126" s="533"/>
      <c r="F126" s="533"/>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2" t="str">
        <f>+VLOOKUP(LEFT($A127,LEN(A127)-1)*1,Master!$D$27:$G$225,4,FALSE)</f>
        <v>Gross Salaries and Contributions</v>
      </c>
      <c r="C127" s="523"/>
      <c r="D127" s="523"/>
      <c r="E127" s="523"/>
      <c r="F127" s="523"/>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2" t="str">
        <f>+VLOOKUP(LEFT($A128,LEN(A128)-1)*1,Master!$D$27:$G$225,4,FALSE)</f>
        <v>Other Personal Income</v>
      </c>
      <c r="C128" s="523"/>
      <c r="D128" s="523"/>
      <c r="E128" s="523"/>
      <c r="F128" s="523"/>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2" t="str">
        <f>+VLOOKUP(LEFT($A129,LEN(A129)-1)*1,Master!$D$27:$G$225,4,FALSE)</f>
        <v>Expenditures for Supplies</v>
      </c>
      <c r="C129" s="523"/>
      <c r="D129" s="523"/>
      <c r="E129" s="523"/>
      <c r="F129" s="523"/>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2" t="str">
        <f>+VLOOKUP(LEFT($A130,LEN(A130)-1)*1,Master!$D$27:$G$225,4,FALSE)</f>
        <v>Expenditures for Services</v>
      </c>
      <c r="C130" s="523"/>
      <c r="D130" s="523"/>
      <c r="E130" s="523"/>
      <c r="F130" s="523"/>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2" t="str">
        <f>+VLOOKUP(LEFT($A131,LEN(A131)-1)*1,Master!$D$27:$G$225,4,FALSE)</f>
        <v>Current Maintenance</v>
      </c>
      <c r="C131" s="523"/>
      <c r="D131" s="523"/>
      <c r="E131" s="523"/>
      <c r="F131" s="523"/>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2" t="str">
        <f>+VLOOKUP(LEFT($A132,LEN(A132)-1)*1,Master!$D$27:$G$225,4,FALSE)</f>
        <v>Interests</v>
      </c>
      <c r="C132" s="523"/>
      <c r="D132" s="523"/>
      <c r="E132" s="523"/>
      <c r="F132" s="523"/>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2" t="str">
        <f>+VLOOKUP(LEFT($A133,LEN(A133)-1)*1,Master!$D$27:$G$225,4,FALSE)</f>
        <v>Rent</v>
      </c>
      <c r="C133" s="523"/>
      <c r="D133" s="523"/>
      <c r="E133" s="523"/>
      <c r="F133" s="523"/>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2" t="str">
        <f>+VLOOKUP(LEFT($A134,LEN(A134)-1)*1,Master!$D$27:$G$225,4,FALSE)</f>
        <v>Subsidies</v>
      </c>
      <c r="C134" s="523"/>
      <c r="D134" s="523"/>
      <c r="E134" s="523"/>
      <c r="F134" s="523"/>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2" t="str">
        <f>+VLOOKUP(LEFT($A135,LEN(A135)-1)*1,Master!$D$27:$G$225,4,FALSE)</f>
        <v>Other expenditures</v>
      </c>
      <c r="C135" s="523"/>
      <c r="D135" s="523"/>
      <c r="E135" s="523"/>
      <c r="F135" s="523"/>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2" t="str">
        <f>+VLOOKUP(LEFT($A136,LEN(A136)-1)*1,Master!$D$27:$G$225,4,FALSE)</f>
        <v>Current Capital Expenditure</v>
      </c>
      <c r="C136" s="523"/>
      <c r="D136" s="523"/>
      <c r="E136" s="523"/>
      <c r="F136" s="523"/>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18" t="str">
        <f>+VLOOKUP(LEFT($A137,LEN(A137)-1)*1,Master!$D$27:$G$225,4,FALSE)</f>
        <v>Social Security Transfers</v>
      </c>
      <c r="C137" s="519"/>
      <c r="D137" s="519"/>
      <c r="E137" s="519"/>
      <c r="F137" s="519"/>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2" t="str">
        <f>+VLOOKUP(LEFT($A138,LEN(A138)-1)*1,Master!$D$27:$G$225,4,FALSE)</f>
        <v>Social Security</v>
      </c>
      <c r="C138" s="523"/>
      <c r="D138" s="523"/>
      <c r="E138" s="523"/>
      <c r="F138" s="523"/>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2" t="str">
        <f>+VLOOKUP(LEFT($A139,LEN(A139)-1)*1,Master!$D$27:$G$225,4,FALSE)</f>
        <v>Funds for redundant labor</v>
      </c>
      <c r="C139" s="523"/>
      <c r="D139" s="523"/>
      <c r="E139" s="523"/>
      <c r="F139" s="523"/>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2" t="str">
        <f>+VLOOKUP(LEFT($A140,LEN(A140)-1)*1,Master!$D$27:$G$225,4,FALSE)</f>
        <v>Pension and Disability Insurance</v>
      </c>
      <c r="C140" s="523"/>
      <c r="D140" s="523"/>
      <c r="E140" s="523"/>
      <c r="F140" s="523"/>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2" t="str">
        <f>+VLOOKUP(LEFT($A141,LEN(A141)-1)*1,Master!$D$27:$G$225,4,FALSE)</f>
        <v>Other Health Care Transfers</v>
      </c>
      <c r="C141" s="523"/>
      <c r="D141" s="523"/>
      <c r="E141" s="523"/>
      <c r="F141" s="523"/>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2" t="str">
        <f>+VLOOKUP(LEFT($A142,LEN(A142)-1)*1,Master!$D$27:$G$225,4,FALSE)</f>
        <v>Other Health Care Insurance</v>
      </c>
      <c r="C142" s="523"/>
      <c r="D142" s="523"/>
      <c r="E142" s="523"/>
      <c r="F142" s="523"/>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24" t="str">
        <f>+VLOOKUP(LEFT($A143,LEN(A143)-1)*1,Master!$D$27:$G$225,4,FALSE)</f>
        <v xml:space="preserve">Transfers to Institutions, Individuals, NGO and Public Sector </v>
      </c>
      <c r="C143" s="525"/>
      <c r="D143" s="525"/>
      <c r="E143" s="525"/>
      <c r="F143" s="525"/>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24" t="str">
        <f>+VLOOKUP(LEFT($A144,LEN(A144)-1)*1,Master!$D$27:$G$225,4,FALSE)</f>
        <v>Capital Expenditure</v>
      </c>
      <c r="C144" s="525"/>
      <c r="D144" s="525"/>
      <c r="E144" s="525"/>
      <c r="F144" s="525"/>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06" t="str">
        <f>+VLOOKUP(LEFT($A145,LEN(A145)-1)*1,Master!$D$27:$G$225,4,FALSE)</f>
        <v>Credits and Borrowings</v>
      </c>
      <c r="C145" s="507"/>
      <c r="D145" s="507"/>
      <c r="E145" s="507"/>
      <c r="F145" s="507"/>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06" t="str">
        <f>+VLOOKUP(LEFT($A146,LEN(A146)-1)*1,Master!$D$27:$G$225,4,FALSE)</f>
        <v>Reserves</v>
      </c>
      <c r="C146" s="507"/>
      <c r="D146" s="507"/>
      <c r="E146" s="507"/>
      <c r="F146" s="507"/>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20" t="str">
        <f>+VLOOKUP(LEFT($A147,LEN(A147)-1)*1,Master!$D$27:$G$225,4,FALSE)</f>
        <v>Repayment of Guarantees</v>
      </c>
      <c r="C147" s="521"/>
      <c r="D147" s="521"/>
      <c r="E147" s="521"/>
      <c r="F147" s="521"/>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14" t="str">
        <f>+VLOOKUP(LEFT($A148,LEN(A148)-1)*1,Master!$D$27:$G$225,4,FALSE)</f>
        <v>Surplus / deficit</v>
      </c>
      <c r="C148" s="515"/>
      <c r="D148" s="515"/>
      <c r="E148" s="515"/>
      <c r="F148" s="515"/>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16" t="str">
        <f>+VLOOKUP(LEFT($A149,LEN(A149)-1)*1,Master!$D$27:$G$225,4,FALSE)</f>
        <v>Primary balance</v>
      </c>
      <c r="C149" s="517"/>
      <c r="D149" s="517"/>
      <c r="E149" s="517"/>
      <c r="F149" s="517"/>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18" t="str">
        <f>+VLOOKUP(LEFT($A150,LEN(A150)-1)*1,Master!$D$27:$G$225,4,FALSE)</f>
        <v>Repayment of Debt</v>
      </c>
      <c r="C150" s="519"/>
      <c r="D150" s="519"/>
      <c r="E150" s="519"/>
      <c r="F150" s="519"/>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08" t="str">
        <f>+VLOOKUP(LEFT($A151,LEN(A151)-1)*1,Master!$D$27:$G$225,4,FALSE)</f>
        <v>Repayment of Domestic Debt</v>
      </c>
      <c r="C151" s="509"/>
      <c r="D151" s="509"/>
      <c r="E151" s="509"/>
      <c r="F151" s="509"/>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06" t="str">
        <f>+VLOOKUP(LEFT($A152,LEN(A152)-1)*1,Master!$D$27:$G$225,4,FALSE)</f>
        <v>Repayment of Foreign Debt</v>
      </c>
      <c r="C152" s="507"/>
      <c r="D152" s="507"/>
      <c r="E152" s="507"/>
      <c r="F152" s="507"/>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20" t="str">
        <f>+VLOOKUP(LEFT($A153,LEN(A153)-1)*1,Master!$D$27:$G$225,4,FALSE)</f>
        <v>Repayments of Arrears</v>
      </c>
      <c r="C153" s="521"/>
      <c r="D153" s="521"/>
      <c r="E153" s="521"/>
      <c r="F153" s="521"/>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10" t="str">
        <f>+VLOOKUP(LEFT($A154,LEN(A154)-1)*1,Master!$D$27:$G$225,4,FALSE)</f>
        <v>Financing needs</v>
      </c>
      <c r="C154" s="511"/>
      <c r="D154" s="511"/>
      <c r="E154" s="511"/>
      <c r="F154" s="511"/>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12" t="str">
        <f>+VLOOKUP(LEFT($A155,LEN(A155)-1)*1,Master!$D$27:$G$225,4,FALSE)</f>
        <v>Financing</v>
      </c>
      <c r="C155" s="513"/>
      <c r="D155" s="513"/>
      <c r="E155" s="513"/>
      <c r="F155" s="513"/>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08" t="str">
        <f>+VLOOKUP(LEFT($A156,LEN(A156)-1)*1,Master!$D$27:$G$225,4,FALSE)</f>
        <v>Domestic Loans and Borrowings</v>
      </c>
      <c r="C156" s="509"/>
      <c r="D156" s="509"/>
      <c r="E156" s="509"/>
      <c r="F156" s="509"/>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06" t="str">
        <f>+VLOOKUP(LEFT($A157,LEN(A157)-1)*1,Master!$D$27:$G$225,4,FALSE)</f>
        <v>Foreign Loans and Borrowings</v>
      </c>
      <c r="C157" s="507"/>
      <c r="D157" s="507"/>
      <c r="E157" s="507"/>
      <c r="F157" s="507"/>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06" t="str">
        <f>+VLOOKUP(LEFT($A158,LEN(A158)-1)*1,Master!$D$27:$G$225,4,FALSE)</f>
        <v>Revenues from Selling Assets</v>
      </c>
      <c r="C158" s="507"/>
      <c r="D158" s="507"/>
      <c r="E158" s="507"/>
      <c r="F158" s="507"/>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56:F156"/>
    <mergeCell ref="B157:F157"/>
    <mergeCell ref="B158:F158"/>
    <mergeCell ref="B150:F150"/>
    <mergeCell ref="B151:F151"/>
    <mergeCell ref="B152:F152"/>
    <mergeCell ref="B153:F153"/>
    <mergeCell ref="B154:F154"/>
    <mergeCell ref="B155:F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Nevena Cobeljic</cp:lastModifiedBy>
  <cp:lastPrinted>2017-03-01T13:10:49Z</cp:lastPrinted>
  <dcterms:created xsi:type="dcterms:W3CDTF">2014-09-15T13:41:17Z</dcterms:created>
  <dcterms:modified xsi:type="dcterms:W3CDTF">2019-12-16T13:07:04Z</dcterms:modified>
</cp:coreProperties>
</file>