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Februar 2024\GDDS Feb za objavu\"/>
    </mc:Choice>
  </mc:AlternateContent>
  <xr:revisionPtr revIDLastSave="0" documentId="8_{B48DDCED-2A52-4DD8-81D9-018B1B31E3F8}" xr6:coauthVersionLast="36" xr6:coauthVersionMax="36" xr10:uidLastSave="{00000000-0000-0000-0000-000000000000}"/>
  <workbookProtection workbookAlgorithmName="SHA-512" workbookHashValue="ipSbba2HaeTgbcuzn2zaFGPMFoOXEuGSY3YmigTvifG7soubilm070GY+/5/NgdnhX5NGzE1peNsH8FOSK2K+A==" workbookSaltValue="gFGN1zanZpza2BKFeBrYTA==" workbookSpinCount="100000" lockStructure="1"/>
  <bookViews>
    <workbookView xWindow="0" yWindow="0" windowWidth="28800" windowHeight="12225" tabRatio="587" firstSheet="1" activeTab="1" xr2:uid="{00000000-000D-0000-FFFF-FFFF00000000}"/>
  </bookViews>
  <sheets>
    <sheet name="Analitika - 2014" sheetId="3" state="hidden" r:id="rId1"/>
    <sheet name="Pregled" sheetId="1" r:id="rId2"/>
    <sheet name="Analitika 2024" sheetId="11" r:id="rId3"/>
    <sheet name="2024" sheetId="26" r:id="rId4"/>
    <sheet name="2023" sheetId="27" state="hidden" r:id="rId5"/>
    <sheet name="2022" sheetId="25" state="hidden" r:id="rId6"/>
    <sheet name="2021" sheetId="22" state="hidden" r:id="rId7"/>
    <sheet name="2020" sheetId="19" state="hidden" r:id="rId8"/>
    <sheet name="2019" sheetId="20" state="hidden" r:id="rId9"/>
    <sheet name="2018" sheetId="21" state="hidden" r:id="rId10"/>
    <sheet name="DataEx" sheetId="6" state="hidden" r:id="rId11"/>
    <sheet name="Master" sheetId="2" state="hidden" r:id="rId12"/>
  </sheets>
  <externalReferences>
    <externalReference r:id="rId13"/>
  </externalReferences>
  <definedNames>
    <definedName name="_2015plan" localSheetId="9">'2018'!$A$103:$A$162</definedName>
    <definedName name="_2015plan" localSheetId="8">'2019'!$A$100:$A$159</definedName>
    <definedName name="_2015plan" localSheetId="7">'2020'!$A$100:$A$157</definedName>
    <definedName name="_2015plan" localSheetId="6">'2021'!$A$81:$A$138</definedName>
    <definedName name="_2015plan" localSheetId="5">'2022'!$A$83:$A$140</definedName>
    <definedName name="_2015plan" localSheetId="4">'2023'!$A$83:$A$142</definedName>
    <definedName name="_2015plan" localSheetId="3">'2024'!$A$83:$A$142</definedName>
  </definedNames>
  <calcPr calcId="191029"/>
</workbook>
</file>

<file path=xl/calcChain.xml><?xml version="1.0" encoding="utf-8"?>
<calcChain xmlns="http://schemas.openxmlformats.org/spreadsheetml/2006/main">
  <c r="K11" i="11" l="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10" i="11"/>
  <c r="G19" i="1" l="1"/>
  <c r="G15" i="1"/>
  <c r="G11" i="1"/>
  <c r="R12" i="11" l="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31" i="11"/>
  <c r="R32" i="11"/>
  <c r="R33" i="11"/>
  <c r="R34" i="11"/>
  <c r="R35" i="11"/>
  <c r="R36" i="11"/>
  <c r="R37" i="11"/>
  <c r="R38" i="11"/>
  <c r="R39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6" i="11"/>
  <c r="R57" i="11"/>
  <c r="R58" i="11"/>
  <c r="R59" i="11"/>
  <c r="R62" i="11"/>
  <c r="R63" i="11"/>
  <c r="R64" i="11"/>
  <c r="R65" i="11"/>
  <c r="O12" i="1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6" i="11"/>
  <c r="O57" i="11"/>
  <c r="O58" i="11"/>
  <c r="O59" i="11"/>
  <c r="O62" i="11"/>
  <c r="O63" i="11"/>
  <c r="O64" i="11"/>
  <c r="O65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59" i="11"/>
  <c r="N62" i="11"/>
  <c r="N63" i="11"/>
  <c r="N64" i="11"/>
  <c r="N65" i="11"/>
  <c r="G19" i="26" l="1"/>
  <c r="H19" i="26"/>
  <c r="N19" i="11" s="1"/>
  <c r="G55" i="26" l="1"/>
  <c r="G40" i="26"/>
  <c r="G30" i="26"/>
  <c r="I19" i="26" l="1"/>
  <c r="A142" i="27" l="1"/>
  <c r="S141" i="27"/>
  <c r="T141" i="27" s="1"/>
  <c r="S140" i="27"/>
  <c r="T140" i="27" s="1"/>
  <c r="A140" i="27"/>
  <c r="S139" i="27"/>
  <c r="T139" i="27" s="1"/>
  <c r="A139" i="27"/>
  <c r="S138" i="27"/>
  <c r="T138" i="27" s="1"/>
  <c r="A138" i="27"/>
  <c r="A137" i="27"/>
  <c r="A136" i="27"/>
  <c r="S135" i="27"/>
  <c r="T135" i="27" s="1"/>
  <c r="S134" i="27"/>
  <c r="T134" i="27" s="1"/>
  <c r="A134" i="27"/>
  <c r="S133" i="27"/>
  <c r="T133" i="27" s="1"/>
  <c r="A133" i="27"/>
  <c r="S132" i="27"/>
  <c r="T132" i="27" s="1"/>
  <c r="A132" i="27"/>
  <c r="R131" i="27"/>
  <c r="Q131" i="27"/>
  <c r="P131" i="27"/>
  <c r="O131" i="27"/>
  <c r="N131" i="27"/>
  <c r="M131" i="27"/>
  <c r="L131" i="27"/>
  <c r="K131" i="27"/>
  <c r="J131" i="27"/>
  <c r="I131" i="27"/>
  <c r="H131" i="27"/>
  <c r="G131" i="27"/>
  <c r="A131" i="27"/>
  <c r="A130" i="27"/>
  <c r="A129" i="27"/>
  <c r="S128" i="27"/>
  <c r="T128" i="27" s="1"/>
  <c r="A128" i="27"/>
  <c r="S127" i="27"/>
  <c r="T127" i="27" s="1"/>
  <c r="A127" i="27"/>
  <c r="S126" i="27"/>
  <c r="T126" i="27" s="1"/>
  <c r="A126" i="27"/>
  <c r="R125" i="27"/>
  <c r="S125" i="27" s="1"/>
  <c r="T125" i="27" s="1"/>
  <c r="A125" i="27"/>
  <c r="S124" i="27"/>
  <c r="T124" i="27" s="1"/>
  <c r="A124" i="27"/>
  <c r="R123" i="27"/>
  <c r="Q123" i="27"/>
  <c r="P123" i="27"/>
  <c r="O123" i="27"/>
  <c r="N123" i="27"/>
  <c r="M123" i="27"/>
  <c r="L123" i="27"/>
  <c r="K123" i="27"/>
  <c r="J123" i="27"/>
  <c r="I123" i="27"/>
  <c r="H123" i="27"/>
  <c r="G123" i="27"/>
  <c r="A123" i="27"/>
  <c r="R122" i="27"/>
  <c r="S122" i="27" s="1"/>
  <c r="T122" i="27" s="1"/>
  <c r="A122" i="27"/>
  <c r="S121" i="27"/>
  <c r="T121" i="27" s="1"/>
  <c r="A121" i="27"/>
  <c r="S120" i="27"/>
  <c r="T120" i="27" s="1"/>
  <c r="A120" i="27"/>
  <c r="S119" i="27"/>
  <c r="T119" i="27" s="1"/>
  <c r="A119" i="27"/>
  <c r="S118" i="27"/>
  <c r="T118" i="27" s="1"/>
  <c r="A118" i="27"/>
  <c r="S117" i="27"/>
  <c r="T117" i="27" s="1"/>
  <c r="A117" i="27"/>
  <c r="R116" i="27"/>
  <c r="Q116" i="27"/>
  <c r="P116" i="27"/>
  <c r="O116" i="27"/>
  <c r="N116" i="27"/>
  <c r="M116" i="27"/>
  <c r="L116" i="27"/>
  <c r="K116" i="27"/>
  <c r="J116" i="27"/>
  <c r="I116" i="27"/>
  <c r="H116" i="27"/>
  <c r="G116" i="27"/>
  <c r="A116" i="27"/>
  <c r="S115" i="27"/>
  <c r="T115" i="27" s="1"/>
  <c r="R115" i="27"/>
  <c r="A115" i="27"/>
  <c r="S114" i="27"/>
  <c r="T114" i="27" s="1"/>
  <c r="A114" i="27"/>
  <c r="R113" i="27"/>
  <c r="S113" i="27" s="1"/>
  <c r="T113" i="27" s="1"/>
  <c r="A113" i="27"/>
  <c r="S112" i="27"/>
  <c r="T112" i="27" s="1"/>
  <c r="A112" i="27"/>
  <c r="S111" i="27"/>
  <c r="T111" i="27" s="1"/>
  <c r="A111" i="27"/>
  <c r="R110" i="27"/>
  <c r="S110" i="27" s="1"/>
  <c r="T110" i="27" s="1"/>
  <c r="A110" i="27"/>
  <c r="R109" i="27"/>
  <c r="A109" i="27"/>
  <c r="S108" i="27"/>
  <c r="T108" i="27" s="1"/>
  <c r="A108" i="27"/>
  <c r="R107" i="27"/>
  <c r="S107" i="27" s="1"/>
  <c r="T107" i="27" s="1"/>
  <c r="A107" i="27"/>
  <c r="Q106" i="27"/>
  <c r="P106" i="27"/>
  <c r="O106" i="27"/>
  <c r="N106" i="27"/>
  <c r="M106" i="27"/>
  <c r="L106" i="27"/>
  <c r="K106" i="27"/>
  <c r="J106" i="27"/>
  <c r="J105" i="27" s="1"/>
  <c r="I106" i="27"/>
  <c r="H106" i="27"/>
  <c r="G106" i="27"/>
  <c r="A106" i="27"/>
  <c r="N105" i="27"/>
  <c r="A105" i="27"/>
  <c r="S104" i="27"/>
  <c r="T104" i="27" s="1"/>
  <c r="A104" i="27"/>
  <c r="S103" i="27"/>
  <c r="T103" i="27" s="1"/>
  <c r="A103" i="27"/>
  <c r="S102" i="27"/>
  <c r="T102" i="27" s="1"/>
  <c r="A102" i="27"/>
  <c r="S101" i="27"/>
  <c r="T101" i="27" s="1"/>
  <c r="A101" i="27"/>
  <c r="S100" i="27"/>
  <c r="T100" i="27" s="1"/>
  <c r="A100" i="27"/>
  <c r="S99" i="27"/>
  <c r="T99" i="27" s="1"/>
  <c r="A99" i="27"/>
  <c r="S98" i="27"/>
  <c r="T98" i="27" s="1"/>
  <c r="A98" i="27"/>
  <c r="S97" i="27"/>
  <c r="T97" i="27" s="1"/>
  <c r="A97" i="27"/>
  <c r="S96" i="27"/>
  <c r="T96" i="27" s="1"/>
  <c r="A96" i="27"/>
  <c r="R95" i="27"/>
  <c r="Q95" i="27"/>
  <c r="P95" i="27"/>
  <c r="O95" i="27"/>
  <c r="N95" i="27"/>
  <c r="M95" i="27"/>
  <c r="L95" i="27"/>
  <c r="K95" i="27"/>
  <c r="J95" i="27"/>
  <c r="I95" i="27"/>
  <c r="H95" i="27"/>
  <c r="G95" i="27"/>
  <c r="A95" i="27"/>
  <c r="S94" i="27"/>
  <c r="T94" i="27" s="1"/>
  <c r="A94" i="27"/>
  <c r="S93" i="27"/>
  <c r="T93" i="27" s="1"/>
  <c r="A93" i="27"/>
  <c r="S92" i="27"/>
  <c r="T92" i="27" s="1"/>
  <c r="A92" i="27"/>
  <c r="S91" i="27"/>
  <c r="T91" i="27" s="1"/>
  <c r="A91" i="27"/>
  <c r="S90" i="27"/>
  <c r="T90" i="27" s="1"/>
  <c r="A90" i="27"/>
  <c r="S89" i="27"/>
  <c r="T89" i="27" s="1"/>
  <c r="A89" i="27"/>
  <c r="S88" i="27"/>
  <c r="T88" i="27" s="1"/>
  <c r="A88" i="27"/>
  <c r="R87" i="27"/>
  <c r="Q87" i="27"/>
  <c r="Q86" i="27" s="1"/>
  <c r="P87" i="27"/>
  <c r="O87" i="27"/>
  <c r="N87" i="27"/>
  <c r="M87" i="27"/>
  <c r="M86" i="27" s="1"/>
  <c r="L87" i="27"/>
  <c r="K87" i="27"/>
  <c r="J87" i="27"/>
  <c r="I87" i="27"/>
  <c r="I86" i="27" s="1"/>
  <c r="H87" i="27"/>
  <c r="H86" i="27" s="1"/>
  <c r="G87" i="27"/>
  <c r="A87" i="27"/>
  <c r="P86" i="27"/>
  <c r="L86" i="27"/>
  <c r="A86" i="27"/>
  <c r="T84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S65" i="27"/>
  <c r="T65" i="27" s="1"/>
  <c r="S64" i="27"/>
  <c r="T64" i="27" s="1"/>
  <c r="S63" i="27"/>
  <c r="T63" i="27" s="1"/>
  <c r="S62" i="27"/>
  <c r="T62" i="27" s="1"/>
  <c r="S59" i="27"/>
  <c r="T59" i="27" s="1"/>
  <c r="S58" i="27"/>
  <c r="T58" i="27" s="1"/>
  <c r="S57" i="27"/>
  <c r="T57" i="27" s="1"/>
  <c r="S56" i="27"/>
  <c r="T56" i="27" s="1"/>
  <c r="R55" i="27"/>
  <c r="Q55" i="27"/>
  <c r="P55" i="27"/>
  <c r="O55" i="27"/>
  <c r="N55" i="27"/>
  <c r="M55" i="27"/>
  <c r="L55" i="27"/>
  <c r="K55" i="27"/>
  <c r="J55" i="27"/>
  <c r="I55" i="27"/>
  <c r="H55" i="27"/>
  <c r="R55" i="11" s="1"/>
  <c r="G55" i="27"/>
  <c r="S52" i="27"/>
  <c r="T52" i="27" s="1"/>
  <c r="S51" i="27"/>
  <c r="T51" i="27" s="1"/>
  <c r="S50" i="27"/>
  <c r="T50" i="27" s="1"/>
  <c r="S49" i="27"/>
  <c r="T49" i="27" s="1"/>
  <c r="S48" i="27"/>
  <c r="T48" i="27" s="1"/>
  <c r="S47" i="27"/>
  <c r="T47" i="27" s="1"/>
  <c r="S46" i="27"/>
  <c r="T46" i="27" s="1"/>
  <c r="S45" i="27"/>
  <c r="T45" i="27" s="1"/>
  <c r="S44" i="27"/>
  <c r="T44" i="27" s="1"/>
  <c r="S43" i="27"/>
  <c r="T43" i="27" s="1"/>
  <c r="S42" i="27"/>
  <c r="T42" i="27" s="1"/>
  <c r="S41" i="27"/>
  <c r="T41" i="27" s="1"/>
  <c r="R40" i="27"/>
  <c r="Q40" i="27"/>
  <c r="P40" i="27"/>
  <c r="O40" i="27"/>
  <c r="N40" i="27"/>
  <c r="M40" i="27"/>
  <c r="L40" i="27"/>
  <c r="K40" i="27"/>
  <c r="J40" i="27"/>
  <c r="I40" i="27"/>
  <c r="H40" i="27"/>
  <c r="R40" i="11" s="1"/>
  <c r="G40" i="27"/>
  <c r="S39" i="27"/>
  <c r="T39" i="27" s="1"/>
  <c r="S38" i="27"/>
  <c r="T38" i="27" s="1"/>
  <c r="S37" i="27"/>
  <c r="T37" i="27" s="1"/>
  <c r="S36" i="27"/>
  <c r="T36" i="27" s="1"/>
  <c r="S35" i="27"/>
  <c r="T35" i="27" s="1"/>
  <c r="S34" i="27"/>
  <c r="T34" i="27" s="1"/>
  <c r="S33" i="27"/>
  <c r="T33" i="27" s="1"/>
  <c r="S32" i="27"/>
  <c r="T32" i="27" s="1"/>
  <c r="S31" i="27"/>
  <c r="T31" i="27" s="1"/>
  <c r="R30" i="27"/>
  <c r="Q30" i="27"/>
  <c r="P30" i="27"/>
  <c r="O30" i="27"/>
  <c r="N30" i="27"/>
  <c r="M30" i="27"/>
  <c r="M29" i="27" s="1"/>
  <c r="L30" i="27"/>
  <c r="L29" i="27" s="1"/>
  <c r="K30" i="27"/>
  <c r="J30" i="27"/>
  <c r="I30" i="27"/>
  <c r="I29" i="27" s="1"/>
  <c r="H30" i="27"/>
  <c r="G30" i="27"/>
  <c r="S28" i="27"/>
  <c r="T28" i="27" s="1"/>
  <c r="S27" i="27"/>
  <c r="T27" i="27" s="1"/>
  <c r="S26" i="27"/>
  <c r="T26" i="27" s="1"/>
  <c r="S25" i="27"/>
  <c r="T25" i="27" s="1"/>
  <c r="S24" i="27"/>
  <c r="T24" i="27" s="1"/>
  <c r="S23" i="27"/>
  <c r="T23" i="27" s="1"/>
  <c r="S22" i="27"/>
  <c r="T22" i="27" s="1"/>
  <c r="S21" i="27"/>
  <c r="T21" i="27" s="1"/>
  <c r="S20" i="27"/>
  <c r="T20" i="27" s="1"/>
  <c r="R19" i="27"/>
  <c r="Q19" i="27"/>
  <c r="P19" i="27"/>
  <c r="O19" i="27"/>
  <c r="N19" i="27"/>
  <c r="M19" i="27"/>
  <c r="L19" i="27"/>
  <c r="K19" i="27"/>
  <c r="J19" i="27"/>
  <c r="S18" i="27"/>
  <c r="T18" i="27" s="1"/>
  <c r="S17" i="27"/>
  <c r="T17" i="27" s="1"/>
  <c r="S16" i="27"/>
  <c r="T16" i="27" s="1"/>
  <c r="S15" i="27"/>
  <c r="T15" i="27" s="1"/>
  <c r="S14" i="27"/>
  <c r="T14" i="27" s="1"/>
  <c r="S13" i="27"/>
  <c r="T13" i="27" s="1"/>
  <c r="S12" i="27"/>
  <c r="T12" i="27" s="1"/>
  <c r="R11" i="27"/>
  <c r="Q11" i="27"/>
  <c r="Q10" i="27" s="1"/>
  <c r="P11" i="27"/>
  <c r="O11" i="27"/>
  <c r="O10" i="27" s="1"/>
  <c r="N11" i="27"/>
  <c r="N10" i="27" s="1"/>
  <c r="M11" i="27"/>
  <c r="M10" i="27" s="1"/>
  <c r="L11" i="27"/>
  <c r="K11" i="27"/>
  <c r="K10" i="27" s="1"/>
  <c r="J11" i="27"/>
  <c r="J10" i="27" s="1"/>
  <c r="I11" i="27"/>
  <c r="I10" i="27" s="1"/>
  <c r="H11" i="27"/>
  <c r="G11" i="27"/>
  <c r="R10" i="27"/>
  <c r="P10" i="27"/>
  <c r="L8" i="27"/>
  <c r="L84" i="27" s="1"/>
  <c r="K8" i="27"/>
  <c r="K84" i="27" s="1"/>
  <c r="J8" i="27"/>
  <c r="J84" i="27" s="1"/>
  <c r="I8" i="27"/>
  <c r="I84" i="27" s="1"/>
  <c r="H8" i="27"/>
  <c r="H84" i="27" s="1"/>
  <c r="G8" i="27"/>
  <c r="G84" i="27" s="1"/>
  <c r="R5" i="27"/>
  <c r="Q5" i="27"/>
  <c r="P5" i="27"/>
  <c r="O5" i="27"/>
  <c r="N5" i="27"/>
  <c r="M5" i="27"/>
  <c r="L5" i="27"/>
  <c r="K5" i="27"/>
  <c r="J5" i="27"/>
  <c r="I5" i="27"/>
  <c r="H5" i="27"/>
  <c r="G5" i="27"/>
  <c r="J86" i="27" l="1"/>
  <c r="N86" i="27"/>
  <c r="R86" i="27"/>
  <c r="H10" i="27"/>
  <c r="R10" i="11" s="1"/>
  <c r="R11" i="11"/>
  <c r="H105" i="27"/>
  <c r="L105" i="27"/>
  <c r="P105" i="27"/>
  <c r="P129" i="27" s="1"/>
  <c r="H29" i="27"/>
  <c r="R29" i="11" s="1"/>
  <c r="R30" i="11"/>
  <c r="K29" i="27"/>
  <c r="P29" i="27"/>
  <c r="J29" i="27"/>
  <c r="J129" i="27"/>
  <c r="N129" i="27"/>
  <c r="H129" i="27"/>
  <c r="H130" i="27" s="1"/>
  <c r="G86" i="27"/>
  <c r="K86" i="27"/>
  <c r="O86" i="27"/>
  <c r="S123" i="27"/>
  <c r="T123" i="27" s="1"/>
  <c r="I105" i="27"/>
  <c r="M105" i="27"/>
  <c r="M129" i="27" s="1"/>
  <c r="Q105" i="27"/>
  <c r="Q129" i="27" s="1"/>
  <c r="L10" i="27"/>
  <c r="R106" i="27"/>
  <c r="R105" i="27" s="1"/>
  <c r="R129" i="27" s="1"/>
  <c r="G105" i="27"/>
  <c r="G129" i="27" s="1"/>
  <c r="K105" i="27"/>
  <c r="K129" i="27" s="1"/>
  <c r="K130" i="27" s="1"/>
  <c r="O105" i="27"/>
  <c r="L129" i="27"/>
  <c r="L130" i="27" s="1"/>
  <c r="G29" i="27"/>
  <c r="G53" i="27" s="1"/>
  <c r="O29" i="27"/>
  <c r="O53" i="27" s="1"/>
  <c r="O60" i="27" s="1"/>
  <c r="O66" i="27" s="1"/>
  <c r="O61" i="27" s="1"/>
  <c r="G10" i="27"/>
  <c r="S95" i="27"/>
  <c r="T95" i="27" s="1"/>
  <c r="S87" i="27"/>
  <c r="T87" i="27" s="1"/>
  <c r="S131" i="27"/>
  <c r="T131" i="27" s="1"/>
  <c r="S55" i="27"/>
  <c r="T55" i="27" s="1"/>
  <c r="K53" i="27"/>
  <c r="K60" i="27" s="1"/>
  <c r="K66" i="27" s="1"/>
  <c r="K61" i="27" s="1"/>
  <c r="I53" i="27"/>
  <c r="I60" i="27" s="1"/>
  <c r="I66" i="27" s="1"/>
  <c r="I61" i="27" s="1"/>
  <c r="P53" i="27"/>
  <c r="P54" i="27" s="1"/>
  <c r="L53" i="27"/>
  <c r="L54" i="27" s="1"/>
  <c r="N29" i="27"/>
  <c r="N53" i="27" s="1"/>
  <c r="R29" i="27"/>
  <c r="R53" i="27" s="1"/>
  <c r="S30" i="27"/>
  <c r="T30" i="27" s="1"/>
  <c r="M53" i="27"/>
  <c r="M54" i="27" s="1"/>
  <c r="Q29" i="27"/>
  <c r="Q53" i="27" s="1"/>
  <c r="S19" i="27"/>
  <c r="T19" i="27" s="1"/>
  <c r="J53" i="27"/>
  <c r="J54" i="27" s="1"/>
  <c r="N136" i="27"/>
  <c r="N142" i="27" s="1"/>
  <c r="N137" i="27" s="1"/>
  <c r="N130" i="27"/>
  <c r="S40" i="27"/>
  <c r="T40" i="27" s="1"/>
  <c r="J136" i="27"/>
  <c r="J142" i="27" s="1"/>
  <c r="J137" i="27" s="1"/>
  <c r="J130" i="27"/>
  <c r="L136" i="27"/>
  <c r="L142" i="27" s="1"/>
  <c r="L137" i="27" s="1"/>
  <c r="S11" i="27"/>
  <c r="T11" i="27" s="1"/>
  <c r="I129" i="27"/>
  <c r="S116" i="27"/>
  <c r="T116" i="27" s="1"/>
  <c r="S109" i="27"/>
  <c r="T109" i="27" s="1"/>
  <c r="P130" i="27" l="1"/>
  <c r="P136" i="27"/>
  <c r="P142" i="27" s="1"/>
  <c r="P137" i="27" s="1"/>
  <c r="S10" i="27"/>
  <c r="T10" i="27" s="1"/>
  <c r="S86" i="27"/>
  <c r="T86" i="27" s="1"/>
  <c r="H53" i="27"/>
  <c r="K54" i="27"/>
  <c r="H136" i="27"/>
  <c r="H142" i="27" s="1"/>
  <c r="H137" i="27" s="1"/>
  <c r="K136" i="27"/>
  <c r="K142" i="27" s="1"/>
  <c r="K137" i="27" s="1"/>
  <c r="I54" i="27"/>
  <c r="O129" i="27"/>
  <c r="R130" i="27"/>
  <c r="R136" i="27"/>
  <c r="R142" i="27" s="1"/>
  <c r="R137" i="27" s="1"/>
  <c r="S105" i="27"/>
  <c r="T105" i="27" s="1"/>
  <c r="S106" i="27"/>
  <c r="T106" i="27" s="1"/>
  <c r="H60" i="27"/>
  <c r="N54" i="27"/>
  <c r="N60" i="27"/>
  <c r="N66" i="27" s="1"/>
  <c r="N61" i="27" s="1"/>
  <c r="R54" i="27"/>
  <c r="R60" i="27"/>
  <c r="R66" i="27" s="1"/>
  <c r="R61" i="27" s="1"/>
  <c r="O54" i="27"/>
  <c r="P60" i="27"/>
  <c r="P66" i="27" s="1"/>
  <c r="P61" i="27" s="1"/>
  <c r="L60" i="27"/>
  <c r="L66" i="27" s="1"/>
  <c r="L61" i="27" s="1"/>
  <c r="Q54" i="27"/>
  <c r="Q60" i="27"/>
  <c r="Q66" i="27" s="1"/>
  <c r="Q61" i="27" s="1"/>
  <c r="M60" i="27"/>
  <c r="M66" i="27" s="1"/>
  <c r="M61" i="27" s="1"/>
  <c r="J60" i="27"/>
  <c r="J66" i="27" s="1"/>
  <c r="J61" i="27" s="1"/>
  <c r="S29" i="27"/>
  <c r="T29" i="27" s="1"/>
  <c r="G60" i="27"/>
  <c r="S53" i="27"/>
  <c r="G54" i="27"/>
  <c r="Q136" i="27"/>
  <c r="Q142" i="27" s="1"/>
  <c r="Q137" i="27" s="1"/>
  <c r="Q130" i="27"/>
  <c r="I136" i="27"/>
  <c r="I142" i="27" s="1"/>
  <c r="I137" i="27" s="1"/>
  <c r="I130" i="27"/>
  <c r="G130" i="27"/>
  <c r="S129" i="27"/>
  <c r="T129" i="27" s="1"/>
  <c r="G136" i="27"/>
  <c r="M136" i="27"/>
  <c r="M142" i="27" s="1"/>
  <c r="M137" i="27" s="1"/>
  <c r="M130" i="27"/>
  <c r="Q59" i="11"/>
  <c r="T59" i="11"/>
  <c r="S135" i="26"/>
  <c r="T135" i="26" s="1"/>
  <c r="H66" i="27" l="1"/>
  <c r="R60" i="11"/>
  <c r="H54" i="27"/>
  <c r="R54" i="11" s="1"/>
  <c r="R53" i="11"/>
  <c r="O130" i="27"/>
  <c r="O136" i="27"/>
  <c r="O142" i="27" s="1"/>
  <c r="O137" i="27" s="1"/>
  <c r="G66" i="27"/>
  <c r="S130" i="27"/>
  <c r="T130" i="27" s="1"/>
  <c r="G142" i="27"/>
  <c r="S136" i="27"/>
  <c r="T136" i="27" s="1"/>
  <c r="S60" i="27"/>
  <c r="T53" i="27"/>
  <c r="S59" i="11"/>
  <c r="P59" i="11"/>
  <c r="S54" i="27" l="1"/>
  <c r="T54" i="27" s="1"/>
  <c r="H61" i="27"/>
  <c r="R61" i="11" s="1"/>
  <c r="R66" i="11"/>
  <c r="G61" i="27"/>
  <c r="S142" i="27"/>
  <c r="T142" i="27" s="1"/>
  <c r="G137" i="27"/>
  <c r="S137" i="27" s="1"/>
  <c r="T137" i="27" s="1"/>
  <c r="T60" i="27"/>
  <c r="S66" i="27"/>
  <c r="T66" i="27" s="1"/>
  <c r="S141" i="26"/>
  <c r="T141" i="26" l="1"/>
  <c r="S61" i="27"/>
  <c r="T61" i="27" s="1"/>
  <c r="L131" i="26"/>
  <c r="L116" i="26"/>
  <c r="L106" i="26"/>
  <c r="L95" i="26"/>
  <c r="L87" i="26"/>
  <c r="L82" i="26"/>
  <c r="L55" i="26"/>
  <c r="L40" i="26"/>
  <c r="L30" i="26"/>
  <c r="L19" i="26"/>
  <c r="L11" i="26"/>
  <c r="L8" i="26"/>
  <c r="L84" i="26" s="1"/>
  <c r="L5" i="26"/>
  <c r="K131" i="26"/>
  <c r="K116" i="26"/>
  <c r="K106" i="26"/>
  <c r="K95" i="26"/>
  <c r="K87" i="26"/>
  <c r="K82" i="26"/>
  <c r="K55" i="26"/>
  <c r="K40" i="26"/>
  <c r="K30" i="26"/>
  <c r="K19" i="26"/>
  <c r="K11" i="26"/>
  <c r="K8" i="26"/>
  <c r="K84" i="26" s="1"/>
  <c r="K5" i="26"/>
  <c r="J131" i="26"/>
  <c r="J116" i="26"/>
  <c r="J106" i="26"/>
  <c r="J95" i="26"/>
  <c r="J87" i="26"/>
  <c r="J82" i="26"/>
  <c r="J55" i="26"/>
  <c r="J40" i="26"/>
  <c r="J30" i="26"/>
  <c r="J19" i="26"/>
  <c r="J11" i="26"/>
  <c r="J8" i="26"/>
  <c r="J84" i="26" s="1"/>
  <c r="J5" i="26"/>
  <c r="I131" i="26"/>
  <c r="I116" i="26"/>
  <c r="I106" i="26"/>
  <c r="I95" i="26"/>
  <c r="I87" i="26"/>
  <c r="I82" i="26"/>
  <c r="I55" i="26"/>
  <c r="I40" i="26"/>
  <c r="I30" i="26"/>
  <c r="I11" i="26"/>
  <c r="I10" i="26" s="1"/>
  <c r="I8" i="26"/>
  <c r="I84" i="26" s="1"/>
  <c r="I5" i="26"/>
  <c r="H131" i="26"/>
  <c r="O55" i="11" s="1"/>
  <c r="H116" i="26"/>
  <c r="O40" i="11" s="1"/>
  <c r="H106" i="26"/>
  <c r="O30" i="11" s="1"/>
  <c r="H95" i="26"/>
  <c r="O19" i="11" s="1"/>
  <c r="H87" i="26"/>
  <c r="O11" i="11" s="1"/>
  <c r="H82" i="26"/>
  <c r="H55" i="26"/>
  <c r="N55" i="11" s="1"/>
  <c r="H40" i="26"/>
  <c r="N40" i="11" s="1"/>
  <c r="H30" i="26"/>
  <c r="N30" i="11" s="1"/>
  <c r="H11" i="26"/>
  <c r="H8" i="26"/>
  <c r="H84" i="26" s="1"/>
  <c r="H5" i="26"/>
  <c r="G131" i="26"/>
  <c r="G116" i="26"/>
  <c r="G106" i="26"/>
  <c r="G95" i="26"/>
  <c r="G87" i="26"/>
  <c r="G82" i="26"/>
  <c r="G11" i="26"/>
  <c r="G8" i="26"/>
  <c r="G84" i="26" s="1"/>
  <c r="G5" i="26"/>
  <c r="H10" i="26" l="1"/>
  <c r="N10" i="11" s="1"/>
  <c r="N11" i="11"/>
  <c r="G10" i="26"/>
  <c r="G29" i="26"/>
  <c r="L86" i="26"/>
  <c r="L29" i="26"/>
  <c r="H29" i="26"/>
  <c r="J10" i="26"/>
  <c r="J29" i="26"/>
  <c r="J86" i="26"/>
  <c r="H86" i="26"/>
  <c r="O10" i="11" s="1"/>
  <c r="K29" i="26"/>
  <c r="L10" i="26"/>
  <c r="L105" i="26"/>
  <c r="I29" i="26"/>
  <c r="I53" i="26" s="1"/>
  <c r="I60" i="26" s="1"/>
  <c r="I66" i="26" s="1"/>
  <c r="I61" i="26" s="1"/>
  <c r="I86" i="26"/>
  <c r="G105" i="26"/>
  <c r="H105" i="26"/>
  <c r="O29" i="11" s="1"/>
  <c r="K10" i="26"/>
  <c r="I105" i="26"/>
  <c r="K86" i="26"/>
  <c r="G86" i="26"/>
  <c r="J105" i="26"/>
  <c r="K105" i="26"/>
  <c r="H53" i="26" l="1"/>
  <c r="N29" i="11"/>
  <c r="L129" i="26"/>
  <c r="L136" i="26" s="1"/>
  <c r="L142" i="26" s="1"/>
  <c r="G53" i="26"/>
  <c r="G60" i="26" s="1"/>
  <c r="G66" i="26" s="1"/>
  <c r="G61" i="26" s="1"/>
  <c r="I129" i="26"/>
  <c r="H129" i="26"/>
  <c r="O53" i="11" s="1"/>
  <c r="L53" i="26"/>
  <c r="L54" i="26" s="1"/>
  <c r="J129" i="26"/>
  <c r="J53" i="26"/>
  <c r="J54" i="26" s="1"/>
  <c r="K53" i="26"/>
  <c r="K54" i="26" s="1"/>
  <c r="I54" i="26"/>
  <c r="G129" i="26"/>
  <c r="G136" i="26" s="1"/>
  <c r="G142" i="26" s="1"/>
  <c r="H54" i="26"/>
  <c r="N54" i="11" s="1"/>
  <c r="K129" i="26"/>
  <c r="K136" i="26" s="1"/>
  <c r="K142" i="26" s="1"/>
  <c r="L130" i="26"/>
  <c r="L137" i="26"/>
  <c r="I130" i="26"/>
  <c r="G54" i="26" l="1"/>
  <c r="H60" i="26"/>
  <c r="N53" i="11"/>
  <c r="H130" i="26"/>
  <c r="O54" i="11" s="1"/>
  <c r="H136" i="26"/>
  <c r="I136" i="26"/>
  <c r="I142" i="26" s="1"/>
  <c r="I137" i="26" s="1"/>
  <c r="J130" i="26"/>
  <c r="J136" i="26"/>
  <c r="J142" i="26" s="1"/>
  <c r="J137" i="26" s="1"/>
  <c r="J60" i="26"/>
  <c r="J66" i="26" s="1"/>
  <c r="J61" i="26" s="1"/>
  <c r="L60" i="26"/>
  <c r="L66" i="26" s="1"/>
  <c r="L61" i="26" s="1"/>
  <c r="K60" i="26"/>
  <c r="K66" i="26" s="1"/>
  <c r="K61" i="26" s="1"/>
  <c r="G130" i="26"/>
  <c r="K130" i="26"/>
  <c r="T65" i="11"/>
  <c r="S65" i="11"/>
  <c r="H66" i="26" l="1"/>
  <c r="N60" i="11"/>
  <c r="H142" i="26"/>
  <c r="O60" i="11"/>
  <c r="K137" i="26"/>
  <c r="S59" i="26"/>
  <c r="S65" i="26"/>
  <c r="S59" i="25"/>
  <c r="S65" i="25"/>
  <c r="H137" i="26" l="1"/>
  <c r="O61" i="11" s="1"/>
  <c r="O66" i="11"/>
  <c r="H61" i="26"/>
  <c r="N61" i="11" s="1"/>
  <c r="N66" i="11"/>
  <c r="G137" i="26"/>
  <c r="T59" i="26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G245" i="2" l="1"/>
  <c r="R40" i="26" l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Q55" i="26"/>
  <c r="P55" i="26"/>
  <c r="O55" i="26"/>
  <c r="N55" i="26"/>
  <c r="M55" i="26"/>
  <c r="S52" i="26"/>
  <c r="S51" i="26"/>
  <c r="S50" i="26"/>
  <c r="S49" i="26"/>
  <c r="G49" i="11" s="1"/>
  <c r="I49" i="11" s="1"/>
  <c r="S48" i="26"/>
  <c r="S47" i="26"/>
  <c r="S46" i="26"/>
  <c r="S45" i="26"/>
  <c r="S44" i="26"/>
  <c r="S43" i="26"/>
  <c r="S42" i="26"/>
  <c r="S41" i="26"/>
  <c r="Q40" i="26"/>
  <c r="P40" i="26"/>
  <c r="O40" i="26"/>
  <c r="N40" i="26"/>
  <c r="M40" i="26"/>
  <c r="S39" i="26"/>
  <c r="S38" i="26"/>
  <c r="S37" i="26"/>
  <c r="S36" i="26"/>
  <c r="S35" i="26"/>
  <c r="S34" i="26"/>
  <c r="S33" i="26"/>
  <c r="S32" i="26"/>
  <c r="S31" i="26"/>
  <c r="R30" i="26"/>
  <c r="Q30" i="26"/>
  <c r="P30" i="26"/>
  <c r="O30" i="26"/>
  <c r="N30" i="26"/>
  <c r="M30" i="26"/>
  <c r="S28" i="26"/>
  <c r="S27" i="26"/>
  <c r="S26" i="26"/>
  <c r="S25" i="26"/>
  <c r="S24" i="26"/>
  <c r="S23" i="26"/>
  <c r="S22" i="26"/>
  <c r="S21" i="26"/>
  <c r="S20" i="26"/>
  <c r="R19" i="26"/>
  <c r="Q19" i="26"/>
  <c r="P19" i="26"/>
  <c r="O19" i="26"/>
  <c r="N19" i="26"/>
  <c r="M19" i="26"/>
  <c r="S18" i="26"/>
  <c r="S17" i="26"/>
  <c r="S16" i="26"/>
  <c r="S15" i="26"/>
  <c r="S14" i="26"/>
  <c r="S13" i="26"/>
  <c r="S12" i="26"/>
  <c r="R11" i="26"/>
  <c r="Q11" i="26"/>
  <c r="P11" i="26"/>
  <c r="O11" i="26"/>
  <c r="N11" i="26"/>
  <c r="M11" i="26"/>
  <c r="R5" i="26"/>
  <c r="Q5" i="26"/>
  <c r="P5" i="26"/>
  <c r="O5" i="26"/>
  <c r="N5" i="26"/>
  <c r="M5" i="26"/>
  <c r="Q29" i="26" l="1"/>
  <c r="N29" i="26"/>
  <c r="M29" i="26"/>
  <c r="Q10" i="26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50" i="26"/>
  <c r="G50" i="11"/>
  <c r="T49" i="26"/>
  <c r="T48" i="26"/>
  <c r="G48" i="11"/>
  <c r="T47" i="26"/>
  <c r="G47" i="11"/>
  <c r="T46" i="26"/>
  <c r="G46" i="11"/>
  <c r="T45" i="26"/>
  <c r="G45" i="11"/>
  <c r="T44" i="26"/>
  <c r="G44" i="11"/>
  <c r="T43" i="26"/>
  <c r="G43" i="11"/>
  <c r="T42" i="26"/>
  <c r="G42" i="11"/>
  <c r="T41" i="26"/>
  <c r="G41" i="11"/>
  <c r="T39" i="26"/>
  <c r="G39" i="11"/>
  <c r="T38" i="26"/>
  <c r="G38" i="11"/>
  <c r="T37" i="26"/>
  <c r="G37" i="11"/>
  <c r="T36" i="26"/>
  <c r="G36" i="11"/>
  <c r="T35" i="26"/>
  <c r="G35" i="11"/>
  <c r="T34" i="26"/>
  <c r="G34" i="11"/>
  <c r="T33" i="26"/>
  <c r="G33" i="11"/>
  <c r="T32" i="26"/>
  <c r="G32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T31" i="26"/>
  <c r="G31" i="11"/>
  <c r="M31" i="11" s="1"/>
  <c r="O29" i="26"/>
  <c r="R105" i="26"/>
  <c r="N10" i="26"/>
  <c r="R10" i="26"/>
  <c r="P29" i="26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5" i="26"/>
  <c r="Q105" i="26"/>
  <c r="M105" i="26"/>
  <c r="S131" i="26"/>
  <c r="T131" i="26" s="1"/>
  <c r="P105" i="26"/>
  <c r="S116" i="26"/>
  <c r="T116" i="26" s="1"/>
  <c r="S106" i="26"/>
  <c r="M86" i="26"/>
  <c r="Q86" i="26"/>
  <c r="R29" i="26"/>
  <c r="S55" i="26"/>
  <c r="S40" i="26"/>
  <c r="O10" i="26"/>
  <c r="P10" i="26"/>
  <c r="M10" i="26"/>
  <c r="S11" i="26"/>
  <c r="S30" i="26"/>
  <c r="S87" i="26"/>
  <c r="T87" i="26" s="1"/>
  <c r="N53" i="26" l="1"/>
  <c r="N54" i="26" s="1"/>
  <c r="D12" i="1"/>
  <c r="E12" i="1" s="1"/>
  <c r="Q53" i="26"/>
  <c r="Q60" i="26" s="1"/>
  <c r="O129" i="26"/>
  <c r="O136" i="26" s="1"/>
  <c r="O142" i="26" s="1"/>
  <c r="M53" i="26"/>
  <c r="M60" i="26" s="1"/>
  <c r="N129" i="26"/>
  <c r="N136" i="26" s="1"/>
  <c r="N142" i="26" s="1"/>
  <c r="R53" i="26"/>
  <c r="R129" i="26"/>
  <c r="P53" i="26"/>
  <c r="T55" i="26"/>
  <c r="G55" i="11"/>
  <c r="T40" i="26"/>
  <c r="G40" i="11"/>
  <c r="D16" i="1"/>
  <c r="E16" i="1" s="1"/>
  <c r="T19" i="26"/>
  <c r="G19" i="11"/>
  <c r="T11" i="26"/>
  <c r="G11" i="11"/>
  <c r="T30" i="26"/>
  <c r="G30" i="11"/>
  <c r="O53" i="26"/>
  <c r="P129" i="26"/>
  <c r="P136" i="26" s="1"/>
  <c r="P142" i="26" s="1"/>
  <c r="S29" i="26"/>
  <c r="G29" i="11" s="1"/>
  <c r="G16" i="1" s="1"/>
  <c r="H16" i="1" s="1"/>
  <c r="T106" i="26"/>
  <c r="Q129" i="26"/>
  <c r="M129" i="26"/>
  <c r="M136" i="26" s="1"/>
  <c r="M142" i="26" s="1"/>
  <c r="S105" i="26"/>
  <c r="S86" i="26"/>
  <c r="T86" i="26" s="1"/>
  <c r="S10" i="26"/>
  <c r="R130" i="26" l="1"/>
  <c r="R136" i="26"/>
  <c r="R142" i="26" s="1"/>
  <c r="R137" i="26" s="1"/>
  <c r="Q136" i="26"/>
  <c r="Q142" i="26" s="1"/>
  <c r="Q137" i="26" s="1"/>
  <c r="P130" i="26"/>
  <c r="P60" i="26"/>
  <c r="D20" i="1"/>
  <c r="E20" i="1" s="1"/>
  <c r="O130" i="26"/>
  <c r="O60" i="26"/>
  <c r="N130" i="26"/>
  <c r="Q54" i="26"/>
  <c r="N60" i="26"/>
  <c r="M54" i="26"/>
  <c r="R54" i="26"/>
  <c r="R60" i="26"/>
  <c r="R66" i="26" s="1"/>
  <c r="R61" i="26" s="1"/>
  <c r="P54" i="26"/>
  <c r="M66" i="26"/>
  <c r="O54" i="26"/>
  <c r="Q66" i="26"/>
  <c r="Q61" i="26" s="1"/>
  <c r="T29" i="26"/>
  <c r="T10" i="26"/>
  <c r="G10" i="11"/>
  <c r="G12" i="1" s="1"/>
  <c r="H12" i="1" s="1"/>
  <c r="T105" i="26"/>
  <c r="Q130" i="26"/>
  <c r="M130" i="26"/>
  <c r="S129" i="26"/>
  <c r="T129" i="26" s="1"/>
  <c r="S53" i="26"/>
  <c r="S60" i="26" s="1"/>
  <c r="G11" i="2"/>
  <c r="P60" i="11" l="1"/>
  <c r="P66" i="26"/>
  <c r="P61" i="26" s="1"/>
  <c r="O66" i="26"/>
  <c r="O61" i="26" s="1"/>
  <c r="N66" i="26"/>
  <c r="N61" i="26" s="1"/>
  <c r="M61" i="26"/>
  <c r="I10" i="11"/>
  <c r="T53" i="26"/>
  <c r="G53" i="11"/>
  <c r="G20" i="1" s="1"/>
  <c r="H20" i="1" s="1"/>
  <c r="S54" i="26"/>
  <c r="S130" i="26"/>
  <c r="T130" i="26" s="1"/>
  <c r="S136" i="26"/>
  <c r="T136" i="26" s="1"/>
  <c r="S66" i="26"/>
  <c r="P137" i="26" l="1"/>
  <c r="O137" i="26"/>
  <c r="N137" i="26"/>
  <c r="M137" i="26"/>
  <c r="Q65" i="11"/>
  <c r="J65" i="11"/>
  <c r="I65" i="11"/>
  <c r="P65" i="11"/>
  <c r="T54" i="26"/>
  <c r="G54" i="11"/>
  <c r="T60" i="26"/>
  <c r="G60" i="11"/>
  <c r="S142" i="26"/>
  <c r="T142" i="26" s="1"/>
  <c r="J19" i="25"/>
  <c r="J11" i="25"/>
  <c r="P61" i="11" l="1"/>
  <c r="J10" i="25"/>
  <c r="S137" i="26"/>
  <c r="T137" i="26" s="1"/>
  <c r="T66" i="26"/>
  <c r="G66" i="11"/>
  <c r="S61" i="26"/>
  <c r="T61" i="26" s="1"/>
  <c r="G61" i="11" l="1"/>
  <c r="S86" i="22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6" i="25" l="1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N53" i="25"/>
  <c r="I53" i="25"/>
  <c r="R53" i="25"/>
  <c r="R60" i="25" s="1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O60" i="25" l="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L60" i="11" l="1"/>
  <c r="O61" i="25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N61" i="25" l="1"/>
  <c r="R61" i="25"/>
  <c r="Q61" i="25"/>
  <c r="T54" i="25"/>
  <c r="T60" i="25"/>
  <c r="H61" i="25"/>
  <c r="G136" i="25"/>
  <c r="S121" i="22"/>
  <c r="L61" i="11" l="1"/>
  <c r="S61" i="25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4" i="11"/>
  <c r="Q62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3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60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6" i="11" l="1"/>
  <c r="M54" i="11"/>
  <c r="L54" i="11"/>
  <c r="M60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1" i="11" l="1"/>
  <c r="L66" i="11"/>
  <c r="M66" i="11"/>
  <c r="S153" i="19"/>
  <c r="T153" i="19" s="1"/>
  <c r="S60" i="19"/>
  <c r="T60" i="19" s="1"/>
  <c r="G14" i="2"/>
  <c r="M61" i="11" l="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B83" i="27" s="1"/>
  <c r="G252" i="2"/>
  <c r="G249" i="2"/>
  <c r="S7" i="27" s="1"/>
  <c r="S83" i="27" s="1"/>
  <c r="G243" i="2"/>
  <c r="G242" i="2"/>
  <c r="G241" i="2"/>
  <c r="P8" i="27" s="1"/>
  <c r="P84" i="27" s="1"/>
  <c r="G240" i="2"/>
  <c r="G239" i="2"/>
  <c r="G238" i="2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G7" i="2"/>
  <c r="G6" i="2"/>
  <c r="E2" i="27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Z385" i="6" s="1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DA350" i="6" s="1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B49" i="6" s="1"/>
  <c r="DA50" i="6"/>
  <c r="DA49" i="6" s="1"/>
  <c r="CZ50" i="6"/>
  <c r="CY50" i="6"/>
  <c r="CY49" i="6" s="1"/>
  <c r="CX50" i="6"/>
  <c r="DI49" i="6"/>
  <c r="DH49" i="6"/>
  <c r="DG49" i="6"/>
  <c r="DF49" i="6"/>
  <c r="DE49" i="6"/>
  <c r="DD49" i="6"/>
  <c r="DC49" i="6"/>
  <c r="CZ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B27" i="11"/>
  <c r="DE350" i="6"/>
  <c r="DP385" i="6"/>
  <c r="CS350" i="6" l="1"/>
  <c r="E4" i="26"/>
  <c r="E4" i="27"/>
  <c r="B19" i="27"/>
  <c r="B95" i="27"/>
  <c r="B23" i="27"/>
  <c r="B99" i="27"/>
  <c r="B25" i="27"/>
  <c r="B101" i="27"/>
  <c r="B64" i="27"/>
  <c r="B140" i="27"/>
  <c r="B63" i="27"/>
  <c r="B139" i="27"/>
  <c r="B49" i="27"/>
  <c r="B125" i="27"/>
  <c r="B61" i="27"/>
  <c r="B137" i="27"/>
  <c r="M8" i="26"/>
  <c r="M84" i="26" s="1"/>
  <c r="M8" i="27"/>
  <c r="M84" i="27" s="1"/>
  <c r="Q8" i="26"/>
  <c r="Q84" i="26" s="1"/>
  <c r="Q8" i="27"/>
  <c r="Q84" i="27" s="1"/>
  <c r="B12" i="27"/>
  <c r="B88" i="27"/>
  <c r="B16" i="27"/>
  <c r="B92" i="27"/>
  <c r="B20" i="27"/>
  <c r="B96" i="27"/>
  <c r="B24" i="27"/>
  <c r="B100" i="27"/>
  <c r="B29" i="27"/>
  <c r="B105" i="27"/>
  <c r="B34" i="27"/>
  <c r="B110" i="27"/>
  <c r="B41" i="27"/>
  <c r="B117" i="27"/>
  <c r="B42" i="27"/>
  <c r="B118" i="27"/>
  <c r="B45" i="27"/>
  <c r="B121" i="27"/>
  <c r="B46" i="27"/>
  <c r="B122" i="27"/>
  <c r="B54" i="27"/>
  <c r="B130" i="27"/>
  <c r="N8" i="26"/>
  <c r="N84" i="26" s="1"/>
  <c r="N8" i="27"/>
  <c r="N84" i="27" s="1"/>
  <c r="R8" i="26"/>
  <c r="R84" i="26" s="1"/>
  <c r="R8" i="27"/>
  <c r="R84" i="27" s="1"/>
  <c r="B10" i="27"/>
  <c r="B86" i="27"/>
  <c r="B13" i="27"/>
  <c r="B89" i="27"/>
  <c r="B17" i="27"/>
  <c r="B93" i="27"/>
  <c r="B21" i="27"/>
  <c r="B97" i="27"/>
  <c r="B26" i="27"/>
  <c r="B102" i="27"/>
  <c r="B28" i="27"/>
  <c r="B104" i="27"/>
  <c r="B32" i="27"/>
  <c r="B108" i="27"/>
  <c r="B33" i="27"/>
  <c r="B109" i="27"/>
  <c r="B37" i="27"/>
  <c r="B113" i="27"/>
  <c r="B38" i="27"/>
  <c r="B114" i="27"/>
  <c r="B39" i="27"/>
  <c r="B115" i="27"/>
  <c r="B59" i="11"/>
  <c r="B59" i="27"/>
  <c r="B48" i="27"/>
  <c r="B124" i="27"/>
  <c r="B56" i="27"/>
  <c r="B132" i="27"/>
  <c r="B66" i="27"/>
  <c r="B142" i="27"/>
  <c r="O8" i="26"/>
  <c r="O84" i="26" s="1"/>
  <c r="O8" i="27"/>
  <c r="O84" i="27" s="1"/>
  <c r="B11" i="27"/>
  <c r="B87" i="27"/>
  <c r="B15" i="27"/>
  <c r="B91" i="27"/>
  <c r="B31" i="27"/>
  <c r="B107" i="27"/>
  <c r="B40" i="27"/>
  <c r="B116" i="27"/>
  <c r="B55" i="27"/>
  <c r="B131" i="27"/>
  <c r="B50" i="27"/>
  <c r="B126" i="27"/>
  <c r="B53" i="27"/>
  <c r="B129" i="27"/>
  <c r="E4" i="3"/>
  <c r="E3" i="26"/>
  <c r="E3" i="27"/>
  <c r="B14" i="27"/>
  <c r="B90" i="27"/>
  <c r="B18" i="27"/>
  <c r="B94" i="27"/>
  <c r="B22" i="27"/>
  <c r="B98" i="27"/>
  <c r="B65" i="11"/>
  <c r="B27" i="27"/>
  <c r="B103" i="27"/>
  <c r="B62" i="27"/>
  <c r="B138" i="27"/>
  <c r="B30" i="27"/>
  <c r="B106" i="27"/>
  <c r="B35" i="27"/>
  <c r="B111" i="27"/>
  <c r="B36" i="27"/>
  <c r="B112" i="27"/>
  <c r="B43" i="27"/>
  <c r="B119" i="27"/>
  <c r="B44" i="27"/>
  <c r="B120" i="27"/>
  <c r="B47" i="27"/>
  <c r="B123" i="27"/>
  <c r="B58" i="27"/>
  <c r="B134" i="27"/>
  <c r="B57" i="27"/>
  <c r="B133" i="27"/>
  <c r="B51" i="27"/>
  <c r="B127" i="27"/>
  <c r="B60" i="27"/>
  <c r="B136" i="27"/>
  <c r="B52" i="27"/>
  <c r="B128" i="27"/>
  <c r="B7" i="26"/>
  <c r="B7" i="27"/>
  <c r="ED217" i="6"/>
  <c r="ED216" i="6" s="1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T9" i="27" s="1"/>
  <c r="T85" i="27" s="1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DZ216" i="6"/>
  <c r="CX5" i="6"/>
  <c r="CX4" i="6" s="1"/>
  <c r="DF5" i="6"/>
  <c r="DF4" i="6" s="1"/>
  <c r="CX191" i="6"/>
  <c r="DH191" i="6"/>
  <c r="DD191" i="6"/>
  <c r="DC191" i="6"/>
  <c r="CZ191" i="6"/>
  <c r="G274" i="2"/>
  <c r="CM190" i="6"/>
  <c r="CN190" i="6"/>
  <c r="CP190" i="6"/>
  <c r="CQ190" i="6"/>
  <c r="G276" i="2"/>
  <c r="G275" i="2"/>
  <c r="G270" i="2"/>
  <c r="D11" i="1" s="1"/>
  <c r="G272" i="2"/>
  <c r="D19" i="1" s="1"/>
  <c r="G246" i="2"/>
  <c r="R8" i="3"/>
  <c r="R8" i="11"/>
  <c r="G271" i="2"/>
  <c r="D15" i="1" s="1"/>
  <c r="S84" i="27" l="1"/>
  <c r="S8" i="27"/>
  <c r="T9" i="26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60" i="11"/>
  <c r="S64" i="11"/>
  <c r="S63" i="11"/>
  <c r="S58" i="11"/>
  <c r="S48" i="11" s="1"/>
  <c r="S62" i="11"/>
  <c r="CU190" i="6"/>
  <c r="S66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G254" i="2" l="1"/>
  <c r="B7" i="11" s="1"/>
  <c r="S61" i="11"/>
  <c r="P16" i="11"/>
  <c r="P45" i="11"/>
  <c r="P49" i="11"/>
  <c r="P56" i="11"/>
  <c r="P62" i="11"/>
  <c r="P63" i="11"/>
  <c r="P64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5" i="25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Q46" i="11"/>
  <c r="P129" i="25"/>
  <c r="R130" i="25" l="1"/>
  <c r="R140" i="25"/>
  <c r="R136" i="25" s="1"/>
  <c r="Q136" i="25"/>
  <c r="Q29" i="11"/>
  <c r="P29" i="11"/>
  <c r="J29" i="11"/>
  <c r="I29" i="11"/>
  <c r="P135" i="25"/>
  <c r="P140" i="25" s="1"/>
  <c r="S129" i="25"/>
  <c r="T129" i="25" s="1"/>
  <c r="P130" i="25"/>
  <c r="S140" i="25" l="1"/>
  <c r="S135" i="25"/>
  <c r="T135" i="25" s="1"/>
  <c r="Q53" i="11"/>
  <c r="P53" i="11"/>
  <c r="S130" i="25"/>
  <c r="T130" i="25" s="1"/>
  <c r="I53" i="11"/>
  <c r="J53" i="11"/>
  <c r="P54" i="11" l="1"/>
  <c r="Q54" i="11"/>
  <c r="P136" i="25"/>
  <c r="I54" i="11"/>
  <c r="J54" i="11"/>
  <c r="Q60" i="11"/>
  <c r="J60" i="11"/>
  <c r="I60" i="11"/>
  <c r="T140" i="25" l="1"/>
  <c r="J66" i="11"/>
  <c r="I66" i="11"/>
  <c r="S136" i="25"/>
  <c r="T136" i="25" s="1"/>
  <c r="Q66" i="11"/>
  <c r="P66" i="11"/>
  <c r="Q61" i="11" l="1"/>
  <c r="J61" i="11"/>
  <c r="I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<sst xmlns="http://schemas.openxmlformats.org/spreadsheetml/2006/main" count="1865" uniqueCount="869">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</sst>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* #,##0.00\ _€_-;\-* #,##0.00\ _€_-;_-* &quot;-&quot;??\ _€_-;_-@_-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  <font>
      <b/>
      <i/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67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43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7" fontId="4" fillId="0" borderId="0" xfId="0" applyNumberFormat="1" applyFont="1" applyFill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7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/>
    </xf>
    <xf numFmtId="167" fontId="61" fillId="2" borderId="0" xfId="0" applyNumberFormat="1" applyFont="1" applyFill="1" applyBorder="1" applyAlignment="1">
      <alignment horizontal="center"/>
    </xf>
    <xf numFmtId="167" fontId="66" fillId="4" borderId="14" xfId="0" applyNumberFormat="1" applyFont="1" applyFill="1" applyBorder="1" applyAlignment="1">
      <alignment horizontal="center" vertical="center"/>
    </xf>
    <xf numFmtId="177" fontId="66" fillId="4" borderId="14" xfId="0" applyNumberFormat="1" applyFont="1" applyFill="1" applyBorder="1" applyAlignment="1">
      <alignment horizontal="center" vertical="center"/>
    </xf>
    <xf numFmtId="167" fontId="4" fillId="4" borderId="14" xfId="0" applyNumberFormat="1" applyFont="1" applyFill="1" applyBorder="1" applyAlignment="1">
      <alignment horizontal="center" vertical="center"/>
    </xf>
    <xf numFmtId="167" fontId="4" fillId="3" borderId="33" xfId="0" applyNumberFormat="1" applyFont="1" applyFill="1" applyBorder="1" applyAlignment="1">
      <alignment horizontal="center" vertical="center"/>
    </xf>
    <xf numFmtId="167" fontId="61" fillId="3" borderId="33" xfId="0" applyNumberFormat="1" applyFont="1" applyFill="1" applyBorder="1" applyAlignment="1">
      <alignment horizontal="center" vertical="center"/>
    </xf>
    <xf numFmtId="167" fontId="66" fillId="3" borderId="14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>
      <alignment horizontal="center" vertical="center"/>
    </xf>
    <xf numFmtId="177" fontId="4" fillId="3" borderId="30" xfId="0" applyNumberFormat="1" applyFont="1" applyFill="1" applyBorder="1" applyAlignment="1">
      <alignment horizontal="center" vertical="center"/>
    </xf>
    <xf numFmtId="177" fontId="4" fillId="3" borderId="31" xfId="0" applyNumberFormat="1" applyFont="1" applyFill="1" applyBorder="1" applyAlignment="1">
      <alignment horizontal="center" vertical="center"/>
    </xf>
    <xf numFmtId="167" fontId="66" fillId="4" borderId="14" xfId="0" applyNumberFormat="1" applyFont="1" applyFill="1" applyBorder="1" applyAlignment="1" applyProtection="1">
      <alignment horizontal="center" vertical="center"/>
      <protection hidden="1"/>
    </xf>
    <xf numFmtId="167" fontId="6" fillId="8" borderId="13" xfId="0" applyNumberFormat="1" applyFont="1" applyFill="1" applyBorder="1" applyAlignment="1" applyProtection="1">
      <alignment horizontal="center" vertical="center"/>
      <protection hidden="1"/>
    </xf>
    <xf numFmtId="178" fontId="6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 applyProtection="1">
      <alignment horizontal="center" vertical="center"/>
      <protection hidden="1"/>
    </xf>
    <xf numFmtId="167" fontId="66" fillId="3" borderId="31" xfId="0" applyNumberFormat="1" applyFont="1" applyFill="1" applyBorder="1" applyAlignment="1" applyProtection="1">
      <alignment horizontal="center" vertical="center"/>
      <protection hidden="1"/>
    </xf>
    <xf numFmtId="167" fontId="6" fillId="9" borderId="21" xfId="0" applyNumberFormat="1" applyFont="1" applyFill="1" applyBorder="1" applyAlignment="1" applyProtection="1">
      <alignment horizontal="center" vertical="center"/>
      <protection hidden="1"/>
    </xf>
    <xf numFmtId="178" fontId="6" fillId="9" borderId="23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 applyProtection="1">
      <alignment horizontal="center" vertical="center"/>
      <protection hidden="1"/>
    </xf>
    <xf numFmtId="167" fontId="6" fillId="9" borderId="24" xfId="0" applyNumberFormat="1" applyFont="1" applyFill="1" applyBorder="1" applyAlignment="1" applyProtection="1">
      <alignment horizontal="center" vertical="center"/>
      <protection hidden="1"/>
    </xf>
    <xf numFmtId="178" fontId="6" fillId="9" borderId="26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 applyProtection="1">
      <alignment horizontal="center" vertical="center"/>
      <protection hidden="1"/>
    </xf>
    <xf numFmtId="178" fontId="6" fillId="9" borderId="29" xfId="0" applyNumberFormat="1" applyFont="1" applyFill="1" applyBorder="1" applyAlignment="1">
      <alignment horizontal="center" vertical="center"/>
    </xf>
    <xf numFmtId="167" fontId="6" fillId="4" borderId="13" xfId="0" applyNumberFormat="1" applyFont="1" applyFill="1" applyBorder="1" applyAlignment="1" applyProtection="1">
      <alignment horizontal="center" vertical="center"/>
      <protection hidden="1"/>
    </xf>
    <xf numFmtId="178" fontId="6" fillId="4" borderId="15" xfId="0" applyNumberFormat="1" applyFont="1" applyFill="1" applyBorder="1" applyAlignment="1">
      <alignment horizontal="center" vertical="center"/>
    </xf>
    <xf numFmtId="167" fontId="6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9" borderId="32" xfId="0" applyNumberFormat="1" applyFont="1" applyFill="1" applyBorder="1" applyAlignment="1" applyProtection="1">
      <alignment horizontal="center" vertical="center"/>
      <protection hidden="1"/>
    </xf>
    <xf numFmtId="178" fontId="6" fillId="9" borderId="34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 applyProtection="1">
      <alignment horizontal="center"/>
      <protection hidden="1"/>
    </xf>
    <xf numFmtId="178" fontId="75" fillId="8" borderId="15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 applyProtection="1">
      <alignment horizontal="center"/>
      <protection hidden="1"/>
    </xf>
    <xf numFmtId="178" fontId="6" fillId="9" borderId="23" xfId="0" applyNumberFormat="1" applyFont="1" applyFill="1" applyBorder="1" applyAlignment="1">
      <alignment horizontal="center"/>
    </xf>
    <xf numFmtId="178" fontId="6" fillId="9" borderId="15" xfId="0" applyNumberFormat="1" applyFont="1" applyFill="1" applyBorder="1" applyAlignment="1">
      <alignment horizontal="center"/>
    </xf>
    <xf numFmtId="178" fontId="75" fillId="9" borderId="15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 applyProtection="1">
      <alignment horizontal="center"/>
      <protection hidden="1"/>
    </xf>
    <xf numFmtId="178" fontId="6" fillId="8" borderId="15" xfId="0" applyNumberFormat="1" applyFont="1" applyFill="1" applyBorder="1" applyAlignment="1">
      <alignment horizontal="center"/>
    </xf>
    <xf numFmtId="167" fontId="75" fillId="8" borderId="13" xfId="0" applyNumberFormat="1" applyFont="1" applyFill="1" applyBorder="1" applyAlignment="1">
      <alignment horizontal="center" vertical="center"/>
    </xf>
    <xf numFmtId="178" fontId="75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>
      <alignment horizontal="center" vertical="center"/>
    </xf>
    <xf numFmtId="167" fontId="66" fillId="3" borderId="31" xfId="0" applyNumberFormat="1" applyFont="1" applyFill="1" applyBorder="1" applyAlignment="1">
      <alignment horizontal="center" vertical="center"/>
    </xf>
    <xf numFmtId="167" fontId="6" fillId="9" borderId="21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>
      <alignment horizontal="center" vertical="center"/>
    </xf>
    <xf numFmtId="179" fontId="66" fillId="3" borderId="25" xfId="0" applyNumberFormat="1" applyFont="1" applyFill="1" applyBorder="1" applyAlignment="1">
      <alignment horizontal="center" vertical="center"/>
    </xf>
    <xf numFmtId="167" fontId="66" fillId="3" borderId="26" xfId="0" applyNumberFormat="1" applyFont="1" applyFill="1" applyBorder="1" applyAlignment="1">
      <alignment horizontal="center" vertical="center"/>
    </xf>
    <xf numFmtId="167" fontId="6" fillId="9" borderId="24" xfId="0" applyNumberFormat="1" applyFont="1" applyFill="1" applyBorder="1" applyAlignment="1">
      <alignment horizontal="center" vertical="center"/>
    </xf>
    <xf numFmtId="167" fontId="6" fillId="9" borderId="27" xfId="0" applyNumberFormat="1" applyFont="1" applyFill="1" applyBorder="1" applyAlignment="1">
      <alignment horizontal="center" vertical="center"/>
    </xf>
    <xf numFmtId="167" fontId="75" fillId="4" borderId="13" xfId="0" applyNumberFormat="1" applyFont="1" applyFill="1" applyBorder="1" applyAlignment="1">
      <alignment horizontal="center" vertical="center"/>
    </xf>
    <xf numFmtId="178" fontId="75" fillId="4" borderId="15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>
      <alignment horizontal="center"/>
    </xf>
    <xf numFmtId="167" fontId="75" fillId="9" borderId="13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Master!$B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9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9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133351</xdr:colOff>
      <xdr:row>6</xdr:row>
      <xdr:rowOff>180976</xdr:rowOff>
    </xdr:from>
    <xdr:to>
      <xdr:col>15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-februar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333,9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4,7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27,0 mil. € ili 8,8%.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23,9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7,7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istom periodu iznosili su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352,4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5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65,1 mil. € ili 15,6% dok su u odnosu na isti period 2023. godine veći za  66,8 mil. € ili 23,4%.</a:t>
          </a: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januar-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februar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2024. godine zabilježen je deficit budžeta u iznosu od 18,4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0,3% procijenjenog BDP-a.</a:t>
          </a:r>
          <a:endParaRPr lang="en-US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323850</xdr:colOff>
      <xdr:row>6</xdr:row>
      <xdr:rowOff>180976</xdr:rowOff>
    </xdr:from>
    <xdr:to>
      <xdr:col>23</xdr:col>
      <xdr:colOff>359833</xdr:colOff>
      <xdr:row>22</xdr:row>
      <xdr:rowOff>52916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42767" y="1323976"/>
          <a:ext cx="4946649" cy="2941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2024. godinu.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57150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57150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275166</xdr:colOff>
      <xdr:row>1</xdr:row>
      <xdr:rowOff>27517</xdr:rowOff>
    </xdr:from>
    <xdr:to>
      <xdr:col>3</xdr:col>
      <xdr:colOff>555947</xdr:colOff>
      <xdr:row>4</xdr:row>
      <xdr:rowOff>279400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833" y="69850"/>
          <a:ext cx="894614" cy="8233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96257" name="Option Button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04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96258" name="Option Button 2" hidden="1">
              <a:extLst>
                <a:ext uri="{63B3BB69-23CF-44E3-9099-C40C66FF867C}">
                  <a14:compatExt spid="_x0000_s96258"/>
                </a:ext>
                <a:ext uri="{FF2B5EF4-FFF2-40B4-BE49-F238E27FC236}">
                  <a16:creationId xmlns:a16="http://schemas.microsoft.com/office/drawing/2014/main" id="{00000000-0008-0000-04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5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5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6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6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7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8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6" width="9.140625" style="4"/>
    <col min="7" max="13" width="12.42578125" style="4" customWidth="1"/>
    <col min="14" max="18" width="12.140625" style="4" customWidth="1"/>
    <col min="19" max="16384" width="9.14062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2024-02</v>
      </c>
      <c r="O6" s="128" t="str">
        <f>+CONCATENATE(N6,"p")</f>
        <v>2024-02p</v>
      </c>
      <c r="P6" s="116"/>
      <c r="Q6" s="116"/>
      <c r="R6" s="128" t="str">
        <f>+IF(Master!B3-10&gt;=0,CONCATENATE(Master!B4-1,"-",Master!B3),CONCATENATE(Master!B4-1,"-0",Master!B3))</f>
        <v>2023-02</v>
      </c>
      <c r="S6" s="116"/>
      <c r="T6" s="116"/>
    </row>
    <row r="7" spans="1:20">
      <c r="A7" s="129"/>
      <c r="B7" s="586" t="s">
        <v>691</v>
      </c>
      <c r="C7" s="587"/>
      <c r="D7" s="587"/>
      <c r="E7" s="587"/>
      <c r="F7" s="587"/>
      <c r="G7" s="595" t="s">
        <v>690</v>
      </c>
      <c r="H7" s="596"/>
      <c r="I7" s="596"/>
      <c r="J7" s="596"/>
      <c r="K7" s="596"/>
      <c r="L7" s="596"/>
      <c r="M7" s="597"/>
      <c r="N7" s="598" t="str">
        <f>+Master!G243</f>
        <v>Decembar</v>
      </c>
      <c r="O7" s="596"/>
      <c r="P7" s="596"/>
      <c r="Q7" s="596"/>
      <c r="R7" s="596"/>
      <c r="S7" s="596"/>
      <c r="T7" s="599"/>
    </row>
    <row r="8" spans="1:20">
      <c r="A8" s="129"/>
      <c r="B8" s="588"/>
      <c r="C8" s="589"/>
      <c r="D8" s="589"/>
      <c r="E8" s="589"/>
      <c r="F8" s="590"/>
      <c r="G8" s="130" t="str">
        <f>+Master!G26</f>
        <v>Ostvarenje</v>
      </c>
      <c r="H8" s="130" t="str">
        <f>+Master!G25</f>
        <v>Plan</v>
      </c>
      <c r="I8" s="584" t="str">
        <f>+Master!G261</f>
        <v>Odstupanje</v>
      </c>
      <c r="J8" s="584"/>
      <c r="K8" s="130" t="str">
        <f>+CONCATENATE(Master!G246," ",Master!B4-1)</f>
        <v>Jan - Feb 2023</v>
      </c>
      <c r="L8" s="584" t="str">
        <f>+I8</f>
        <v>Odstupanje</v>
      </c>
      <c r="M8" s="594"/>
      <c r="N8" s="131" t="str">
        <f>+G8</f>
        <v>Ostvarenje</v>
      </c>
      <c r="O8" s="130" t="str">
        <f>+H8</f>
        <v>Plan</v>
      </c>
      <c r="P8" s="584" t="str">
        <f>+I8</f>
        <v>Odstupanje</v>
      </c>
      <c r="Q8" s="584"/>
      <c r="R8" s="130" t="str">
        <f>+CONCATENATE(Master!G245," ",Master!B4-1)</f>
        <v>Februar 2023</v>
      </c>
      <c r="S8" s="584" t="str">
        <f>+P8</f>
        <v>Odstupanje</v>
      </c>
      <c r="T8" s="585"/>
    </row>
    <row r="9" spans="1:20" ht="15.7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.75" thickBot="1">
      <c r="A10" s="135">
        <v>7</v>
      </c>
      <c r="B10" s="554" t="str">
        <f>+VLOOKUP($A10,Master!$D$30:$G$226,4,FALSE)</f>
        <v>Prihodi budžeta</v>
      </c>
      <c r="C10" s="555"/>
      <c r="D10" s="555"/>
      <c r="E10" s="555"/>
      <c r="F10" s="555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558" t="e">
        <f>+VLOOKUP($A18,Master!$D$30:$G$226,4,FALSE)</f>
        <v>#N/A</v>
      </c>
      <c r="C18" s="559"/>
      <c r="D18" s="559"/>
      <c r="E18" s="559"/>
      <c r="F18" s="559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558" t="str">
        <f>+VLOOKUP($A19,Master!$D$30:$G$226,4,FALSE)</f>
        <v>Ostali državni porezi</v>
      </c>
      <c r="C19" s="559"/>
      <c r="D19" s="559"/>
      <c r="E19" s="559"/>
      <c r="F19" s="559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62" t="str">
        <f>+VLOOKUP($A20,Master!$D$30:$G$226,4,FALSE)</f>
        <v>Doprinosi</v>
      </c>
      <c r="C20" s="563"/>
      <c r="D20" s="563"/>
      <c r="E20" s="563"/>
      <c r="F20" s="563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558" t="str">
        <f>+VLOOKUP($A21,Master!$D$30:$G$226,4,FALSE)</f>
        <v>Doprinosi za penzijsko i invalidsko osiguranje</v>
      </c>
      <c r="C21" s="559"/>
      <c r="D21" s="559"/>
      <c r="E21" s="559"/>
      <c r="F21" s="559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558" t="str">
        <f>+VLOOKUP($A22,Master!$D$30:$G$226,4,FALSE)</f>
        <v>Doprinosi za zdravstveno osiguranje</v>
      </c>
      <c r="C22" s="559"/>
      <c r="D22" s="559"/>
      <c r="E22" s="559"/>
      <c r="F22" s="559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558" t="str">
        <f>+VLOOKUP($A23,Master!$D$30:$G$226,4,FALSE)</f>
        <v>Doprinosi za osiguranje od nezaposlenosti</v>
      </c>
      <c r="C23" s="559"/>
      <c r="D23" s="559"/>
      <c r="E23" s="559"/>
      <c r="F23" s="559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558" t="str">
        <f>+VLOOKUP($A24,Master!$D$30:$G$226,4,FALSE)</f>
        <v>Ostali doprinosi</v>
      </c>
      <c r="C24" s="559"/>
      <c r="D24" s="559"/>
      <c r="E24" s="559"/>
      <c r="F24" s="559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60" t="str">
        <f>+VLOOKUP($A25,Master!$D$30:$G$226,4,FALSE)</f>
        <v>Takse</v>
      </c>
      <c r="C25" s="561"/>
      <c r="D25" s="561"/>
      <c r="E25" s="561"/>
      <c r="F25" s="561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60" t="str">
        <f>+VLOOKUP($A26,Master!$D$30:$G$226,4,FALSE)</f>
        <v>Naknade</v>
      </c>
      <c r="C26" s="561"/>
      <c r="D26" s="561"/>
      <c r="E26" s="561"/>
      <c r="F26" s="561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60" t="str">
        <f>+VLOOKUP($A27,Master!$D$30:$G$226,4,FALSE)</f>
        <v>Ostali prihodi</v>
      </c>
      <c r="C27" s="561"/>
      <c r="D27" s="561"/>
      <c r="E27" s="561"/>
      <c r="F27" s="561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60" t="str">
        <f>+VLOOKUP($A28,Master!$D$30:$G$226,4,FALSE)</f>
        <v>Primici od otplate kredita i sredstva prenesena iz prethodne godine</v>
      </c>
      <c r="C28" s="561"/>
      <c r="D28" s="561"/>
      <c r="E28" s="561"/>
      <c r="F28" s="561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.75" thickBot="1">
      <c r="A29" s="135">
        <v>74</v>
      </c>
      <c r="B29" s="564" t="str">
        <f>+VLOOKUP($A29,Master!$D$30:$G$226,4,FALSE)</f>
        <v>Donacije i transferi</v>
      </c>
      <c r="C29" s="565"/>
      <c r="D29" s="565"/>
      <c r="E29" s="565"/>
      <c r="F29" s="565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.75" thickBot="1">
      <c r="A30" s="135">
        <v>4</v>
      </c>
      <c r="B30" s="566" t="str">
        <f>+VLOOKUP($A30,Master!$D$30:$G$226,4,FALSE)</f>
        <v>Izdaci budžeta</v>
      </c>
      <c r="C30" s="567"/>
      <c r="D30" s="567"/>
      <c r="E30" s="567"/>
      <c r="F30" s="567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.75" thickBot="1">
      <c r="A31" s="135">
        <v>41</v>
      </c>
      <c r="B31" s="568" t="str">
        <f>+VLOOKUP($A31,Master!$D$30:$G$226,4,FALSE)</f>
        <v>Tekući izdaci</v>
      </c>
      <c r="C31" s="569"/>
      <c r="D31" s="569"/>
      <c r="E31" s="569"/>
      <c r="F31" s="569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70" t="str">
        <f>+VLOOKUP($A32,Master!$D$30:$G$226,4,FALSE)</f>
        <v>Tekuća budžetska potrošnja</v>
      </c>
      <c r="C32" s="571"/>
      <c r="D32" s="571"/>
      <c r="E32" s="571"/>
      <c r="F32" s="571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558" t="str">
        <f>+VLOOKUP($A33,Master!$D$30:$G$226,4,FALSE)</f>
        <v>Bruto zarade i doprinosi na teret poslodavca</v>
      </c>
      <c r="C33" s="559"/>
      <c r="D33" s="559"/>
      <c r="E33" s="559"/>
      <c r="F33" s="559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558" t="str">
        <f>+VLOOKUP($A34,Master!$D$30:$G$226,4,FALSE)</f>
        <v>Ostala lična primanja</v>
      </c>
      <c r="C34" s="559"/>
      <c r="D34" s="559"/>
      <c r="E34" s="559"/>
      <c r="F34" s="559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558" t="str">
        <f>+VLOOKUP($A35,Master!$D$30:$G$226,4,FALSE)</f>
        <v>Rashodi za materijal</v>
      </c>
      <c r="C35" s="559"/>
      <c r="D35" s="559"/>
      <c r="E35" s="559"/>
      <c r="F35" s="559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558" t="str">
        <f>+VLOOKUP($A36,Master!$D$30:$G$226,4,FALSE)</f>
        <v>Rashodi za usluge</v>
      </c>
      <c r="C36" s="559"/>
      <c r="D36" s="559"/>
      <c r="E36" s="559"/>
      <c r="F36" s="559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558" t="str">
        <f>+VLOOKUP($A37,Master!$D$30:$G$226,4,FALSE)</f>
        <v>Rashodi za tekuće održavanje</v>
      </c>
      <c r="C37" s="559"/>
      <c r="D37" s="559"/>
      <c r="E37" s="559"/>
      <c r="F37" s="559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558" t="str">
        <f>+VLOOKUP($A38,Master!$D$30:$G$226,4,FALSE)</f>
        <v>Kamate</v>
      </c>
      <c r="C38" s="559"/>
      <c r="D38" s="559"/>
      <c r="E38" s="559"/>
      <c r="F38" s="559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558" t="str">
        <f>+VLOOKUP($A39,Master!$D$30:$G$226,4,FALSE)</f>
        <v>Renta</v>
      </c>
      <c r="C39" s="559"/>
      <c r="D39" s="559"/>
      <c r="E39" s="559"/>
      <c r="F39" s="559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558" t="str">
        <f>+VLOOKUP($A40,Master!$D$30:$G$226,4,FALSE)</f>
        <v>Subvencije</v>
      </c>
      <c r="C40" s="559"/>
      <c r="D40" s="559"/>
      <c r="E40" s="559"/>
      <c r="F40" s="559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558" t="str">
        <f>+VLOOKUP($A41,Master!$D$30:$G$226,4,FALSE)</f>
        <v>Ostali izdaci</v>
      </c>
      <c r="C41" s="559"/>
      <c r="D41" s="559"/>
      <c r="E41" s="559"/>
      <c r="F41" s="559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558" t="e">
        <f>+VLOOKUP($A42,Master!$D$30:$G$226,4,FALSE)</f>
        <v>#N/A</v>
      </c>
      <c r="C42" s="559"/>
      <c r="D42" s="559"/>
      <c r="E42" s="559"/>
      <c r="F42" s="559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74" t="str">
        <f>+VLOOKUP($A43,Master!$D$30:$G$226,4,FALSE)</f>
        <v>Transferi za socijalnu zaštitu</v>
      </c>
      <c r="C43" s="575"/>
      <c r="D43" s="575"/>
      <c r="E43" s="575"/>
      <c r="F43" s="575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558" t="str">
        <f>+VLOOKUP($A44,Master!$D$30:$G$226,4,FALSE)</f>
        <v>Prava iz oblasti socijalne zaštite</v>
      </c>
      <c r="C44" s="559"/>
      <c r="D44" s="559"/>
      <c r="E44" s="559"/>
      <c r="F44" s="559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558" t="str">
        <f>+VLOOKUP($A45,Master!$D$30:$G$226,4,FALSE)</f>
        <v>Sredstva za tehnološke viškove</v>
      </c>
      <c r="C45" s="559"/>
      <c r="D45" s="559"/>
      <c r="E45" s="559"/>
      <c r="F45" s="559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558" t="str">
        <f>+VLOOKUP($A46,Master!$D$30:$G$226,4,FALSE)</f>
        <v>Prava iz oblasti penzijskog i invalidskog osiguranja</v>
      </c>
      <c r="C46" s="559"/>
      <c r="D46" s="559"/>
      <c r="E46" s="559"/>
      <c r="F46" s="559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558" t="str">
        <f>+VLOOKUP($A47,Master!$D$30:$G$226,4,FALSE)</f>
        <v>Ostala prava iz oblasti zdravstvene zaštite</v>
      </c>
      <c r="C47" s="559"/>
      <c r="D47" s="559"/>
      <c r="E47" s="559"/>
      <c r="F47" s="559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558" t="str">
        <f>+VLOOKUP($A48,Master!$D$30:$G$226,4,FALSE)</f>
        <v>Ostala prava iz zdravstvenog osiguranja</v>
      </c>
      <c r="C48" s="559"/>
      <c r="D48" s="559"/>
      <c r="E48" s="559"/>
      <c r="F48" s="559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72" t="str">
        <f>+VLOOKUP($A49,Master!$D$30:$G$226,4,FALSE)</f>
        <v xml:space="preserve">Transferi institucijama, pojedincima, nevladinom i javnom sektoru </v>
      </c>
      <c r="C49" s="573"/>
      <c r="D49" s="573"/>
      <c r="E49" s="573"/>
      <c r="F49" s="573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72" t="str">
        <f>+VLOOKUP($A50,Master!$D$30:$G$226,4,FALSE)</f>
        <v>Kapitalni izdaci</v>
      </c>
      <c r="C50" s="573"/>
      <c r="D50" s="573"/>
      <c r="E50" s="573"/>
      <c r="F50" s="573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576" t="str">
        <f>+VLOOKUP($A51,Master!$D$30:$G$226,4,FALSE)</f>
        <v>Pozajmice i krediti</v>
      </c>
      <c r="C51" s="577"/>
      <c r="D51" s="577"/>
      <c r="E51" s="577"/>
      <c r="F51" s="577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576" t="str">
        <f>+VLOOKUP($A52,Master!$D$30:$G$226,4,FALSE)</f>
        <v>Rezerve</v>
      </c>
      <c r="C52" s="577"/>
      <c r="D52" s="577"/>
      <c r="E52" s="577"/>
      <c r="F52" s="577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.75" thickBot="1">
      <c r="A53" s="135">
        <v>462</v>
      </c>
      <c r="B53" s="578" t="str">
        <f>+VLOOKUP($A53,Master!$D$30:$G$226,4,FALSE)</f>
        <v>Otplata garancija</v>
      </c>
      <c r="C53" s="579"/>
      <c r="D53" s="579"/>
      <c r="E53" s="579"/>
      <c r="F53" s="579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.75" thickBot="1">
      <c r="A54" s="129">
        <v>4630</v>
      </c>
      <c r="B54" s="578" t="str">
        <f>+VLOOKUP($A54,Master!$D$30:$G$226,4,FALSE)</f>
        <v>Otplata obaveza iz prethodnog perioda</v>
      </c>
      <c r="C54" s="579"/>
      <c r="D54" s="579"/>
      <c r="E54" s="579"/>
      <c r="F54" s="579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.75" thickBot="1">
      <c r="A55" s="129">
        <v>1005</v>
      </c>
      <c r="B55" s="578" t="str">
        <f>+VLOOKUP($A55,Master!$D$30:$G$228,4,FALSE)</f>
        <v>Neto povećanje obaveza</v>
      </c>
      <c r="C55" s="579"/>
      <c r="D55" s="579"/>
      <c r="E55" s="579"/>
      <c r="F55" s="579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.75" thickBot="1">
      <c r="A56" s="129">
        <v>1000</v>
      </c>
      <c r="B56" s="580" t="str">
        <f>+VLOOKUP($A56,Master!$D$30:$G$226,4,FALSE)</f>
        <v>Suficit / deficit</v>
      </c>
      <c r="C56" s="581"/>
      <c r="D56" s="581"/>
      <c r="E56" s="581"/>
      <c r="F56" s="581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.75" thickBot="1">
      <c r="A57" s="129">
        <v>1001</v>
      </c>
      <c r="B57" s="582" t="str">
        <f>+VLOOKUP($A57,Master!$D$30:$G$226,4,FALSE)</f>
        <v>Primarni suficit/deficit</v>
      </c>
      <c r="C57" s="583"/>
      <c r="D57" s="583"/>
      <c r="E57" s="583"/>
      <c r="F57" s="583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74" t="str">
        <f>+VLOOKUP($A58,Master!$D$30:$G$226,4,FALSE)</f>
        <v>Otplata dugova</v>
      </c>
      <c r="C58" s="575"/>
      <c r="D58" s="575"/>
      <c r="E58" s="575"/>
      <c r="F58" s="575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600" t="str">
        <f>+VLOOKUP($A59,Master!$D$30:$G$226,4,FALSE)</f>
        <v>Otplata hartija od vrijednosti i kredita rezidentima</v>
      </c>
      <c r="C59" s="601"/>
      <c r="D59" s="601"/>
      <c r="E59" s="601"/>
      <c r="F59" s="601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576" t="str">
        <f>+VLOOKUP($A60,Master!$D$30:$G$226,4,FALSE)</f>
        <v>Otplata hartija od vrijednosti i kredita nerezidentima</v>
      </c>
      <c r="C60" s="577"/>
      <c r="D60" s="577"/>
      <c r="E60" s="577"/>
      <c r="F60" s="577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.7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.75" thickBot="1">
      <c r="A62" s="129">
        <v>1002</v>
      </c>
      <c r="B62" s="602" t="str">
        <f>+VLOOKUP($A62,Master!$D$30:$G$226,4,FALSE)</f>
        <v>Nedostajuća sredstva</v>
      </c>
      <c r="C62" s="603"/>
      <c r="D62" s="603"/>
      <c r="E62" s="603"/>
      <c r="F62" s="603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.75" thickBot="1">
      <c r="A63" s="129">
        <v>1003</v>
      </c>
      <c r="B63" s="566" t="str">
        <f>+VLOOKUP($A63,Master!$D$30:$G$226,4,FALSE)</f>
        <v>Finansiranje</v>
      </c>
      <c r="C63" s="567"/>
      <c r="D63" s="567"/>
      <c r="E63" s="567"/>
      <c r="F63" s="567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600" t="str">
        <f>+VLOOKUP($A64,Master!$D$30:$G$226,4,FALSE)</f>
        <v>Pozajmice i krediti od domaćih izvora</v>
      </c>
      <c r="C64" s="601"/>
      <c r="D64" s="601"/>
      <c r="E64" s="601"/>
      <c r="F64" s="601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576" t="str">
        <f>+VLOOKUP($A65,Master!$D$30:$G$226,4,FALSE)</f>
        <v>Pozajmice i krediti od inostranih izvora</v>
      </c>
      <c r="C65" s="577"/>
      <c r="D65" s="577"/>
      <c r="E65" s="577"/>
      <c r="F65" s="577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576" t="str">
        <f>+VLOOKUP($A66,Master!$D$30:$G$226,4,FALSE)</f>
        <v>Primici od prodaje imovine</v>
      </c>
      <c r="C66" s="577"/>
      <c r="D66" s="577"/>
      <c r="E66" s="577"/>
      <c r="F66" s="577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.7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W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61" customWidth="1"/>
    <col min="2" max="4" width="9.140625" style="243"/>
    <col min="5" max="5" width="4.7109375" style="243" customWidth="1"/>
    <col min="6" max="6" width="1.8554687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11.42578125" style="243" customWidth="1"/>
    <col min="22" max="22" width="11" style="243" bestFit="1" customWidth="1"/>
    <col min="23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86" t="s">
        <v>553</v>
      </c>
      <c r="C7" s="587"/>
      <c r="D7" s="587"/>
      <c r="E7" s="587"/>
      <c r="F7" s="587"/>
      <c r="G7" s="595">
        <v>2018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">
        <v>419</v>
      </c>
      <c r="T7" s="221">
        <v>4663130000</v>
      </c>
    </row>
    <row r="8" spans="1:20" ht="16.5" customHeight="1">
      <c r="A8" s="129"/>
      <c r="B8" s="588"/>
      <c r="C8" s="589"/>
      <c r="D8" s="589"/>
      <c r="E8" s="589"/>
      <c r="F8" s="590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95" t="s">
        <v>806</v>
      </c>
      <c r="T8" s="599"/>
    </row>
    <row r="9" spans="1:20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54" t="s">
        <v>680</v>
      </c>
      <c r="C10" s="555"/>
      <c r="D10" s="555"/>
      <c r="E10" s="555"/>
      <c r="F10" s="555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6">
        <f>+SUM(G10:R10)</f>
        <v>1746018287.1400003</v>
      </c>
      <c r="T10" s="341">
        <f>+S10/$T$7</f>
        <v>0.3744305406754691</v>
      </c>
    </row>
    <row r="11" spans="1:20">
      <c r="A11" s="135">
        <v>711</v>
      </c>
      <c r="B11" s="556" t="s">
        <v>21</v>
      </c>
      <c r="C11" s="557"/>
      <c r="D11" s="557"/>
      <c r="E11" s="557"/>
      <c r="F11" s="557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7">
        <f t="shared" ref="S11:S66" si="3">+SUM(G11:R11)</f>
        <v>1068947201.3</v>
      </c>
      <c r="T11" s="342">
        <f t="shared" ref="T11:T67" si="4">+S11/$T$7</f>
        <v>0.22923384106812375</v>
      </c>
    </row>
    <row r="12" spans="1:20">
      <c r="A12" s="135">
        <v>7111</v>
      </c>
      <c r="B12" s="558" t="s">
        <v>23</v>
      </c>
      <c r="C12" s="559"/>
      <c r="D12" s="559"/>
      <c r="E12" s="559"/>
      <c r="F12" s="559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8">
        <f t="shared" si="3"/>
        <v>124898382.06000002</v>
      </c>
      <c r="T12" s="343">
        <f t="shared" si="4"/>
        <v>2.6784237638667593E-2</v>
      </c>
    </row>
    <row r="13" spans="1:20">
      <c r="A13" s="135">
        <v>7112</v>
      </c>
      <c r="B13" s="558" t="s">
        <v>25</v>
      </c>
      <c r="C13" s="559"/>
      <c r="D13" s="559"/>
      <c r="E13" s="559"/>
      <c r="F13" s="559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8">
        <f t="shared" si="3"/>
        <v>68172478.429999992</v>
      </c>
      <c r="T13" s="343">
        <f t="shared" si="4"/>
        <v>1.4619467703023505E-2</v>
      </c>
    </row>
    <row r="14" spans="1:20">
      <c r="A14" s="135">
        <v>7113</v>
      </c>
      <c r="B14" s="558" t="s">
        <v>27</v>
      </c>
      <c r="C14" s="559"/>
      <c r="D14" s="559"/>
      <c r="E14" s="559"/>
      <c r="F14" s="559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8">
        <f t="shared" si="3"/>
        <v>1836094.52</v>
      </c>
      <c r="T14" s="343">
        <f t="shared" si="4"/>
        <v>3.9374722986491905E-4</v>
      </c>
    </row>
    <row r="15" spans="1:20">
      <c r="A15" s="135">
        <v>7114</v>
      </c>
      <c r="B15" s="558" t="s">
        <v>29</v>
      </c>
      <c r="C15" s="559"/>
      <c r="D15" s="559"/>
      <c r="E15" s="559"/>
      <c r="F15" s="559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8">
        <f t="shared" si="3"/>
        <v>616913678.91000009</v>
      </c>
      <c r="T15" s="343">
        <f t="shared" si="4"/>
        <v>0.13229604984420337</v>
      </c>
    </row>
    <row r="16" spans="1:20">
      <c r="A16" s="135">
        <v>7115</v>
      </c>
      <c r="B16" s="558" t="s">
        <v>31</v>
      </c>
      <c r="C16" s="559"/>
      <c r="D16" s="559"/>
      <c r="E16" s="559"/>
      <c r="F16" s="559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8">
        <f t="shared" si="3"/>
        <v>221178044.41</v>
      </c>
      <c r="T16" s="343">
        <f t="shared" si="4"/>
        <v>4.7431241335755166E-2</v>
      </c>
    </row>
    <row r="17" spans="1:23">
      <c r="A17" s="135">
        <v>7116</v>
      </c>
      <c r="B17" s="558" t="s">
        <v>33</v>
      </c>
      <c r="C17" s="559"/>
      <c r="D17" s="559"/>
      <c r="E17" s="559"/>
      <c r="F17" s="559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8">
        <f t="shared" si="3"/>
        <v>26634891.989999998</v>
      </c>
      <c r="T17" s="343">
        <f t="shared" si="4"/>
        <v>5.7118055876632214E-3</v>
      </c>
    </row>
    <row r="18" spans="1:23">
      <c r="A18" s="135">
        <v>7118</v>
      </c>
      <c r="B18" s="558" t="s">
        <v>721</v>
      </c>
      <c r="C18" s="559"/>
      <c r="D18" s="559"/>
      <c r="E18" s="559"/>
      <c r="F18" s="559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8">
        <f t="shared" si="3"/>
        <v>9313630.9799999986</v>
      </c>
      <c r="T18" s="343">
        <f t="shared" si="4"/>
        <v>1.9972917289460082E-3</v>
      </c>
    </row>
    <row r="19" spans="1:23">
      <c r="A19" s="135">
        <v>712</v>
      </c>
      <c r="B19" s="562" t="s">
        <v>37</v>
      </c>
      <c r="C19" s="563"/>
      <c r="D19" s="563"/>
      <c r="E19" s="563"/>
      <c r="F19" s="563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9">
        <f t="shared" si="3"/>
        <v>524440114.39999998</v>
      </c>
      <c r="T19" s="344">
        <f t="shared" si="4"/>
        <v>0.11246525711271184</v>
      </c>
    </row>
    <row r="20" spans="1:23">
      <c r="A20" s="135">
        <v>7121</v>
      </c>
      <c r="B20" s="558" t="s">
        <v>39</v>
      </c>
      <c r="C20" s="559"/>
      <c r="D20" s="559"/>
      <c r="E20" s="559"/>
      <c r="F20" s="559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8">
        <f t="shared" si="3"/>
        <v>316982958.28000003</v>
      </c>
      <c r="T20" s="343">
        <f t="shared" si="4"/>
        <v>6.7976436059041898E-2</v>
      </c>
    </row>
    <row r="21" spans="1:23">
      <c r="A21" s="135">
        <v>7122</v>
      </c>
      <c r="B21" s="558" t="s">
        <v>41</v>
      </c>
      <c r="C21" s="559"/>
      <c r="D21" s="559"/>
      <c r="E21" s="559"/>
      <c r="F21" s="559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8">
        <f t="shared" si="3"/>
        <v>182045765.34999999</v>
      </c>
      <c r="T21" s="343">
        <f t="shared" si="4"/>
        <v>3.9039393143661019E-2</v>
      </c>
    </row>
    <row r="22" spans="1:23">
      <c r="A22" s="135">
        <v>7123</v>
      </c>
      <c r="B22" s="558" t="s">
        <v>43</v>
      </c>
      <c r="C22" s="559"/>
      <c r="D22" s="559"/>
      <c r="E22" s="559"/>
      <c r="F22" s="559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8">
        <f t="shared" si="3"/>
        <v>13590597.370000001</v>
      </c>
      <c r="T22" s="343">
        <f t="shared" si="4"/>
        <v>2.9144796242009125E-3</v>
      </c>
    </row>
    <row r="23" spans="1:23">
      <c r="A23" s="135">
        <v>7124</v>
      </c>
      <c r="B23" s="558" t="s">
        <v>45</v>
      </c>
      <c r="C23" s="559"/>
      <c r="D23" s="559"/>
      <c r="E23" s="559"/>
      <c r="F23" s="559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8">
        <f t="shared" si="3"/>
        <v>11820793.4</v>
      </c>
      <c r="T23" s="343">
        <f t="shared" si="4"/>
        <v>2.5349482858080304E-3</v>
      </c>
    </row>
    <row r="24" spans="1:23">
      <c r="A24" s="135">
        <v>713</v>
      </c>
      <c r="B24" s="560" t="s">
        <v>47</v>
      </c>
      <c r="C24" s="561"/>
      <c r="D24" s="561"/>
      <c r="E24" s="561"/>
      <c r="F24" s="561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9">
        <f t="shared" si="3"/>
        <v>16901007.650000002</v>
      </c>
      <c r="T24" s="344">
        <f t="shared" si="4"/>
        <v>3.6243912672389582E-3</v>
      </c>
    </row>
    <row r="25" spans="1:23">
      <c r="A25" s="135">
        <v>714</v>
      </c>
      <c r="B25" s="560" t="s">
        <v>61</v>
      </c>
      <c r="C25" s="561"/>
      <c r="D25" s="561"/>
      <c r="E25" s="561"/>
      <c r="F25" s="561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9">
        <f t="shared" si="3"/>
        <v>26419539.080000002</v>
      </c>
      <c r="T25" s="344">
        <f t="shared" si="4"/>
        <v>5.6656235361227337E-3</v>
      </c>
      <c r="W25" s="276"/>
    </row>
    <row r="26" spans="1:23">
      <c r="A26" s="135">
        <v>715</v>
      </c>
      <c r="B26" s="560" t="s">
        <v>81</v>
      </c>
      <c r="C26" s="561"/>
      <c r="D26" s="561"/>
      <c r="E26" s="561"/>
      <c r="F26" s="561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9">
        <f t="shared" si="3"/>
        <v>71315064.620000005</v>
      </c>
      <c r="T26" s="344">
        <f t="shared" si="4"/>
        <v>1.529338976610131E-2</v>
      </c>
    </row>
    <row r="27" spans="1:23">
      <c r="A27" s="135">
        <v>73</v>
      </c>
      <c r="B27" s="560" t="s">
        <v>99</v>
      </c>
      <c r="C27" s="561"/>
      <c r="D27" s="561"/>
      <c r="E27" s="561"/>
      <c r="F27" s="561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9">
        <f t="shared" si="3"/>
        <v>11285945.1</v>
      </c>
      <c r="T27" s="344">
        <f t="shared" si="4"/>
        <v>2.4202510116595505E-3</v>
      </c>
    </row>
    <row r="28" spans="1:23" ht="13.5" thickBot="1">
      <c r="A28" s="135">
        <v>74</v>
      </c>
      <c r="B28" s="564" t="s">
        <v>105</v>
      </c>
      <c r="C28" s="565"/>
      <c r="D28" s="565"/>
      <c r="E28" s="565"/>
      <c r="F28" s="565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9">
        <f t="shared" si="3"/>
        <v>26709414.990000006</v>
      </c>
      <c r="T28" s="345">
        <f t="shared" si="4"/>
        <v>5.7277869135108836E-3</v>
      </c>
    </row>
    <row r="29" spans="1:23" ht="13.5" thickBot="1">
      <c r="A29" s="135">
        <v>4</v>
      </c>
      <c r="B29" s="566" t="s">
        <v>801</v>
      </c>
      <c r="C29" s="567"/>
      <c r="D29" s="567"/>
      <c r="E29" s="567"/>
      <c r="F29" s="567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60">
        <f t="shared" si="3"/>
        <v>1914918461.6599998</v>
      </c>
      <c r="T29" s="346">
        <f t="shared" si="4"/>
        <v>0.41065088506217923</v>
      </c>
    </row>
    <row r="30" spans="1:23" ht="13.5" thickBot="1">
      <c r="A30" s="135">
        <v>40</v>
      </c>
      <c r="B30" s="568" t="s">
        <v>773</v>
      </c>
      <c r="C30" s="569"/>
      <c r="D30" s="569"/>
      <c r="E30" s="569"/>
      <c r="F30" s="569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1">
        <f t="shared" si="3"/>
        <v>1671556011.4800003</v>
      </c>
      <c r="T30" s="347">
        <f t="shared" si="4"/>
        <v>0.35846223705536845</v>
      </c>
    </row>
    <row r="31" spans="1:23">
      <c r="A31" s="135">
        <v>41</v>
      </c>
      <c r="B31" s="570" t="s">
        <v>120</v>
      </c>
      <c r="C31" s="571"/>
      <c r="D31" s="571"/>
      <c r="E31" s="571"/>
      <c r="F31" s="571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2">
        <f t="shared" si="3"/>
        <v>866631492.57999992</v>
      </c>
      <c r="T31" s="342">
        <f t="shared" si="4"/>
        <v>0.185847594336851</v>
      </c>
    </row>
    <row r="32" spans="1:23">
      <c r="A32" s="135">
        <v>411</v>
      </c>
      <c r="B32" s="558" t="s">
        <v>122</v>
      </c>
      <c r="C32" s="559"/>
      <c r="D32" s="559"/>
      <c r="E32" s="559"/>
      <c r="F32" s="559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8">
        <f t="shared" si="3"/>
        <v>459796234.55000001</v>
      </c>
      <c r="T32" s="343">
        <f t="shared" si="4"/>
        <v>9.860249114864908E-2</v>
      </c>
    </row>
    <row r="33" spans="1:22">
      <c r="A33" s="135">
        <v>412</v>
      </c>
      <c r="B33" s="558" t="s">
        <v>133</v>
      </c>
      <c r="C33" s="559"/>
      <c r="D33" s="559"/>
      <c r="E33" s="559"/>
      <c r="F33" s="559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8">
        <f t="shared" si="3"/>
        <v>13212940.209999999</v>
      </c>
      <c r="T33" s="343">
        <f t="shared" si="4"/>
        <v>2.8334917126479424E-3</v>
      </c>
      <c r="U33" s="277"/>
    </row>
    <row r="34" spans="1:22">
      <c r="A34" s="135">
        <v>413</v>
      </c>
      <c r="B34" s="558" t="s">
        <v>148</v>
      </c>
      <c r="C34" s="559"/>
      <c r="D34" s="559"/>
      <c r="E34" s="559"/>
      <c r="F34" s="559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8">
        <f t="shared" si="3"/>
        <v>36731134.720000006</v>
      </c>
      <c r="T34" s="343">
        <f t="shared" si="4"/>
        <v>7.8769270254099733E-3</v>
      </c>
      <c r="U34" s="292"/>
      <c r="V34" s="275"/>
    </row>
    <row r="35" spans="1:22">
      <c r="A35" s="135">
        <v>414</v>
      </c>
      <c r="B35" s="558" t="s">
        <v>162</v>
      </c>
      <c r="C35" s="559"/>
      <c r="D35" s="559"/>
      <c r="E35" s="559"/>
      <c r="F35" s="559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8">
        <f t="shared" si="3"/>
        <v>75138922.689999998</v>
      </c>
      <c r="T35" s="343">
        <f t="shared" si="4"/>
        <v>1.6113409381681404E-2</v>
      </c>
    </row>
    <row r="36" spans="1:22">
      <c r="A36" s="135">
        <v>415</v>
      </c>
      <c r="B36" s="558" t="s">
        <v>182</v>
      </c>
      <c r="C36" s="559"/>
      <c r="D36" s="559"/>
      <c r="E36" s="559"/>
      <c r="F36" s="559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8">
        <f t="shared" si="3"/>
        <v>20973232.77</v>
      </c>
      <c r="T36" s="343">
        <f t="shared" si="4"/>
        <v>4.4976727584262076E-3</v>
      </c>
    </row>
    <row r="37" spans="1:22">
      <c r="A37" s="135">
        <v>416</v>
      </c>
      <c r="B37" s="558" t="s">
        <v>190</v>
      </c>
      <c r="C37" s="559"/>
      <c r="D37" s="559"/>
      <c r="E37" s="559"/>
      <c r="F37" s="559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8">
        <f>+SUM(G37:R37)</f>
        <v>97597309.48999998</v>
      </c>
      <c r="T37" s="343">
        <f t="shared" si="4"/>
        <v>2.0929570801157159E-2</v>
      </c>
    </row>
    <row r="38" spans="1:22">
      <c r="A38" s="135">
        <v>417</v>
      </c>
      <c r="B38" s="558" t="s">
        <v>196</v>
      </c>
      <c r="C38" s="559"/>
      <c r="D38" s="559"/>
      <c r="E38" s="559"/>
      <c r="F38" s="559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8">
        <f t="shared" si="3"/>
        <v>10693128.550000001</v>
      </c>
      <c r="T38" s="343">
        <f t="shared" si="4"/>
        <v>2.2931225485886093E-3</v>
      </c>
    </row>
    <row r="39" spans="1:22">
      <c r="A39" s="135">
        <v>418</v>
      </c>
      <c r="B39" s="558" t="s">
        <v>204</v>
      </c>
      <c r="C39" s="559"/>
      <c r="D39" s="559"/>
      <c r="E39" s="559"/>
      <c r="F39" s="559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8">
        <f t="shared" si="3"/>
        <v>30560884.969999999</v>
      </c>
      <c r="T39" s="343">
        <f t="shared" si="4"/>
        <v>6.5537278544668493E-3</v>
      </c>
    </row>
    <row r="40" spans="1:22">
      <c r="A40" s="135">
        <v>419</v>
      </c>
      <c r="B40" s="558" t="s">
        <v>212</v>
      </c>
      <c r="C40" s="559"/>
      <c r="D40" s="559"/>
      <c r="E40" s="559"/>
      <c r="F40" s="559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8">
        <f t="shared" si="3"/>
        <v>43556427.669999994</v>
      </c>
      <c r="T40" s="343">
        <f t="shared" si="4"/>
        <v>9.3405990547121773E-3</v>
      </c>
    </row>
    <row r="41" spans="1:22">
      <c r="A41" s="135">
        <v>440</v>
      </c>
      <c r="B41" s="558" t="s">
        <v>802</v>
      </c>
      <c r="C41" s="559"/>
      <c r="D41" s="559"/>
      <c r="E41" s="559"/>
      <c r="F41" s="559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8">
        <f t="shared" si="3"/>
        <v>78371276.960000008</v>
      </c>
      <c r="T41" s="343">
        <f t="shared" si="4"/>
        <v>1.6806582051111595E-2</v>
      </c>
    </row>
    <row r="42" spans="1:22">
      <c r="A42" s="135">
        <v>42</v>
      </c>
      <c r="B42" s="574" t="s">
        <v>230</v>
      </c>
      <c r="C42" s="575"/>
      <c r="D42" s="575"/>
      <c r="E42" s="575"/>
      <c r="F42" s="575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9">
        <f t="shared" si="3"/>
        <v>544485571.48000002</v>
      </c>
      <c r="T42" s="344">
        <f t="shared" si="4"/>
        <v>0.11676397001155876</v>
      </c>
    </row>
    <row r="43" spans="1:22">
      <c r="A43" s="135">
        <v>421</v>
      </c>
      <c r="B43" s="558" t="s">
        <v>232</v>
      </c>
      <c r="C43" s="559"/>
      <c r="D43" s="559"/>
      <c r="E43" s="559"/>
      <c r="F43" s="559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8">
        <f t="shared" si="3"/>
        <v>82294784.480000004</v>
      </c>
      <c r="T43" s="343">
        <f t="shared" si="4"/>
        <v>1.7647971315404031E-2</v>
      </c>
    </row>
    <row r="44" spans="1:22">
      <c r="A44" s="135">
        <v>422</v>
      </c>
      <c r="B44" s="558" t="s">
        <v>248</v>
      </c>
      <c r="C44" s="559"/>
      <c r="D44" s="559"/>
      <c r="E44" s="559"/>
      <c r="F44" s="559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8">
        <f t="shared" si="3"/>
        <v>14196791.939999998</v>
      </c>
      <c r="T44" s="343">
        <f t="shared" si="4"/>
        <v>3.0444769800541693E-3</v>
      </c>
    </row>
    <row r="45" spans="1:22">
      <c r="A45" s="135">
        <v>423</v>
      </c>
      <c r="B45" s="558" t="s">
        <v>259</v>
      </c>
      <c r="C45" s="559"/>
      <c r="D45" s="559"/>
      <c r="E45" s="559"/>
      <c r="F45" s="559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8">
        <f t="shared" si="3"/>
        <v>414750265.80000001</v>
      </c>
      <c r="T45" s="343">
        <f t="shared" si="4"/>
        <v>8.8942462637756181E-2</v>
      </c>
    </row>
    <row r="46" spans="1:22">
      <c r="A46" s="135">
        <v>424</v>
      </c>
      <c r="B46" s="558" t="s">
        <v>274</v>
      </c>
      <c r="C46" s="559"/>
      <c r="D46" s="559"/>
      <c r="E46" s="559"/>
      <c r="F46" s="559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8">
        <f t="shared" si="3"/>
        <v>20004829.280000001</v>
      </c>
      <c r="T46" s="343">
        <f t="shared" si="4"/>
        <v>4.2900003388282124E-3</v>
      </c>
    </row>
    <row r="47" spans="1:22">
      <c r="A47" s="135">
        <v>425</v>
      </c>
      <c r="B47" s="665" t="s">
        <v>278</v>
      </c>
      <c r="C47" s="666"/>
      <c r="D47" s="666"/>
      <c r="E47" s="666"/>
      <c r="F47" s="666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8">
        <f t="shared" si="3"/>
        <v>13238899.98</v>
      </c>
      <c r="T47" s="343">
        <f t="shared" si="4"/>
        <v>2.8390587395161621E-3</v>
      </c>
    </row>
    <row r="48" spans="1:22">
      <c r="A48" s="135">
        <v>43</v>
      </c>
      <c r="B48" s="572" t="s">
        <v>286</v>
      </c>
      <c r="C48" s="573"/>
      <c r="D48" s="573"/>
      <c r="E48" s="573"/>
      <c r="F48" s="573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9">
        <f t="shared" si="3"/>
        <v>208726710.33999997</v>
      </c>
      <c r="T48" s="344">
        <f t="shared" si="4"/>
        <v>4.4761074715909697E-2</v>
      </c>
    </row>
    <row r="49" spans="1:22">
      <c r="A49" s="135">
        <v>44</v>
      </c>
      <c r="B49" s="572" t="s">
        <v>320</v>
      </c>
      <c r="C49" s="573"/>
      <c r="D49" s="573"/>
      <c r="E49" s="573"/>
      <c r="F49" s="573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9">
        <f t="shared" si="3"/>
        <v>243362450.18000001</v>
      </c>
      <c r="T49" s="344">
        <f t="shared" si="4"/>
        <v>5.2188648006810875E-2</v>
      </c>
    </row>
    <row r="50" spans="1:22">
      <c r="A50" s="135">
        <v>451</v>
      </c>
      <c r="B50" s="651" t="s">
        <v>113</v>
      </c>
      <c r="C50" s="652"/>
      <c r="D50" s="652"/>
      <c r="E50" s="652"/>
      <c r="F50" s="652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8">
        <f t="shared" si="3"/>
        <v>4596369</v>
      </c>
      <c r="T50" s="343">
        <f t="shared" si="4"/>
        <v>9.8568322135561309E-4</v>
      </c>
    </row>
    <row r="51" spans="1:22">
      <c r="A51" s="135">
        <v>47</v>
      </c>
      <c r="B51" s="576" t="s">
        <v>366</v>
      </c>
      <c r="C51" s="577"/>
      <c r="D51" s="577"/>
      <c r="E51" s="577"/>
      <c r="F51" s="577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8">
        <f t="shared" si="3"/>
        <v>23887500.050000001</v>
      </c>
      <c r="T51" s="343">
        <f t="shared" si="4"/>
        <v>5.1226322341431617E-3</v>
      </c>
      <c r="U51" s="62"/>
    </row>
    <row r="52" spans="1:22" ht="13.5" thickBot="1">
      <c r="A52" s="135">
        <v>462</v>
      </c>
      <c r="B52" s="578" t="s">
        <v>359</v>
      </c>
      <c r="C52" s="579"/>
      <c r="D52" s="579"/>
      <c r="E52" s="579"/>
      <c r="F52" s="579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8">
        <f t="shared" si="3"/>
        <v>0</v>
      </c>
      <c r="T52" s="348">
        <f t="shared" si="4"/>
        <v>0</v>
      </c>
      <c r="U52" s="276"/>
    </row>
    <row r="53" spans="1:22" ht="13.5" thickBot="1">
      <c r="A53" s="129">
        <v>4630</v>
      </c>
      <c r="B53" s="645" t="s">
        <v>794</v>
      </c>
      <c r="C53" s="646"/>
      <c r="D53" s="646"/>
      <c r="E53" s="646"/>
      <c r="F53" s="646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3">
        <f>+SUM(G53:R53)</f>
        <v>23228368.030000001</v>
      </c>
      <c r="T53" s="348">
        <f>+S53/$T$7</f>
        <v>4.9812825355501564E-3</v>
      </c>
    </row>
    <row r="54" spans="1:22" ht="13.5" thickBot="1">
      <c r="A54" s="61">
        <v>1005</v>
      </c>
      <c r="B54" s="647" t="s">
        <v>684</v>
      </c>
      <c r="C54" s="648"/>
      <c r="D54" s="648"/>
      <c r="E54" s="648"/>
      <c r="F54" s="648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4">
        <f>+SUM(G54:R54)</f>
        <v>28097590.27</v>
      </c>
      <c r="T54" s="349">
        <f>+S54/$T$7</f>
        <v>6.0254786527504057E-3</v>
      </c>
    </row>
    <row r="55" spans="1:22" ht="13.5" thickBot="1">
      <c r="A55" s="129">
        <v>1000</v>
      </c>
      <c r="B55" s="580" t="s">
        <v>545</v>
      </c>
      <c r="C55" s="581"/>
      <c r="D55" s="581"/>
      <c r="E55" s="581"/>
      <c r="F55" s="581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5">
        <f t="shared" si="3"/>
        <v>-168900174.51999998</v>
      </c>
      <c r="T55" s="350">
        <f t="shared" si="4"/>
        <v>-3.6220344386710207E-2</v>
      </c>
    </row>
    <row r="56" spans="1:22" ht="13.5" thickBot="1">
      <c r="A56" s="129"/>
      <c r="B56" s="337" t="s">
        <v>803</v>
      </c>
      <c r="C56" s="338"/>
      <c r="D56" s="338"/>
      <c r="E56" s="338"/>
      <c r="F56" s="338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5">
        <f t="shared" si="3"/>
        <v>-196997764.78999999</v>
      </c>
      <c r="T56" s="350">
        <f t="shared" si="4"/>
        <v>-4.2245823039460617E-2</v>
      </c>
    </row>
    <row r="57" spans="1:22" ht="13.5" thickBot="1">
      <c r="A57" s="129">
        <v>1001</v>
      </c>
      <c r="B57" s="582" t="s">
        <v>793</v>
      </c>
      <c r="C57" s="583"/>
      <c r="D57" s="583"/>
      <c r="E57" s="583"/>
      <c r="F57" s="583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5">
        <f t="shared" si="3"/>
        <v>-99400455.299999982</v>
      </c>
      <c r="T57" s="350">
        <f t="shared" si="4"/>
        <v>-2.1316252238303454E-2</v>
      </c>
    </row>
    <row r="58" spans="1:22">
      <c r="A58" s="129">
        <v>46</v>
      </c>
      <c r="B58" s="604" t="s">
        <v>352</v>
      </c>
      <c r="C58" s="605"/>
      <c r="D58" s="605"/>
      <c r="E58" s="605"/>
      <c r="F58" s="605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6">
        <f t="shared" si="3"/>
        <v>696281459.90999997</v>
      </c>
      <c r="T58" s="351">
        <f t="shared" si="4"/>
        <v>0.14931633042827455</v>
      </c>
      <c r="V58" s="290"/>
    </row>
    <row r="59" spans="1:22">
      <c r="A59" s="129">
        <v>4611</v>
      </c>
      <c r="B59" s="600" t="s">
        <v>355</v>
      </c>
      <c r="C59" s="601"/>
      <c r="D59" s="601"/>
      <c r="E59" s="601"/>
      <c r="F59" s="601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7">
        <f t="shared" si="3"/>
        <v>234823593.10000002</v>
      </c>
      <c r="T59" s="352">
        <f t="shared" si="4"/>
        <v>5.0357505173563681E-2</v>
      </c>
    </row>
    <row r="60" spans="1:22" ht="13.5" thickBot="1">
      <c r="A60" s="129">
        <v>4612</v>
      </c>
      <c r="B60" s="576" t="s">
        <v>357</v>
      </c>
      <c r="C60" s="577"/>
      <c r="D60" s="577"/>
      <c r="E60" s="577"/>
      <c r="F60" s="577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7">
        <f t="shared" si="3"/>
        <v>461457866.81</v>
      </c>
      <c r="T60" s="352">
        <f t="shared" si="4"/>
        <v>9.8958825254710892E-2</v>
      </c>
      <c r="V60" s="297"/>
    </row>
    <row r="61" spans="1:22" ht="13.5" thickBot="1">
      <c r="A61" s="129">
        <v>4418</v>
      </c>
      <c r="B61" s="667" t="s">
        <v>336</v>
      </c>
      <c r="C61" s="668"/>
      <c r="D61" s="668"/>
      <c r="E61" s="668"/>
      <c r="F61" s="668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6">
        <f>SUM(G61:R61)</f>
        <v>69245296.659999996</v>
      </c>
      <c r="T61" s="351">
        <f>+S61/$T$7</f>
        <v>1.4849531679365575E-2</v>
      </c>
      <c r="V61" s="297"/>
    </row>
    <row r="62" spans="1:22" ht="13.5" thickBot="1">
      <c r="A62" s="129">
        <v>1002</v>
      </c>
      <c r="B62" s="602" t="s">
        <v>543</v>
      </c>
      <c r="C62" s="603"/>
      <c r="D62" s="603"/>
      <c r="E62" s="603"/>
      <c r="F62" s="603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8">
        <f t="shared" si="3"/>
        <v>-962524521.35999966</v>
      </c>
      <c r="T62" s="353">
        <f t="shared" si="4"/>
        <v>-0.2064116851471007</v>
      </c>
    </row>
    <row r="63" spans="1:22" ht="13.5" thickBot="1">
      <c r="A63" s="129">
        <v>1003</v>
      </c>
      <c r="B63" s="566" t="s">
        <v>544</v>
      </c>
      <c r="C63" s="567"/>
      <c r="D63" s="567"/>
      <c r="E63" s="567"/>
      <c r="F63" s="567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9">
        <f t="shared" si="3"/>
        <v>962524521.35999966</v>
      </c>
      <c r="T63" s="354">
        <f t="shared" si="4"/>
        <v>0.2064116851471007</v>
      </c>
    </row>
    <row r="64" spans="1:22">
      <c r="A64" s="129">
        <v>7511</v>
      </c>
      <c r="B64" s="600" t="s">
        <v>114</v>
      </c>
      <c r="C64" s="601"/>
      <c r="D64" s="601"/>
      <c r="E64" s="601"/>
      <c r="F64" s="601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7">
        <f t="shared" si="3"/>
        <v>213600000</v>
      </c>
      <c r="T64" s="352">
        <f t="shared" si="4"/>
        <v>4.5806143084151631E-2</v>
      </c>
    </row>
    <row r="65" spans="1:20">
      <c r="A65" s="129">
        <v>7512</v>
      </c>
      <c r="B65" s="576" t="s">
        <v>116</v>
      </c>
      <c r="C65" s="577"/>
      <c r="D65" s="577"/>
      <c r="E65" s="577"/>
      <c r="F65" s="577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7">
        <f t="shared" si="3"/>
        <v>909773438.82000017</v>
      </c>
      <c r="T65" s="352">
        <f t="shared" si="4"/>
        <v>0.19509930858028837</v>
      </c>
    </row>
    <row r="66" spans="1:20">
      <c r="A66" s="129">
        <v>72</v>
      </c>
      <c r="B66" s="576" t="s">
        <v>93</v>
      </c>
      <c r="C66" s="577"/>
      <c r="D66" s="577"/>
      <c r="E66" s="577"/>
      <c r="F66" s="577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7">
        <f t="shared" si="3"/>
        <v>15749081.709999999</v>
      </c>
      <c r="T66" s="352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70">
        <f>+SUM(G67:R67)</f>
        <v>-176597999.17000002</v>
      </c>
      <c r="T67" s="355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632" t="s">
        <v>551</v>
      </c>
      <c r="C103" s="633"/>
      <c r="D103" s="633"/>
      <c r="E103" s="633"/>
      <c r="F103" s="633"/>
      <c r="G103" s="640">
        <v>2018</v>
      </c>
      <c r="H103" s="641"/>
      <c r="I103" s="641"/>
      <c r="J103" s="641"/>
      <c r="K103" s="641"/>
      <c r="L103" s="641"/>
      <c r="M103" s="641"/>
      <c r="N103" s="641"/>
      <c r="O103" s="641"/>
      <c r="P103" s="641"/>
      <c r="Q103" s="641"/>
      <c r="R103" s="642"/>
      <c r="S103" s="96" t="str">
        <f>+S7</f>
        <v>BDP</v>
      </c>
      <c r="T103" s="97">
        <f>+T7</f>
        <v>4663130000</v>
      </c>
    </row>
    <row r="104" spans="1:21" ht="15.75" customHeight="1">
      <c r="B104" s="634"/>
      <c r="C104" s="635"/>
      <c r="D104" s="635"/>
      <c r="E104" s="635"/>
      <c r="F104" s="636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640" t="s">
        <v>806</v>
      </c>
      <c r="T104" s="642">
        <f>+T8</f>
        <v>0</v>
      </c>
    </row>
    <row r="105" spans="1:21" ht="13.5" thickBot="1">
      <c r="B105" s="637"/>
      <c r="C105" s="638"/>
      <c r="D105" s="638"/>
      <c r="E105" s="638"/>
      <c r="F105" s="639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655" t="s">
        <v>680</v>
      </c>
      <c r="C106" s="656"/>
      <c r="D106" s="656"/>
      <c r="E106" s="656"/>
      <c r="F106" s="656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1">
        <f>+SUM(G106:R106)</f>
        <v>1757003221.1342125</v>
      </c>
      <c r="T106" s="384">
        <f>+S106/$T$7</f>
        <v>0.37678624038665287</v>
      </c>
    </row>
    <row r="107" spans="1:21">
      <c r="A107" s="105" t="str">
        <f t="shared" si="18"/>
        <v>711p</v>
      </c>
      <c r="B107" s="630" t="s">
        <v>21</v>
      </c>
      <c r="C107" s="631"/>
      <c r="D107" s="631"/>
      <c r="E107" s="631"/>
      <c r="F107" s="631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2">
        <f t="shared" ref="S107:S162" si="21">+SUM(G107:R107)</f>
        <v>1078397189.3971882</v>
      </c>
      <c r="T107" s="385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622" t="s">
        <v>23</v>
      </c>
      <c r="C108" s="623"/>
      <c r="D108" s="623"/>
      <c r="E108" s="623"/>
      <c r="F108" s="623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3">
        <f t="shared" si="21"/>
        <v>121359662.16838756</v>
      </c>
      <c r="T108" s="386">
        <f t="shared" si="22"/>
        <v>2.60253654022915E-2</v>
      </c>
    </row>
    <row r="109" spans="1:21">
      <c r="A109" s="105" t="str">
        <f t="shared" si="18"/>
        <v>7112p</v>
      </c>
      <c r="B109" s="622" t="s">
        <v>25</v>
      </c>
      <c r="C109" s="623"/>
      <c r="D109" s="623"/>
      <c r="E109" s="623"/>
      <c r="F109" s="623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3">
        <f t="shared" si="21"/>
        <v>61678365.370406665</v>
      </c>
      <c r="T109" s="386">
        <f t="shared" si="22"/>
        <v>1.3226816616823178E-2</v>
      </c>
    </row>
    <row r="110" spans="1:21">
      <c r="A110" s="105" t="str">
        <f t="shared" si="18"/>
        <v>7113p</v>
      </c>
      <c r="B110" s="622" t="s">
        <v>27</v>
      </c>
      <c r="C110" s="623"/>
      <c r="D110" s="623"/>
      <c r="E110" s="623"/>
      <c r="F110" s="623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3">
        <f t="shared" si="21"/>
        <v>1854898.1305385595</v>
      </c>
      <c r="T110" s="386">
        <f t="shared" si="22"/>
        <v>3.9777963096430068E-4</v>
      </c>
    </row>
    <row r="111" spans="1:21">
      <c r="A111" s="105" t="str">
        <f t="shared" si="18"/>
        <v>7114p</v>
      </c>
      <c r="B111" s="622" t="s">
        <v>29</v>
      </c>
      <c r="C111" s="623"/>
      <c r="D111" s="623"/>
      <c r="E111" s="623"/>
      <c r="F111" s="623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3">
        <f t="shared" si="21"/>
        <v>624391782.02119482</v>
      </c>
      <c r="T111" s="386">
        <f t="shared" si="22"/>
        <v>0.13389971586063326</v>
      </c>
    </row>
    <row r="112" spans="1:21">
      <c r="A112" s="105" t="str">
        <f t="shared" si="18"/>
        <v>7115p</v>
      </c>
      <c r="B112" s="622" t="s">
        <v>31</v>
      </c>
      <c r="C112" s="623"/>
      <c r="D112" s="623"/>
      <c r="E112" s="623"/>
      <c r="F112" s="623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3">
        <f t="shared" si="21"/>
        <v>232697830.94442701</v>
      </c>
      <c r="T112" s="386">
        <f t="shared" si="22"/>
        <v>4.9901639230393965E-2</v>
      </c>
    </row>
    <row r="113" spans="1:20">
      <c r="A113" s="105" t="str">
        <f t="shared" si="18"/>
        <v>7116p</v>
      </c>
      <c r="B113" s="622" t="s">
        <v>33</v>
      </c>
      <c r="C113" s="623"/>
      <c r="D113" s="623"/>
      <c r="E113" s="623"/>
      <c r="F113" s="623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3">
        <f t="shared" si="21"/>
        <v>26860004.877748117</v>
      </c>
      <c r="T113" s="386">
        <f t="shared" si="22"/>
        <v>5.7600806492094613E-3</v>
      </c>
    </row>
    <row r="114" spans="1:20">
      <c r="A114" s="105" t="str">
        <f t="shared" si="18"/>
        <v>7118p</v>
      </c>
      <c r="B114" s="622" t="s">
        <v>721</v>
      </c>
      <c r="C114" s="623"/>
      <c r="D114" s="623"/>
      <c r="E114" s="623"/>
      <c r="F114" s="623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3">
        <f t="shared" si="21"/>
        <v>9554645.8844855782</v>
      </c>
      <c r="T114" s="386">
        <f t="shared" si="22"/>
        <v>2.0489769499210998E-3</v>
      </c>
    </row>
    <row r="115" spans="1:20">
      <c r="A115" s="105" t="str">
        <f t="shared" si="18"/>
        <v>712p</v>
      </c>
      <c r="B115" s="657" t="s">
        <v>37</v>
      </c>
      <c r="C115" s="658"/>
      <c r="D115" s="658"/>
      <c r="E115" s="658"/>
      <c r="F115" s="658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4">
        <f t="shared" si="21"/>
        <v>522253828.92039472</v>
      </c>
      <c r="T115" s="387">
        <f t="shared" si="22"/>
        <v>0.1119964120495021</v>
      </c>
    </row>
    <row r="116" spans="1:20">
      <c r="A116" s="105" t="str">
        <f t="shared" si="18"/>
        <v>7121p</v>
      </c>
      <c r="B116" s="622" t="s">
        <v>39</v>
      </c>
      <c r="C116" s="623"/>
      <c r="D116" s="623"/>
      <c r="E116" s="623"/>
      <c r="F116" s="623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3">
        <f t="shared" si="21"/>
        <v>314496114.9625507</v>
      </c>
      <c r="T116" s="386">
        <f t="shared" si="22"/>
        <v>6.7443136897867031E-2</v>
      </c>
    </row>
    <row r="117" spans="1:20">
      <c r="A117" s="105" t="str">
        <f t="shared" si="18"/>
        <v>7122p</v>
      </c>
      <c r="B117" s="622" t="s">
        <v>41</v>
      </c>
      <c r="C117" s="623"/>
      <c r="D117" s="623"/>
      <c r="E117" s="623"/>
      <c r="F117" s="623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3">
        <f t="shared" si="21"/>
        <v>180896074.44659218</v>
      </c>
      <c r="T117" s="386">
        <f t="shared" si="22"/>
        <v>3.8792843958155181E-2</v>
      </c>
    </row>
    <row r="118" spans="1:20">
      <c r="A118" s="105" t="str">
        <f t="shared" si="18"/>
        <v>7123p</v>
      </c>
      <c r="B118" s="622" t="s">
        <v>43</v>
      </c>
      <c r="C118" s="623"/>
      <c r="D118" s="623"/>
      <c r="E118" s="623"/>
      <c r="F118" s="623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3">
        <f t="shared" si="21"/>
        <v>14149151.623339836</v>
      </c>
      <c r="T118" s="386">
        <f t="shared" si="22"/>
        <v>3.0342605982118954E-3</v>
      </c>
    </row>
    <row r="119" spans="1:20">
      <c r="A119" s="105" t="str">
        <f t="shared" si="18"/>
        <v>7124p</v>
      </c>
      <c r="B119" s="622" t="s">
        <v>45</v>
      </c>
      <c r="C119" s="623"/>
      <c r="D119" s="623"/>
      <c r="E119" s="623"/>
      <c r="F119" s="623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3">
        <f t="shared" si="21"/>
        <v>12712487.887912013</v>
      </c>
      <c r="T119" s="386">
        <f t="shared" si="22"/>
        <v>2.7261705952679881E-3</v>
      </c>
    </row>
    <row r="120" spans="1:20">
      <c r="A120" s="105" t="str">
        <f t="shared" si="18"/>
        <v>713p</v>
      </c>
      <c r="B120" s="628" t="s">
        <v>47</v>
      </c>
      <c r="C120" s="629"/>
      <c r="D120" s="629"/>
      <c r="E120" s="629"/>
      <c r="F120" s="629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4">
        <f t="shared" si="21"/>
        <v>17700468.388223864</v>
      </c>
      <c r="T120" s="387">
        <f t="shared" si="22"/>
        <v>3.7958342118327958E-3</v>
      </c>
    </row>
    <row r="121" spans="1:20">
      <c r="A121" s="105" t="str">
        <f t="shared" si="18"/>
        <v>714p</v>
      </c>
      <c r="B121" s="628" t="s">
        <v>61</v>
      </c>
      <c r="C121" s="629"/>
      <c r="D121" s="629"/>
      <c r="E121" s="629"/>
      <c r="F121" s="629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4">
        <f t="shared" si="21"/>
        <v>28128126.097135291</v>
      </c>
      <c r="T121" s="387">
        <f t="shared" si="22"/>
        <v>6.0320270069964361E-3</v>
      </c>
    </row>
    <row r="122" spans="1:20">
      <c r="A122" s="105" t="str">
        <f t="shared" si="18"/>
        <v>715p</v>
      </c>
      <c r="B122" s="628" t="s">
        <v>81</v>
      </c>
      <c r="C122" s="629"/>
      <c r="D122" s="629"/>
      <c r="E122" s="629"/>
      <c r="F122" s="629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4">
        <f t="shared" si="21"/>
        <v>71732904.669780642</v>
      </c>
      <c r="T122" s="387">
        <f t="shared" si="22"/>
        <v>1.5382994827461522E-2</v>
      </c>
    </row>
    <row r="123" spans="1:20">
      <c r="A123" s="105" t="str">
        <f t="shared" si="18"/>
        <v>73p</v>
      </c>
      <c r="B123" s="628" t="s">
        <v>99</v>
      </c>
      <c r="C123" s="629"/>
      <c r="D123" s="629"/>
      <c r="E123" s="629"/>
      <c r="F123" s="629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4">
        <f t="shared" si="21"/>
        <v>7262314.2406375092</v>
      </c>
      <c r="T123" s="387">
        <f t="shared" si="22"/>
        <v>1.5573904739171992E-3</v>
      </c>
    </row>
    <row r="124" spans="1:20" ht="13.5" thickBot="1">
      <c r="A124" s="105" t="str">
        <f t="shared" si="18"/>
        <v>74p</v>
      </c>
      <c r="B124" s="624" t="s">
        <v>105</v>
      </c>
      <c r="C124" s="625"/>
      <c r="D124" s="625"/>
      <c r="E124" s="625"/>
      <c r="F124" s="625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5">
        <f t="shared" si="21"/>
        <v>31528389.420852099</v>
      </c>
      <c r="T124" s="388">
        <f t="shared" si="22"/>
        <v>6.7612074767060106E-3</v>
      </c>
    </row>
    <row r="125" spans="1:20" ht="13.5" thickBot="1">
      <c r="A125" s="105" t="str">
        <f t="shared" si="18"/>
        <v>4p</v>
      </c>
      <c r="B125" s="606" t="s">
        <v>808</v>
      </c>
      <c r="C125" s="607"/>
      <c r="D125" s="607"/>
      <c r="E125" s="607"/>
      <c r="F125" s="607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6">
        <f>+SUM(G125:R125)</f>
        <v>1899843074.6966665</v>
      </c>
      <c r="T125" s="389">
        <f t="shared" si="22"/>
        <v>0.40741799492972885</v>
      </c>
    </row>
    <row r="126" spans="1:20" ht="13.5" thickBot="1">
      <c r="A126" s="105" t="str">
        <f t="shared" si="18"/>
        <v>40p</v>
      </c>
      <c r="B126" s="661" t="s">
        <v>773</v>
      </c>
      <c r="C126" s="662"/>
      <c r="D126" s="662"/>
      <c r="E126" s="662"/>
      <c r="F126" s="662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7">
        <f t="shared" si="21"/>
        <v>1610768074.6999998</v>
      </c>
      <c r="T126" s="390">
        <f t="shared" si="22"/>
        <v>0.34542637127851888</v>
      </c>
    </row>
    <row r="127" spans="1:20">
      <c r="A127" s="105" t="str">
        <f t="shared" si="18"/>
        <v>41p</v>
      </c>
      <c r="B127" s="626" t="s">
        <v>120</v>
      </c>
      <c r="C127" s="627"/>
      <c r="D127" s="627"/>
      <c r="E127" s="627"/>
      <c r="F127" s="627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2">
        <f t="shared" si="21"/>
        <v>812630572.90999997</v>
      </c>
      <c r="T127" s="385">
        <f t="shared" si="22"/>
        <v>0.17426719240295679</v>
      </c>
    </row>
    <row r="128" spans="1:20">
      <c r="A128" s="105" t="str">
        <f t="shared" si="18"/>
        <v>411p</v>
      </c>
      <c r="B128" s="622" t="s">
        <v>122</v>
      </c>
      <c r="C128" s="623"/>
      <c r="D128" s="623"/>
      <c r="E128" s="623"/>
      <c r="F128" s="623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3">
        <f t="shared" si="21"/>
        <v>461973796.46999985</v>
      </c>
      <c r="T128" s="386">
        <f t="shared" si="22"/>
        <v>9.9069465459894937E-2</v>
      </c>
    </row>
    <row r="129" spans="1:20">
      <c r="A129" s="105" t="str">
        <f t="shared" si="18"/>
        <v>412p</v>
      </c>
      <c r="B129" s="622" t="s">
        <v>133</v>
      </c>
      <c r="C129" s="623"/>
      <c r="D129" s="623"/>
      <c r="E129" s="623"/>
      <c r="F129" s="623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3">
        <f t="shared" si="21"/>
        <v>13262623.179999996</v>
      </c>
      <c r="T129" s="386">
        <f t="shared" si="22"/>
        <v>2.8441461378945036E-3</v>
      </c>
    </row>
    <row r="130" spans="1:20">
      <c r="A130" s="105" t="str">
        <f t="shared" si="18"/>
        <v>413p</v>
      </c>
      <c r="B130" s="622" t="s">
        <v>148</v>
      </c>
      <c r="C130" s="623"/>
      <c r="D130" s="623"/>
      <c r="E130" s="623"/>
      <c r="F130" s="623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3">
        <f t="shared" si="21"/>
        <v>39682213.5</v>
      </c>
      <c r="T130" s="386">
        <f t="shared" si="22"/>
        <v>8.5097806623448194E-3</v>
      </c>
    </row>
    <row r="131" spans="1:20">
      <c r="A131" s="105" t="str">
        <f t="shared" si="18"/>
        <v>414p</v>
      </c>
      <c r="B131" s="622" t="s">
        <v>162</v>
      </c>
      <c r="C131" s="623"/>
      <c r="D131" s="623"/>
      <c r="E131" s="623"/>
      <c r="F131" s="623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3">
        <f t="shared" si="21"/>
        <v>58741932.939999998</v>
      </c>
      <c r="T131" s="386">
        <f t="shared" si="22"/>
        <v>1.2597103863713857E-2</v>
      </c>
    </row>
    <row r="132" spans="1:20">
      <c r="A132" s="105" t="str">
        <f t="shared" si="18"/>
        <v>415p</v>
      </c>
      <c r="B132" s="622" t="s">
        <v>182</v>
      </c>
      <c r="C132" s="623"/>
      <c r="D132" s="623"/>
      <c r="E132" s="623"/>
      <c r="F132" s="623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3">
        <f t="shared" si="21"/>
        <v>22285486.810000002</v>
      </c>
      <c r="T132" s="386">
        <f t="shared" si="22"/>
        <v>4.7790833217173879E-3</v>
      </c>
    </row>
    <row r="133" spans="1:20">
      <c r="A133" s="105" t="str">
        <f t="shared" si="18"/>
        <v>416p</v>
      </c>
      <c r="B133" s="622" t="s">
        <v>190</v>
      </c>
      <c r="C133" s="623"/>
      <c r="D133" s="623"/>
      <c r="E133" s="623"/>
      <c r="F133" s="623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3">
        <f t="shared" si="21"/>
        <v>87442700</v>
      </c>
      <c r="T133" s="386">
        <f t="shared" si="22"/>
        <v>1.8751932714721656E-2</v>
      </c>
    </row>
    <row r="134" spans="1:20">
      <c r="A134" s="105" t="str">
        <f t="shared" si="18"/>
        <v>417p</v>
      </c>
      <c r="B134" s="622" t="s">
        <v>196</v>
      </c>
      <c r="C134" s="623"/>
      <c r="D134" s="623"/>
      <c r="E134" s="623"/>
      <c r="F134" s="623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3">
        <f t="shared" si="21"/>
        <v>10344524.66</v>
      </c>
      <c r="T134" s="386">
        <f t="shared" si="22"/>
        <v>2.2183650595201079E-3</v>
      </c>
    </row>
    <row r="135" spans="1:20">
      <c r="A135" s="105" t="str">
        <f t="shared" si="18"/>
        <v>418p</v>
      </c>
      <c r="B135" s="622" t="s">
        <v>204</v>
      </c>
      <c r="C135" s="623"/>
      <c r="D135" s="623"/>
      <c r="E135" s="623"/>
      <c r="F135" s="623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3">
        <f t="shared" si="21"/>
        <v>26731800.000000011</v>
      </c>
      <c r="T135" s="386">
        <f t="shared" si="22"/>
        <v>5.7325873394050804E-3</v>
      </c>
    </row>
    <row r="136" spans="1:20">
      <c r="A136" s="105" t="str">
        <f t="shared" si="18"/>
        <v>419p</v>
      </c>
      <c r="B136" s="622" t="s">
        <v>212</v>
      </c>
      <c r="C136" s="623"/>
      <c r="D136" s="623"/>
      <c r="E136" s="623"/>
      <c r="F136" s="623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3">
        <f t="shared" si="21"/>
        <v>39317929.93</v>
      </c>
      <c r="T136" s="386">
        <f t="shared" si="22"/>
        <v>8.4316606935684827E-3</v>
      </c>
    </row>
    <row r="137" spans="1:20">
      <c r="A137" s="105" t="str">
        <f t="shared" si="18"/>
        <v>440p</v>
      </c>
      <c r="B137" s="622" t="s">
        <v>802</v>
      </c>
      <c r="C137" s="623"/>
      <c r="D137" s="623"/>
      <c r="E137" s="623"/>
      <c r="F137" s="623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3">
        <f t="shared" si="21"/>
        <v>52847565.419999987</v>
      </c>
      <c r="T137" s="386">
        <f t="shared" si="22"/>
        <v>1.1333067150175952E-2</v>
      </c>
    </row>
    <row r="138" spans="1:20">
      <c r="A138" s="105" t="str">
        <f t="shared" si="18"/>
        <v>42p</v>
      </c>
      <c r="B138" s="618" t="s">
        <v>230</v>
      </c>
      <c r="C138" s="619"/>
      <c r="D138" s="619"/>
      <c r="E138" s="619"/>
      <c r="F138" s="619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4">
        <f t="shared" si="21"/>
        <v>558932773.86000013</v>
      </c>
      <c r="T138" s="387">
        <f t="shared" si="22"/>
        <v>0.11986214706859988</v>
      </c>
    </row>
    <row r="139" spans="1:20">
      <c r="A139" s="105" t="str">
        <f t="shared" si="18"/>
        <v>421p</v>
      </c>
      <c r="B139" s="622" t="s">
        <v>232</v>
      </c>
      <c r="C139" s="623"/>
      <c r="D139" s="623"/>
      <c r="E139" s="623"/>
      <c r="F139" s="623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3">
        <f t="shared" si="21"/>
        <v>82786083.909999996</v>
      </c>
      <c r="T139" s="386">
        <f t="shared" si="22"/>
        <v>1.7753329611226793E-2</v>
      </c>
    </row>
    <row r="140" spans="1:20">
      <c r="A140" s="105" t="str">
        <f t="shared" si="18"/>
        <v>422p</v>
      </c>
      <c r="B140" s="622" t="s">
        <v>248</v>
      </c>
      <c r="C140" s="623"/>
      <c r="D140" s="623"/>
      <c r="E140" s="623"/>
      <c r="F140" s="623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3">
        <f t="shared" si="21"/>
        <v>17298799.519999992</v>
      </c>
      <c r="T140" s="386">
        <f t="shared" si="22"/>
        <v>3.7096970318219718E-3</v>
      </c>
    </row>
    <row r="141" spans="1:20">
      <c r="A141" s="105" t="str">
        <f t="shared" si="18"/>
        <v>423p</v>
      </c>
      <c r="B141" s="622" t="s">
        <v>259</v>
      </c>
      <c r="C141" s="623"/>
      <c r="D141" s="623"/>
      <c r="E141" s="623"/>
      <c r="F141" s="623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3">
        <f t="shared" si="21"/>
        <v>425672790.43000013</v>
      </c>
      <c r="T141" s="386">
        <f t="shared" si="22"/>
        <v>9.1284778770911415E-2</v>
      </c>
    </row>
    <row r="142" spans="1:20">
      <c r="A142" s="105" t="str">
        <f t="shared" si="18"/>
        <v>424p</v>
      </c>
      <c r="B142" s="622" t="s">
        <v>274</v>
      </c>
      <c r="C142" s="623"/>
      <c r="D142" s="623"/>
      <c r="E142" s="623"/>
      <c r="F142" s="623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3">
        <f t="shared" si="21"/>
        <v>19000099.999999996</v>
      </c>
      <c r="T142" s="386">
        <f t="shared" si="22"/>
        <v>4.0745379176647433E-3</v>
      </c>
    </row>
    <row r="143" spans="1:20">
      <c r="A143" s="105" t="str">
        <f t="shared" si="18"/>
        <v>425p</v>
      </c>
      <c r="B143" s="622" t="s">
        <v>278</v>
      </c>
      <c r="C143" s="623"/>
      <c r="D143" s="623"/>
      <c r="E143" s="623"/>
      <c r="F143" s="623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3">
        <f t="shared" si="21"/>
        <v>14175000.000000002</v>
      </c>
      <c r="T143" s="386">
        <f t="shared" si="22"/>
        <v>3.0398037369749509E-3</v>
      </c>
    </row>
    <row r="144" spans="1:20">
      <c r="A144" s="105" t="str">
        <f t="shared" si="18"/>
        <v>43p</v>
      </c>
      <c r="B144" s="620" t="s">
        <v>286</v>
      </c>
      <c r="C144" s="621"/>
      <c r="D144" s="621"/>
      <c r="E144" s="621"/>
      <c r="F144" s="621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4">
        <f>+SUM(G144:R144)</f>
        <v>206684238.69</v>
      </c>
      <c r="T144" s="387">
        <f t="shared" si="22"/>
        <v>4.4323070274686745E-2</v>
      </c>
    </row>
    <row r="145" spans="1:20">
      <c r="A145" s="105" t="str">
        <f t="shared" si="18"/>
        <v>44p</v>
      </c>
      <c r="B145" s="620" t="s">
        <v>809</v>
      </c>
      <c r="C145" s="621"/>
      <c r="D145" s="621"/>
      <c r="E145" s="621"/>
      <c r="F145" s="621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4">
        <f t="shared" si="21"/>
        <v>289074999.99666673</v>
      </c>
      <c r="T145" s="387">
        <f t="shared" si="22"/>
        <v>6.1991623651209964E-2</v>
      </c>
    </row>
    <row r="146" spans="1:20">
      <c r="A146" s="105" t="str">
        <f t="shared" si="18"/>
        <v>451p</v>
      </c>
      <c r="B146" s="612" t="s">
        <v>113</v>
      </c>
      <c r="C146" s="613"/>
      <c r="D146" s="613"/>
      <c r="E146" s="613"/>
      <c r="F146" s="613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3">
        <f t="shared" si="21"/>
        <v>2875000.9999999995</v>
      </c>
      <c r="T146" s="386">
        <f t="shared" si="22"/>
        <v>6.1653889125973314E-4</v>
      </c>
    </row>
    <row r="147" spans="1:20">
      <c r="A147" s="105" t="str">
        <f t="shared" si="18"/>
        <v>47p</v>
      </c>
      <c r="B147" s="612" t="s">
        <v>366</v>
      </c>
      <c r="C147" s="613"/>
      <c r="D147" s="613"/>
      <c r="E147" s="613"/>
      <c r="F147" s="613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3">
        <f t="shared" si="21"/>
        <v>29645488.240000002</v>
      </c>
      <c r="T147" s="386">
        <f t="shared" si="22"/>
        <v>6.3574226410157992E-3</v>
      </c>
    </row>
    <row r="148" spans="1:20">
      <c r="A148" s="105" t="str">
        <f t="shared" si="18"/>
        <v>462p</v>
      </c>
      <c r="B148" s="612" t="s">
        <v>359</v>
      </c>
      <c r="C148" s="613"/>
      <c r="D148" s="613"/>
      <c r="E148" s="613"/>
      <c r="F148" s="613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3">
        <f t="shared" si="21"/>
        <v>0</v>
      </c>
      <c r="T148" s="386">
        <f t="shared" si="22"/>
        <v>0</v>
      </c>
    </row>
    <row r="149" spans="1:20" ht="13.5" thickBot="1">
      <c r="A149" s="105"/>
      <c r="B149" s="339" t="s">
        <v>685</v>
      </c>
      <c r="C149" s="340"/>
      <c r="D149" s="340"/>
      <c r="E149" s="340"/>
      <c r="F149" s="340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4">
        <f>SUM(G149:R149)</f>
        <v>0</v>
      </c>
      <c r="T149" s="349">
        <f t="shared" si="22"/>
        <v>0</v>
      </c>
    </row>
    <row r="150" spans="1:20" ht="13.5" thickBot="1">
      <c r="A150" s="106" t="str">
        <f>+CONCATENATE(A55,"p")</f>
        <v>1000p</v>
      </c>
      <c r="B150" s="614" t="s">
        <v>545</v>
      </c>
      <c r="C150" s="615"/>
      <c r="D150" s="615"/>
      <c r="E150" s="615"/>
      <c r="F150" s="615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9">
        <f t="shared" si="21"/>
        <v>-142839853.56245428</v>
      </c>
      <c r="T150" s="392">
        <f t="shared" si="22"/>
        <v>-3.0631754543076064E-2</v>
      </c>
    </row>
    <row r="151" spans="1:20" ht="13.5" thickBot="1">
      <c r="A151" s="106" t="str">
        <f>+CONCATENATE(A57,"p")</f>
        <v>1001p</v>
      </c>
      <c r="B151" s="616" t="s">
        <v>810</v>
      </c>
      <c r="C151" s="617"/>
      <c r="D151" s="617"/>
      <c r="E151" s="617"/>
      <c r="F151" s="617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9">
        <f t="shared" si="21"/>
        <v>-55397153.562454268</v>
      </c>
      <c r="T151" s="392">
        <f t="shared" si="22"/>
        <v>-1.1879821828354403E-2</v>
      </c>
    </row>
    <row r="152" spans="1:20">
      <c r="A152" s="106" t="str">
        <f>+CONCATENATE(A58,"p")</f>
        <v>46p</v>
      </c>
      <c r="B152" s="618" t="s">
        <v>352</v>
      </c>
      <c r="C152" s="619"/>
      <c r="D152" s="619"/>
      <c r="E152" s="619"/>
      <c r="F152" s="619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80">
        <f t="shared" si="21"/>
        <v>542432774.80999994</v>
      </c>
      <c r="T152" s="393">
        <f t="shared" si="22"/>
        <v>0.11632375138801619</v>
      </c>
    </row>
    <row r="153" spans="1:20">
      <c r="A153" s="106" t="str">
        <f>+CONCATENATE(A59,"p")</f>
        <v>4611p</v>
      </c>
      <c r="B153" s="610" t="s">
        <v>355</v>
      </c>
      <c r="C153" s="611"/>
      <c r="D153" s="611"/>
      <c r="E153" s="611"/>
      <c r="F153" s="611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8">
        <f t="shared" si="21"/>
        <v>50688279.809999995</v>
      </c>
      <c r="T153" s="391">
        <f t="shared" si="22"/>
        <v>1.0870012161359429E-2</v>
      </c>
    </row>
    <row r="154" spans="1:20">
      <c r="A154" s="106" t="str">
        <f>+CONCATENATE(A60,"p")</f>
        <v>4612p</v>
      </c>
      <c r="B154" s="612" t="s">
        <v>357</v>
      </c>
      <c r="C154" s="613"/>
      <c r="D154" s="613"/>
      <c r="E154" s="613"/>
      <c r="F154" s="613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8">
        <f t="shared" si="21"/>
        <v>461500000</v>
      </c>
      <c r="T154" s="391">
        <f t="shared" si="22"/>
        <v>9.8967860642958705E-2</v>
      </c>
    </row>
    <row r="155" spans="1:20">
      <c r="A155" s="106" t="str">
        <f>+CONCATENATE(A53,"p")</f>
        <v>4630p</v>
      </c>
      <c r="B155" s="612" t="s">
        <v>365</v>
      </c>
      <c r="C155" s="613"/>
      <c r="D155" s="613"/>
      <c r="E155" s="613"/>
      <c r="F155" s="613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8">
        <f t="shared" si="21"/>
        <v>30244495.000000015</v>
      </c>
      <c r="T155" s="391">
        <f t="shared" si="22"/>
        <v>6.4858785836980773E-3</v>
      </c>
    </row>
    <row r="156" spans="1:20" ht="13.5" thickBot="1">
      <c r="A156" s="106"/>
      <c r="B156" s="339" t="s">
        <v>769</v>
      </c>
      <c r="C156" s="340"/>
      <c r="D156" s="340"/>
      <c r="E156" s="340"/>
      <c r="F156" s="340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8">
        <f t="shared" si="21"/>
        <v>70000000</v>
      </c>
      <c r="T156" s="391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608" t="s">
        <v>543</v>
      </c>
      <c r="C157" s="609"/>
      <c r="D157" s="609"/>
      <c r="E157" s="609"/>
      <c r="F157" s="609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1">
        <f t="shared" si="21"/>
        <v>-755272628.37245417</v>
      </c>
      <c r="T157" s="394">
        <f t="shared" si="22"/>
        <v>-0.16196688240998089</v>
      </c>
    </row>
    <row r="158" spans="1:20" ht="13.5" thickBot="1">
      <c r="A158" s="106" t="str">
        <f t="shared" si="31"/>
        <v>1003p</v>
      </c>
      <c r="B158" s="606" t="s">
        <v>544</v>
      </c>
      <c r="C158" s="607"/>
      <c r="D158" s="607"/>
      <c r="E158" s="607"/>
      <c r="F158" s="607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2">
        <f t="shared" si="21"/>
        <v>755272628.37245417</v>
      </c>
      <c r="T158" s="395">
        <f t="shared" si="22"/>
        <v>0.16196688240998089</v>
      </c>
    </row>
    <row r="159" spans="1:20">
      <c r="A159" s="106" t="str">
        <f t="shared" si="31"/>
        <v>7511p</v>
      </c>
      <c r="B159" s="610" t="s">
        <v>114</v>
      </c>
      <c r="C159" s="611"/>
      <c r="D159" s="611"/>
      <c r="E159" s="611"/>
      <c r="F159" s="611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8">
        <f t="shared" si="21"/>
        <v>0</v>
      </c>
      <c r="T159" s="391">
        <f t="shared" si="22"/>
        <v>0</v>
      </c>
    </row>
    <row r="160" spans="1:20">
      <c r="A160" s="106" t="str">
        <f t="shared" si="31"/>
        <v>7512p</v>
      </c>
      <c r="B160" s="612" t="s">
        <v>116</v>
      </c>
      <c r="C160" s="613"/>
      <c r="D160" s="613"/>
      <c r="E160" s="613"/>
      <c r="F160" s="613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8">
        <f t="shared" si="21"/>
        <v>739264348.56578732</v>
      </c>
      <c r="T160" s="391">
        <f t="shared" si="22"/>
        <v>0.15853393505344851</v>
      </c>
    </row>
    <row r="161" spans="1:20">
      <c r="A161" s="106" t="str">
        <f t="shared" si="31"/>
        <v>72p</v>
      </c>
      <c r="B161" s="612" t="s">
        <v>93</v>
      </c>
      <c r="C161" s="613"/>
      <c r="D161" s="613"/>
      <c r="E161" s="613"/>
      <c r="F161" s="613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8">
        <f t="shared" si="21"/>
        <v>16000000</v>
      </c>
      <c r="T161" s="391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3">
        <f t="shared" si="21"/>
        <v>8279.8066668957472</v>
      </c>
      <c r="T162" s="396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63" customWidth="1"/>
    <col min="2" max="2" width="2.7109375" style="63" bestFit="1" customWidth="1"/>
    <col min="3" max="3" width="3.5703125" style="63" bestFit="1" customWidth="1"/>
    <col min="4" max="4" width="5.7109375" style="63" bestFit="1" customWidth="1"/>
    <col min="5" max="5" width="30.5703125" style="66" customWidth="1"/>
    <col min="6" max="124" width="14.28515625" style="35" hidden="1" customWidth="1"/>
    <col min="125" max="125" width="19.7109375" style="35" hidden="1" customWidth="1"/>
    <col min="126" max="131" width="12.7109375" style="258" hidden="1" customWidth="1"/>
    <col min="132" max="132" width="14" style="258" hidden="1" customWidth="1"/>
    <col min="133" max="134" width="12.7109375" style="258" hidden="1" customWidth="1"/>
    <col min="135" max="135" width="15.28515625" style="258" hidden="1" customWidth="1"/>
    <col min="136" max="136" width="11.5703125" style="258" hidden="1" customWidth="1"/>
    <col min="137" max="137" width="14" style="258" hidden="1" customWidth="1"/>
    <col min="138" max="138" width="14" style="35" hidden="1" customWidth="1"/>
    <col min="139" max="148" width="13.7109375" style="35" hidden="1" customWidth="1"/>
    <col min="149" max="149" width="13.5703125" style="35" hidden="1" customWidth="1"/>
    <col min="150" max="150" width="14" style="35" hidden="1" customWidth="1"/>
    <col min="151" max="151" width="14.28515625" style="35" hidden="1" customWidth="1"/>
    <col min="152" max="152" width="13.42578125" style="35" hidden="1" customWidth="1"/>
    <col min="153" max="153" width="13.85546875" style="35" hidden="1" customWidth="1"/>
    <col min="154" max="154" width="13.5703125" style="35" hidden="1" customWidth="1"/>
    <col min="155" max="155" width="12.7109375" style="35" hidden="1" customWidth="1"/>
    <col min="156" max="158" width="13.7109375" style="35" hidden="1" customWidth="1"/>
    <col min="159" max="159" width="12.85546875" style="35" hidden="1" customWidth="1"/>
    <col min="160" max="161" width="12.7109375" style="35" hidden="1" customWidth="1"/>
    <col min="162" max="162" width="13.85546875" style="35" hidden="1" customWidth="1"/>
    <col min="163" max="163" width="11.140625" style="35" hidden="1" customWidth="1"/>
    <col min="164" max="164" width="13.85546875" style="35" hidden="1" customWidth="1"/>
    <col min="165" max="165" width="12.7109375" style="35" hidden="1" customWidth="1"/>
    <col min="166" max="166" width="13.85546875" style="35" hidden="1" customWidth="1"/>
    <col min="167" max="173" width="12.7109375" style="35" hidden="1" customWidth="1"/>
    <col min="174" max="174" width="12.85546875" style="35" customWidth="1"/>
    <col min="175" max="175" width="13.85546875" style="35" customWidth="1"/>
    <col min="176" max="176" width="14" style="35" customWidth="1"/>
    <col min="177" max="177" width="13.85546875" style="35" customWidth="1"/>
    <col min="178" max="178" width="13.85546875" style="35" bestFit="1" customWidth="1"/>
    <col min="179" max="179" width="12.85546875" style="35" customWidth="1"/>
    <col min="180" max="183" width="13.85546875" style="35" customWidth="1"/>
    <col min="184" max="184" width="12.85546875" style="35" customWidth="1"/>
    <col min="185" max="185" width="13.85546875" style="35" customWidth="1"/>
    <col min="186" max="186" width="3.42578125" style="35" customWidth="1"/>
    <col min="187" max="187" width="15.42578125" style="284" bestFit="1" customWidth="1"/>
    <col min="188" max="16384" width="9.14062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72" t="s">
        <v>554</v>
      </c>
      <c r="F6" s="670">
        <v>2006</v>
      </c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71"/>
      <c r="R6" s="670">
        <v>2007</v>
      </c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71"/>
      <c r="AD6" s="670">
        <v>2008</v>
      </c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71"/>
      <c r="AP6" s="670">
        <v>2009</v>
      </c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71"/>
      <c r="BB6" s="670">
        <v>2010</v>
      </c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71"/>
      <c r="BN6" s="670">
        <v>2011</v>
      </c>
      <c r="BO6" s="669"/>
      <c r="BP6" s="669"/>
      <c r="BQ6" s="669"/>
      <c r="BR6" s="669"/>
      <c r="BS6" s="669"/>
      <c r="BT6" s="669"/>
      <c r="BU6" s="669"/>
      <c r="BV6" s="669"/>
      <c r="BW6" s="669"/>
      <c r="BX6" s="669"/>
      <c r="BY6" s="671"/>
      <c r="BZ6" s="669">
        <v>2012</v>
      </c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70">
        <v>2013</v>
      </c>
      <c r="CM6" s="669"/>
      <c r="CN6" s="669"/>
      <c r="CO6" s="669"/>
      <c r="CP6" s="669"/>
      <c r="CQ6" s="669"/>
      <c r="CR6" s="669"/>
      <c r="CS6" s="669"/>
      <c r="CT6" s="669"/>
      <c r="CU6" s="669"/>
      <c r="CV6" s="669"/>
      <c r="CW6" s="671"/>
      <c r="CX6" s="670">
        <v>2014</v>
      </c>
      <c r="CY6" s="669"/>
      <c r="CZ6" s="669"/>
      <c r="DA6" s="669"/>
      <c r="DB6" s="669"/>
      <c r="DC6" s="669"/>
      <c r="DD6" s="669"/>
      <c r="DE6" s="669"/>
      <c r="DF6" s="669"/>
      <c r="DG6" s="669"/>
      <c r="DH6" s="669"/>
      <c r="DI6" s="671"/>
      <c r="DJ6" s="670">
        <v>2015</v>
      </c>
      <c r="DK6" s="669"/>
      <c r="DL6" s="669"/>
      <c r="DM6" s="669"/>
      <c r="DN6" s="669"/>
      <c r="DO6" s="669"/>
      <c r="DP6" s="669"/>
      <c r="DQ6" s="669"/>
      <c r="DR6" s="669"/>
      <c r="DS6" s="669"/>
      <c r="DT6" s="669"/>
      <c r="DU6" s="671"/>
    </row>
    <row r="7" spans="1:321">
      <c r="E7" s="672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30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30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30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30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30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30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30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30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30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30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30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30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30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30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30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30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 ht="30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30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30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30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30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30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30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30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30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45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 ht="30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30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 ht="30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 ht="30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30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30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30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30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30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30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30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30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30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30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30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30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 ht="30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30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30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30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30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45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30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30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30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72" t="s">
        <v>675</v>
      </c>
      <c r="F214" s="670">
        <v>2006</v>
      </c>
      <c r="G214" s="669"/>
      <c r="H214" s="669"/>
      <c r="I214" s="669"/>
      <c r="J214" s="669"/>
      <c r="K214" s="669"/>
      <c r="L214" s="669"/>
      <c r="M214" s="669"/>
      <c r="N214" s="669"/>
      <c r="O214" s="669"/>
      <c r="P214" s="669"/>
      <c r="Q214" s="671"/>
      <c r="R214" s="670">
        <v>2007</v>
      </c>
      <c r="S214" s="669"/>
      <c r="T214" s="669"/>
      <c r="U214" s="669"/>
      <c r="V214" s="669"/>
      <c r="W214" s="669"/>
      <c r="X214" s="669"/>
      <c r="Y214" s="669"/>
      <c r="Z214" s="669"/>
      <c r="AA214" s="669"/>
      <c r="AB214" s="669"/>
      <c r="AC214" s="671"/>
      <c r="AD214" s="670">
        <v>2008</v>
      </c>
      <c r="AE214" s="669"/>
      <c r="AF214" s="669"/>
      <c r="AG214" s="669"/>
      <c r="AH214" s="669"/>
      <c r="AI214" s="669"/>
      <c r="AJ214" s="669"/>
      <c r="AK214" s="669"/>
      <c r="AL214" s="669"/>
      <c r="AM214" s="669"/>
      <c r="AN214" s="669"/>
      <c r="AO214" s="671"/>
      <c r="AP214" s="670">
        <v>2009</v>
      </c>
      <c r="AQ214" s="669"/>
      <c r="AR214" s="669"/>
      <c r="AS214" s="669"/>
      <c r="AT214" s="669"/>
      <c r="AU214" s="669"/>
      <c r="AV214" s="669"/>
      <c r="AW214" s="669"/>
      <c r="AX214" s="669"/>
      <c r="AY214" s="669"/>
      <c r="AZ214" s="669"/>
      <c r="BA214" s="671"/>
      <c r="BB214" s="670">
        <v>2010</v>
      </c>
      <c r="BC214" s="669"/>
      <c r="BD214" s="669"/>
      <c r="BE214" s="669"/>
      <c r="BF214" s="669"/>
      <c r="BG214" s="669"/>
      <c r="BH214" s="669"/>
      <c r="BI214" s="669"/>
      <c r="BJ214" s="669"/>
      <c r="BK214" s="669"/>
      <c r="BL214" s="669"/>
      <c r="BM214" s="671"/>
      <c r="BN214" s="670">
        <v>2011</v>
      </c>
      <c r="BO214" s="669"/>
      <c r="BP214" s="669"/>
      <c r="BQ214" s="669"/>
      <c r="BR214" s="669"/>
      <c r="BS214" s="669"/>
      <c r="BT214" s="669"/>
      <c r="BU214" s="669"/>
      <c r="BV214" s="669"/>
      <c r="BW214" s="669"/>
      <c r="BX214" s="669"/>
      <c r="BY214" s="671"/>
      <c r="BZ214" s="669">
        <v>2012</v>
      </c>
      <c r="CA214" s="669"/>
      <c r="CB214" s="669"/>
      <c r="CC214" s="669"/>
      <c r="CD214" s="669"/>
      <c r="CE214" s="669"/>
      <c r="CF214" s="669"/>
      <c r="CG214" s="669"/>
      <c r="CH214" s="669"/>
      <c r="CI214" s="669"/>
      <c r="CJ214" s="669"/>
      <c r="CK214" s="669"/>
      <c r="CL214" s="670">
        <v>2013</v>
      </c>
      <c r="CM214" s="669"/>
      <c r="CN214" s="669"/>
      <c r="CO214" s="669"/>
      <c r="CP214" s="669"/>
      <c r="CQ214" s="669"/>
      <c r="CR214" s="669"/>
      <c r="CS214" s="669"/>
      <c r="CT214" s="669"/>
      <c r="CU214" s="669"/>
      <c r="CV214" s="669"/>
      <c r="CW214" s="671"/>
      <c r="CX214" s="670">
        <v>2014</v>
      </c>
      <c r="CY214" s="669"/>
      <c r="CZ214" s="669"/>
      <c r="DA214" s="669"/>
      <c r="DB214" s="669"/>
      <c r="DC214" s="669"/>
      <c r="DD214" s="669"/>
      <c r="DE214" s="669"/>
      <c r="DF214" s="669"/>
      <c r="DG214" s="669"/>
      <c r="DH214" s="669"/>
      <c r="DI214" s="671"/>
      <c r="DJ214" s="670">
        <v>2015</v>
      </c>
      <c r="DK214" s="669"/>
      <c r="DL214" s="669"/>
      <c r="DM214" s="669"/>
      <c r="DN214" s="669"/>
      <c r="DO214" s="669"/>
      <c r="DP214" s="669"/>
      <c r="DQ214" s="669"/>
      <c r="DR214" s="669"/>
      <c r="DS214" s="669"/>
      <c r="DT214" s="669"/>
      <c r="DU214" s="671"/>
    </row>
    <row r="215" spans="1:187">
      <c r="E215" s="672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5">
        <f>SUM(FR219:FR226)</f>
        <v>73320205.209999993</v>
      </c>
      <c r="FS218" s="405">
        <f t="shared" ref="FS218:FW218" si="24">SUM(FS219:FS226)</f>
        <v>69683087.399999991</v>
      </c>
      <c r="FT218" s="405">
        <f t="shared" si="24"/>
        <v>105613736.66000001</v>
      </c>
      <c r="FU218" s="405">
        <f t="shared" si="24"/>
        <v>83521974.920000002</v>
      </c>
      <c r="FV218" s="405">
        <f t="shared" si="24"/>
        <v>69752758.120000005</v>
      </c>
      <c r="FW218" s="405">
        <f t="shared" si="24"/>
        <v>82125472.672907159</v>
      </c>
      <c r="FX218" s="405">
        <f>SUM(FX219:FX226)</f>
        <v>97440527.99295114</v>
      </c>
      <c r="FY218" s="405">
        <f t="shared" ref="FY218" si="25">SUM(FY219:FY226)</f>
        <v>102835982.17822319</v>
      </c>
      <c r="FZ218" s="405">
        <f t="shared" ref="FZ218" si="26">SUM(FZ219:FZ226)</f>
        <v>99861898.573637322</v>
      </c>
      <c r="GA218" s="405">
        <f t="shared" ref="GA218" si="27">SUM(GA219:GA226)</f>
        <v>96098494.299763739</v>
      </c>
      <c r="GB218" s="405">
        <f t="shared" ref="GB218" si="28">SUM(GB219:GB226)</f>
        <v>81549422.466298312</v>
      </c>
      <c r="GC218" s="405">
        <f t="shared" ref="GC218" si="29">SUM(GC219:GC226)</f>
        <v>93633799.201363876</v>
      </c>
      <c r="GE218" s="399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400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400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400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400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400">
        <f t="shared" si="30"/>
        <v>221387755.35786003</v>
      </c>
    </row>
    <row r="224" spans="1:187" ht="30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400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400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400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5">
        <f>SUM(FR228:FR231)</f>
        <v>15749286.220000001</v>
      </c>
      <c r="FS227" s="405">
        <f t="shared" ref="FS227:GC227" si="36">SUM(FS228:FS231)</f>
        <v>42574769.890000001</v>
      </c>
      <c r="FT227" s="405">
        <f t="shared" si="36"/>
        <v>44888756.57</v>
      </c>
      <c r="FU227" s="405">
        <f t="shared" si="36"/>
        <v>33882602.5</v>
      </c>
      <c r="FV227" s="405">
        <f t="shared" si="36"/>
        <v>40418289.450000003</v>
      </c>
      <c r="FW227" s="405">
        <f t="shared" si="36"/>
        <v>39209561.537363522</v>
      </c>
      <c r="FX227" s="405">
        <f t="shared" si="36"/>
        <v>39824401.286702745</v>
      </c>
      <c r="FY227" s="405">
        <f t="shared" si="36"/>
        <v>37466342.331191912</v>
      </c>
      <c r="FZ227" s="405">
        <f t="shared" si="36"/>
        <v>35714950.117071614</v>
      </c>
      <c r="GA227" s="405">
        <f t="shared" si="36"/>
        <v>56930028.965902433</v>
      </c>
      <c r="GB227" s="405">
        <f t="shared" si="36"/>
        <v>36060885.689019322</v>
      </c>
      <c r="GC227" s="405">
        <f t="shared" si="36"/>
        <v>69780505.759044364</v>
      </c>
      <c r="GE227" s="399">
        <f>SUM(FR227:GC227)</f>
        <v>492500380.31629592</v>
      </c>
    </row>
    <row r="228" spans="1:187" ht="30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400">
        <f>SUM(FR228:GD228)</f>
        <v>304873078.12033099</v>
      </c>
    </row>
    <row r="229" spans="1:187" ht="30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400">
        <f>SUM(FR229:GD229)</f>
        <v>160424487.69250503</v>
      </c>
    </row>
    <row r="230" spans="1:187" ht="30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400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400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5">
        <f>SUM(FR233:FR236)</f>
        <v>669819.01</v>
      </c>
      <c r="FS232" s="405">
        <f t="shared" ref="FS232:GC232" si="39">SUM(FS233:FS236)</f>
        <v>845756.92</v>
      </c>
      <c r="FT232" s="405">
        <f t="shared" si="39"/>
        <v>720374.53</v>
      </c>
      <c r="FU232" s="405">
        <f t="shared" si="39"/>
        <v>316937.24</v>
      </c>
      <c r="FV232" s="405">
        <f t="shared" si="39"/>
        <v>469045.42</v>
      </c>
      <c r="FW232" s="405">
        <f t="shared" si="39"/>
        <v>1161870.8532355535</v>
      </c>
      <c r="FX232" s="405">
        <f t="shared" si="39"/>
        <v>1673430.2546007757</v>
      </c>
      <c r="FY232" s="405">
        <f t="shared" si="39"/>
        <v>1388372.9389781314</v>
      </c>
      <c r="FZ232" s="405">
        <f t="shared" si="39"/>
        <v>1416214.8034873675</v>
      </c>
      <c r="GA232" s="405">
        <f t="shared" si="39"/>
        <v>1276386.1061063381</v>
      </c>
      <c r="GB232" s="405">
        <f t="shared" si="39"/>
        <v>963348.80250703567</v>
      </c>
      <c r="GC232" s="405">
        <f t="shared" si="39"/>
        <v>1285597.5253147981</v>
      </c>
      <c r="GE232" s="399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400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400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400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400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5">
        <f>SUM(FR238:FR243)</f>
        <v>2226726.9299999997</v>
      </c>
      <c r="FS237" s="405">
        <f t="shared" ref="FS237:GC237" si="42">SUM(FS238:FS243)</f>
        <v>2200614.79</v>
      </c>
      <c r="FT237" s="405">
        <f t="shared" si="42"/>
        <v>1317967.9100000001</v>
      </c>
      <c r="FU237" s="405">
        <f t="shared" si="42"/>
        <v>1597851.3599999999</v>
      </c>
      <c r="FV237" s="405">
        <f t="shared" si="42"/>
        <v>1673853.74</v>
      </c>
      <c r="FW237" s="405">
        <f t="shared" si="42"/>
        <v>2179490.8743573632</v>
      </c>
      <c r="FX237" s="405">
        <f t="shared" si="42"/>
        <v>2571108.8359225746</v>
      </c>
      <c r="FY237" s="405">
        <f t="shared" si="42"/>
        <v>1825380.5890086682</v>
      </c>
      <c r="FZ237" s="405">
        <f t="shared" si="42"/>
        <v>2163813.0387331629</v>
      </c>
      <c r="GA237" s="405">
        <f t="shared" si="42"/>
        <v>1995229.2228867295</v>
      </c>
      <c r="GB237" s="405">
        <f t="shared" si="42"/>
        <v>1517691.0449207788</v>
      </c>
      <c r="GC237" s="405">
        <f t="shared" si="42"/>
        <v>3555523.5622207262</v>
      </c>
      <c r="GE237" s="399">
        <f>SUM(FR237:GC237)</f>
        <v>24825251.898050006</v>
      </c>
    </row>
    <row r="238" spans="1:187" ht="30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400">
        <f t="shared" ref="GE238:GE243" si="43">SUM(FR238:GD238)</f>
        <v>906542.78892000008</v>
      </c>
    </row>
    <row r="239" spans="1:187" ht="30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400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400">
        <f t="shared" si="43"/>
        <v>297300.81831000012</v>
      </c>
    </row>
    <row r="241" spans="1:187" ht="30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400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400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400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5">
        <f>SUM(FR245:FR248)</f>
        <v>1484714.27</v>
      </c>
      <c r="FS244" s="405">
        <f t="shared" ref="FS244:GC244" si="46">SUM(FS245:FS248)</f>
        <v>2100277.88</v>
      </c>
      <c r="FT244" s="405">
        <f t="shared" si="46"/>
        <v>4248499.3600000003</v>
      </c>
      <c r="FU244" s="405">
        <f t="shared" si="46"/>
        <v>1617752.3800000001</v>
      </c>
      <c r="FV244" s="405">
        <f t="shared" si="46"/>
        <v>1237245.3599999999</v>
      </c>
      <c r="FW244" s="405">
        <f t="shared" si="46"/>
        <v>2257816.068284105</v>
      </c>
      <c r="FX244" s="405">
        <f t="shared" si="46"/>
        <v>5692253.8149066633</v>
      </c>
      <c r="FY244" s="405">
        <f t="shared" si="46"/>
        <v>4621203.3620386366</v>
      </c>
      <c r="FZ244" s="405">
        <f t="shared" si="46"/>
        <v>17537126.915220708</v>
      </c>
      <c r="GA244" s="405">
        <f t="shared" si="46"/>
        <v>3831817.5735939299</v>
      </c>
      <c r="GB244" s="405">
        <f t="shared" si="46"/>
        <v>3619302.6260553906</v>
      </c>
      <c r="GC244" s="405">
        <f t="shared" si="46"/>
        <v>4678583.5639540665</v>
      </c>
      <c r="GE244" s="399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400">
        <f>SUM(FR245:GD245)</f>
        <v>25432159.646793496</v>
      </c>
    </row>
    <row r="246" spans="1:187" ht="30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400">
        <f>SUM(FR246:GD246)</f>
        <v>14696016.135990001</v>
      </c>
    </row>
    <row r="247" spans="1:187" ht="30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400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400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5">
        <v>62782.51</v>
      </c>
      <c r="FS249" s="405">
        <v>437988.22</v>
      </c>
      <c r="FT249" s="405">
        <v>603218.21</v>
      </c>
      <c r="FU249" s="405">
        <v>198578.39</v>
      </c>
      <c r="FV249" s="405">
        <v>270349.07</v>
      </c>
      <c r="FW249" s="405">
        <v>632440.5</v>
      </c>
      <c r="FX249" s="405">
        <v>632440.5</v>
      </c>
      <c r="FY249" s="405">
        <v>632440.5</v>
      </c>
      <c r="FZ249" s="405">
        <v>632440.5</v>
      </c>
      <c r="GA249" s="405">
        <v>632440.5</v>
      </c>
      <c r="GB249" s="405">
        <v>632440.5</v>
      </c>
      <c r="GC249" s="405">
        <v>632440.6</v>
      </c>
      <c r="GD249" s="326"/>
      <c r="GE249" s="399">
        <f>SUM(FR249:GC249)</f>
        <v>6000000</v>
      </c>
    </row>
    <row r="250" spans="1:187" ht="30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30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45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5">
        <v>80819.179999999993</v>
      </c>
      <c r="FS252" s="405">
        <v>813727.89</v>
      </c>
      <c r="FT252" s="405">
        <v>794561.22</v>
      </c>
      <c r="FU252" s="405">
        <v>561040.23</v>
      </c>
      <c r="FV252" s="405">
        <v>218800.94</v>
      </c>
      <c r="FW252" s="405">
        <v>172752.84814830567</v>
      </c>
      <c r="FX252" s="405">
        <v>621585.63801238476</v>
      </c>
      <c r="FY252" s="405">
        <v>1170088.8491047423</v>
      </c>
      <c r="FZ252" s="405">
        <v>665799.08079606481</v>
      </c>
      <c r="GA252" s="405">
        <v>9201611.3215604126</v>
      </c>
      <c r="GB252" s="405">
        <v>1305018.6190754015</v>
      </c>
      <c r="GC252" s="405">
        <v>1507066.6233026888</v>
      </c>
      <c r="GE252" s="399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400">
        <f>SUM(FR253:GD253)</f>
        <v>17112872.440000001</v>
      </c>
    </row>
    <row r="254" spans="1:187" ht="30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5">
        <v>754264.83</v>
      </c>
      <c r="FS255" s="405">
        <v>1636489.54</v>
      </c>
      <c r="FT255" s="405">
        <v>3512551.56</v>
      </c>
      <c r="FU255" s="405">
        <v>2957605.59</v>
      </c>
      <c r="FV255" s="405">
        <v>1856477.6183333334</v>
      </c>
      <c r="FW255" s="405">
        <v>2156477.6183333299</v>
      </c>
      <c r="FX255" s="405">
        <v>1856477.6183333334</v>
      </c>
      <c r="FY255" s="405">
        <v>1856477.6183333334</v>
      </c>
      <c r="FZ255" s="405">
        <v>25000000</v>
      </c>
      <c r="GA255" s="405">
        <v>1856477.6183333334</v>
      </c>
      <c r="GB255" s="405">
        <v>1856477.6183333334</v>
      </c>
      <c r="GC255" s="405">
        <v>4700000</v>
      </c>
      <c r="GE255" s="399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9">
        <f>SUM(FR259:GC259)</f>
        <v>331489594.8500002</v>
      </c>
    </row>
    <row r="260" spans="1:187" ht="30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30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9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30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9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400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400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400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400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400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9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400"/>
    </row>
    <row r="272" spans="1:187" ht="30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400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400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400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400"/>
    </row>
    <row r="276" spans="1:187" ht="30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400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400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9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400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400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400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400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400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400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9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400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400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400"/>
    </row>
    <row r="289" spans="1:187" ht="30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400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400"/>
    </row>
    <row r="291" spans="1:187" ht="30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400"/>
    </row>
    <row r="292" spans="1:187" ht="30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400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400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400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9">
        <f>SUM(FR295:GC295)</f>
        <v>26024933.760000002</v>
      </c>
    </row>
    <row r="296" spans="1:187" ht="30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400"/>
    </row>
    <row r="297" spans="1:187" ht="30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400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400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9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400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400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9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400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400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400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9">
        <f>SUM(FR306:GC306)</f>
        <v>39084636.969999999</v>
      </c>
    </row>
    <row r="307" spans="1:187" ht="30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400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400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400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9">
        <f>SUM(FR310:GC310)</f>
        <v>49577474.010000005</v>
      </c>
    </row>
    <row r="311" spans="1:187" ht="30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400"/>
    </row>
    <row r="312" spans="1:187" ht="30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400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400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400"/>
    </row>
    <row r="315" spans="1:187" ht="45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400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400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400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400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400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9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9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400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400"/>
    </row>
    <row r="324" spans="1:187" ht="30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400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400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400"/>
    </row>
    <row r="327" spans="1:187" ht="30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400"/>
    </row>
    <row r="328" spans="1:187" ht="30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400"/>
    </row>
    <row r="329" spans="1:187" ht="30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400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9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400"/>
    </row>
    <row r="332" spans="1:187" ht="30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400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400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400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400"/>
    </row>
    <row r="336" spans="1:187" s="5" customFormat="1" ht="30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9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400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400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400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400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400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400"/>
    </row>
    <row r="343" spans="1:187" ht="30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400"/>
    </row>
    <row r="344" spans="1:187" s="5" customFormat="1" ht="30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9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400"/>
    </row>
    <row r="346" spans="1:187" s="5" customFormat="1" ht="30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9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400"/>
    </row>
    <row r="348" spans="1:187" ht="30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400"/>
    </row>
    <row r="349" spans="1:187" ht="30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400"/>
    </row>
    <row r="350" spans="1:187" s="5" customFormat="1" ht="4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9">
        <f>SUM(FR350:GC350)</f>
        <v>276728392.81000036</v>
      </c>
    </row>
    <row r="351" spans="1:187" s="5" customFormat="1" ht="4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9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400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400"/>
    </row>
    <row r="354" spans="1:187" ht="30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400"/>
    </row>
    <row r="355" spans="1:187" ht="30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400"/>
    </row>
    <row r="356" spans="1:187" ht="30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400"/>
    </row>
    <row r="357" spans="1:187" ht="30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400"/>
    </row>
    <row r="358" spans="1:187" ht="30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400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400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400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9">
        <f>SUM(FR361:GC361)</f>
        <v>0</v>
      </c>
    </row>
    <row r="362" spans="1:187" ht="30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400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400"/>
    </row>
    <row r="364" spans="1:187" ht="30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400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400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400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400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2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9">
        <f>SUM(FR368:GC368)</f>
        <v>196861062.64999998</v>
      </c>
    </row>
    <row r="369" spans="1:187" ht="30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400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400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400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400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400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400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400"/>
    </row>
    <row r="376" spans="1:187" ht="30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400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400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9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4"/>
    </row>
    <row r="380" spans="1:187" ht="30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400"/>
    </row>
    <row r="381" spans="1:187" ht="30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400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400"/>
    </row>
    <row r="383" spans="1:187" ht="45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400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400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9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9">
        <f>SUM(FR386:GC386)</f>
        <v>539590000.00000012</v>
      </c>
    </row>
    <row r="387" spans="1:187" ht="30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400">
        <f>SUM(FR387:GC387)</f>
        <v>119710000</v>
      </c>
    </row>
    <row r="388" spans="1:187" ht="30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400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9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400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400">
        <v>0</v>
      </c>
    </row>
    <row r="392" spans="1:187" s="5" customFormat="1" ht="30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9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9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400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400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400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1"/>
    </row>
    <row r="400" spans="1:187">
      <c r="GE400" s="403"/>
    </row>
    <row r="401" spans="187:187">
      <c r="GE401" s="401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G286"/>
  <sheetViews>
    <sheetView zoomScaleNormal="100" workbookViewId="0">
      <pane ySplit="4" topLeftCell="A5" activePane="bottomLeft" state="frozen"/>
      <selection pane="bottomLeft" activeCell="B3" sqref="B3"/>
    </sheetView>
  </sheetViews>
  <sheetFormatPr defaultColWidth="9.140625" defaultRowHeight="15"/>
  <cols>
    <col min="1" max="1" width="1.28515625" customWidth="1"/>
    <col min="2" max="2" width="5" bestFit="1" customWidth="1"/>
    <col min="3" max="3" width="12.140625" style="35" customWidth="1"/>
    <col min="4" max="4" width="9.140625" style="35"/>
    <col min="5" max="5" width="35.42578125" style="5" customWidth="1"/>
    <col min="6" max="6" width="43.140625" style="6" customWidth="1"/>
    <col min="7" max="7" width="88.85546875" style="44" bestFit="1" customWidth="1"/>
  </cols>
  <sheetData>
    <row r="1" spans="2:7" ht="13.15" customHeight="1" thickBot="1"/>
    <row r="2" spans="2:7" ht="15.75" thickBot="1">
      <c r="B2" s="244">
        <v>1</v>
      </c>
      <c r="C2" s="48" t="s">
        <v>0</v>
      </c>
    </row>
    <row r="3" spans="2:7" ht="15.75" thickBot="1">
      <c r="B3" s="245">
        <v>2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.75" thickBot="1">
      <c r="B4" s="245">
        <v>2024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 ht="23.25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3.25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34.5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3.25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3.25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7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7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3.25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3.25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3.25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3.25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 ht="23.25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 ht="23.25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3.25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 ht="23.25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 ht="23.25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Februar</v>
      </c>
    </row>
    <row r="246" spans="4:7">
      <c r="D246" s="41"/>
      <c r="G246" s="44" t="str">
        <f>+CONCATENATE("Jan - ",LEFT(G245,3))</f>
        <v>Jan - Feb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Feb</v>
      </c>
      <c r="F254" s="6" t="str">
        <f>+CONCATENATE("Analytics for period ",G246)</f>
        <v>Analytics for period Jan - Feb</v>
      </c>
      <c r="G254" s="44" t="str">
        <f>+IF(ISBLANK(IF($B$2=1,E254,F254)),"",IF($B$2=1,E254,F254))</f>
        <v>Analitika za period Jan - Feb</v>
      </c>
    </row>
    <row r="255" spans="4:7">
      <c r="E255" s="5" t="str">
        <f>+CONCATENATE("Analitika za period ",G245)</f>
        <v>Analitika za period Februar</v>
      </c>
      <c r="F255" s="6" t="str">
        <f>+CONCATENATE("Analytics for period ",G245)</f>
        <v>Analytics for period Februar</v>
      </c>
      <c r="G255" s="44" t="str">
        <f>+IF(ISBLANK(IF($B$2=1,E255,F255)),"",IF($B$2=1,E255,F255))</f>
        <v>Analitika za period Februar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Februar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Februar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Februar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Februar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Februar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Februar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60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K32"/>
  <sheetViews>
    <sheetView tabSelected="1" zoomScale="90" zoomScaleNormal="90" workbookViewId="0">
      <pane ySplit="5" topLeftCell="A6" activePane="bottomLeft" state="frozen"/>
      <selection activeCell="DK219" sqref="DK219"/>
      <selection pane="bottomLeft" activeCell="F18" sqref="F18"/>
    </sheetView>
  </sheetViews>
  <sheetFormatPr defaultColWidth="9.140625" defaultRowHeight="15"/>
  <cols>
    <col min="1" max="3" width="9.140625" style="116"/>
    <col min="4" max="4" width="10" style="116" bestFit="1" customWidth="1"/>
    <col min="5" max="7" width="9.140625" style="116"/>
    <col min="8" max="8" width="11" style="116" bestFit="1" customWidth="1"/>
    <col min="9" max="16384" width="9.140625" style="116"/>
  </cols>
  <sheetData>
    <row r="1" spans="3:10" s="113" customFormat="1"/>
    <row r="2" spans="3:10" s="113" customFormat="1">
      <c r="C2" s="114"/>
      <c r="E2" s="484" t="str">
        <f>+Master!G6</f>
        <v>Crna Gora</v>
      </c>
      <c r="F2" s="484"/>
      <c r="G2" s="484"/>
      <c r="I2" s="115"/>
    </row>
    <row r="3" spans="3:10" s="113" customFormat="1">
      <c r="E3" s="485" t="str">
        <f>+Master!G7</f>
        <v>Ministarstvo finansija</v>
      </c>
      <c r="F3" s="484"/>
      <c r="G3" s="484"/>
    </row>
    <row r="4" spans="3:10" s="113" customFormat="1">
      <c r="E4" s="485" t="str">
        <f>+Master!G8</f>
        <v>Direktorat za državni budžet</v>
      </c>
      <c r="F4" s="484"/>
      <c r="G4" s="484"/>
    </row>
    <row r="5" spans="3:10" s="113" customFormat="1"/>
    <row r="7" spans="3:10" ht="15.75" thickBot="1"/>
    <row r="8" spans="3:10">
      <c r="C8" s="117"/>
      <c r="D8" s="118"/>
      <c r="E8" s="118"/>
      <c r="F8" s="118"/>
      <c r="G8" s="118"/>
      <c r="H8" s="118"/>
      <c r="I8" s="118"/>
      <c r="J8" s="119"/>
    </row>
    <row r="9" spans="3:10">
      <c r="C9" s="120"/>
      <c r="J9" s="121"/>
    </row>
    <row r="10" spans="3:10">
      <c r="C10" s="120"/>
      <c r="J10" s="121"/>
    </row>
    <row r="11" spans="3:10">
      <c r="C11" s="120"/>
      <c r="D11" s="122" t="str">
        <f>+Master!G270</f>
        <v>Prihodi za mjesec Februar</v>
      </c>
      <c r="G11" s="122" t="str">
        <f>+Master!G274</f>
        <v>Prihodi za period Januar - Februar</v>
      </c>
      <c r="J11" s="121"/>
    </row>
    <row r="12" spans="3:10">
      <c r="C12" s="120"/>
      <c r="D12" s="123">
        <f>+'Analitika 2024'!N10</f>
        <v>180168945.19999999</v>
      </c>
      <c r="E12" s="427">
        <f>+D12/'2024'!T7</f>
        <v>2.5614009837930052E-2</v>
      </c>
      <c r="G12" s="123">
        <f>+'Analitika 2024'!G10</f>
        <v>333935644.44</v>
      </c>
      <c r="H12" s="427">
        <f>+G12/'2024'!T7</f>
        <v>4.7474501626386126E-2</v>
      </c>
      <c r="J12" s="121"/>
    </row>
    <row r="13" spans="3:10">
      <c r="C13" s="120"/>
      <c r="D13" s="124" t="s">
        <v>417</v>
      </c>
      <c r="E13" s="124" t="str">
        <f>+Master!G250</f>
        <v>% BDP</v>
      </c>
      <c r="G13" s="124" t="s">
        <v>417</v>
      </c>
      <c r="H13" s="124" t="s">
        <v>807</v>
      </c>
      <c r="J13" s="121"/>
    </row>
    <row r="14" spans="3:10">
      <c r="C14" s="120"/>
      <c r="J14" s="121"/>
    </row>
    <row r="15" spans="3:10">
      <c r="C15" s="120"/>
      <c r="D15" s="122" t="str">
        <f>+Master!G271</f>
        <v>Rashodi za mjesec Februar</v>
      </c>
      <c r="G15" s="122" t="str">
        <f>+Master!G275</f>
        <v>Rashodi za period Januar - Februar</v>
      </c>
      <c r="J15" s="121"/>
    </row>
    <row r="16" spans="3:10">
      <c r="C16" s="120"/>
      <c r="D16" s="123">
        <f>+'Analitika 2024'!N29</f>
        <v>214470792.86000001</v>
      </c>
      <c r="E16" s="427">
        <f>+D16/'2024'!T7</f>
        <v>3.0490587554734151E-2</v>
      </c>
      <c r="G16" s="123">
        <f>+'Analitika 2024'!G29</f>
        <v>352385632.38</v>
      </c>
      <c r="H16" s="427">
        <f>+G16/'2024'!T7</f>
        <v>5.0097474037531987E-2</v>
      </c>
      <c r="J16" s="121"/>
    </row>
    <row r="17" spans="3:11">
      <c r="C17" s="120"/>
      <c r="D17" s="124" t="str">
        <f>+D13</f>
        <v>mil. €</v>
      </c>
      <c r="E17" s="124" t="str">
        <f>+E13</f>
        <v>% BDP</v>
      </c>
      <c r="G17" s="124" t="s">
        <v>417</v>
      </c>
      <c r="H17" s="124" t="s">
        <v>807</v>
      </c>
      <c r="J17" s="121"/>
    </row>
    <row r="18" spans="3:11">
      <c r="C18" s="120"/>
      <c r="J18" s="121"/>
    </row>
    <row r="19" spans="3:11">
      <c r="C19" s="120"/>
      <c r="D19" s="122" t="str">
        <f>+Master!G272</f>
        <v>Suficit/Deficit za mjesec Februar</v>
      </c>
      <c r="G19" s="122" t="str">
        <f>+Master!G276</f>
        <v>Suficit/Deficit za period Januar - Februar</v>
      </c>
      <c r="J19" s="121"/>
    </row>
    <row r="20" spans="3:11">
      <c r="C20" s="120"/>
      <c r="D20" s="123">
        <f>+'Analitika 2024'!N53</f>
        <v>-34301847.660000026</v>
      </c>
      <c r="E20" s="427">
        <f>+D20/'2024'!T7</f>
        <v>-4.8765777168040978E-3</v>
      </c>
      <c r="G20" s="123">
        <f>+'Analitika 2024'!G53</f>
        <v>-18449987.939999998</v>
      </c>
      <c r="H20" s="427">
        <f>+G20/'2024'!T7</f>
        <v>-2.6229724111458625E-3</v>
      </c>
      <c r="J20" s="121"/>
    </row>
    <row r="21" spans="3:11">
      <c r="C21" s="120"/>
      <c r="D21" s="124" t="str">
        <f>+D17</f>
        <v>mil. €</v>
      </c>
      <c r="E21" s="124" t="str">
        <f>+E17</f>
        <v>% BDP</v>
      </c>
      <c r="G21" s="124" t="s">
        <v>417</v>
      </c>
      <c r="H21" s="124" t="s">
        <v>807</v>
      </c>
      <c r="J21" s="121"/>
    </row>
    <row r="22" spans="3:11" ht="15.75" thickBot="1">
      <c r="C22" s="125"/>
      <c r="D22" s="126"/>
      <c r="E22" s="126"/>
      <c r="F22" s="126"/>
      <c r="G22" s="126"/>
      <c r="H22" s="126"/>
      <c r="I22" s="126"/>
      <c r="J22" s="127"/>
    </row>
    <row r="25" spans="3:11">
      <c r="H25" s="218"/>
    </row>
    <row r="32" spans="3:11">
      <c r="K32" s="428"/>
    </row>
  </sheetData>
  <sheetProtection algorithmName="SHA-512" hashValue="klkRl4DgU/oS6Cc5Z3laSIQ8/EQhfxYCmgAODjnZZ0ED6Dx8TMWGF+sgYG+zW38TvYPoz15UzWlHdxOzzvH1ew==" saltValue="B4zwVg3M+wpmVthtiL0va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7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zoomScale="90" zoomScaleNormal="90" workbookViewId="0">
      <pane ySplit="5" topLeftCell="A6" activePane="bottomLeft" state="frozen"/>
      <selection activeCell="DK219" sqref="DK219"/>
      <selection pane="bottomLeft" activeCell="R10" sqref="R10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4" width="9.140625" style="4"/>
    <col min="5" max="6" width="9.140625" style="4" customWidth="1"/>
    <col min="7" max="7" width="15.7109375" style="332" customWidth="1"/>
    <col min="8" max="8" width="12.42578125" style="4" customWidth="1"/>
    <col min="9" max="9" width="12.5703125" style="4" customWidth="1"/>
    <col min="10" max="10" width="12.7109375" style="4" customWidth="1"/>
    <col min="11" max="13" width="12.42578125" style="4" customWidth="1"/>
    <col min="14" max="14" width="12.7109375" style="4" customWidth="1"/>
    <col min="15" max="15" width="11.42578125" style="4" customWidth="1"/>
    <col min="16" max="17" width="12.140625" style="4" customWidth="1"/>
    <col min="18" max="18" width="13.42578125" style="4" customWidth="1"/>
    <col min="19" max="19" width="9.140625" style="4" customWidth="1"/>
    <col min="20" max="20" width="9.85546875" style="4" customWidth="1"/>
    <col min="21" max="22" width="9.140625" style="4"/>
    <col min="23" max="23" width="11.7109375" style="4" bestFit="1" customWidth="1"/>
    <col min="24" max="25" width="9.140625" style="4"/>
    <col min="26" max="26" width="11.28515625" style="4" bestFit="1" customWidth="1"/>
    <col min="27" max="16384" width="9.14062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6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6"/>
      <c r="I4" s="336"/>
      <c r="J4" s="336"/>
      <c r="N4" s="454"/>
      <c r="P4" s="454"/>
      <c r="Q4" s="454"/>
    </row>
    <row r="5" spans="1:25" s="1" customFormat="1">
      <c r="B5" s="454"/>
      <c r="G5" s="148"/>
      <c r="H5" s="148"/>
      <c r="N5" s="454"/>
      <c r="P5" s="454"/>
    </row>
    <row r="6" spans="1:25" ht="15.7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2024-02</v>
      </c>
      <c r="O6" s="128" t="str">
        <f>+CONCATENATE(N6,"p")</f>
        <v>2024-02p</v>
      </c>
      <c r="P6" s="116"/>
      <c r="Q6" s="116"/>
      <c r="R6" s="128" t="str">
        <f>+IF(Master!B3-10&gt;=0,CONCATENATE(Master!B4-1,"-",Master!B3),CONCATENATE(Master!B4-1,"-0",Master!B3))</f>
        <v>2023-02</v>
      </c>
      <c r="S6" s="116"/>
      <c r="T6" s="116"/>
    </row>
    <row r="7" spans="1:25" ht="14.25" customHeight="1">
      <c r="A7" s="129"/>
      <c r="B7" s="586" t="str">
        <f>+Master!G254</f>
        <v>Analitika za period Jan - Feb</v>
      </c>
      <c r="C7" s="587"/>
      <c r="D7" s="587"/>
      <c r="E7" s="587"/>
      <c r="F7" s="587"/>
      <c r="G7" s="595" t="str">
        <f>+Master!G246</f>
        <v>Jan - Feb</v>
      </c>
      <c r="H7" s="596"/>
      <c r="I7" s="596"/>
      <c r="J7" s="596"/>
      <c r="K7" s="596"/>
      <c r="L7" s="596"/>
      <c r="M7" s="599"/>
      <c r="N7" s="596" t="str">
        <f>+Master!G245</f>
        <v>Februar</v>
      </c>
      <c r="O7" s="596"/>
      <c r="P7" s="596"/>
      <c r="Q7" s="596"/>
      <c r="R7" s="596"/>
      <c r="S7" s="596"/>
      <c r="T7" s="599"/>
    </row>
    <row r="8" spans="1:25" ht="29.25" customHeight="1">
      <c r="A8" s="129"/>
      <c r="B8" s="588"/>
      <c r="C8" s="589"/>
      <c r="D8" s="589"/>
      <c r="E8" s="589"/>
      <c r="F8" s="590"/>
      <c r="G8" s="487" t="str">
        <f>+Master!G26</f>
        <v>Ostvarenje</v>
      </c>
      <c r="H8" s="330" t="str">
        <f>+Master!G25</f>
        <v>Plan</v>
      </c>
      <c r="I8" s="584" t="str">
        <f>+Master!G261</f>
        <v>Odstupanje</v>
      </c>
      <c r="J8" s="584"/>
      <c r="K8" s="130" t="str">
        <f>+CONCATENATE(Master!G246," ",Master!B4-1)</f>
        <v>Jan - Feb 2023</v>
      </c>
      <c r="L8" s="584" t="str">
        <f>+I8</f>
        <v>Odstupanje</v>
      </c>
      <c r="M8" s="585"/>
      <c r="N8" s="487" t="str">
        <f>+G8</f>
        <v>Ostvarenje</v>
      </c>
      <c r="O8" s="130" t="str">
        <f>+H8</f>
        <v>Plan</v>
      </c>
      <c r="P8" s="584" t="str">
        <f>+I8</f>
        <v>Odstupanje</v>
      </c>
      <c r="Q8" s="584"/>
      <c r="R8" s="130" t="str">
        <f>+CONCATENATE(Master!G245," ",Master!B4-1)</f>
        <v>Februar 2023</v>
      </c>
      <c r="S8" s="584" t="str">
        <f>+P8</f>
        <v>Odstupanje</v>
      </c>
      <c r="T8" s="585"/>
    </row>
    <row r="9" spans="1:25" ht="15.75" thickBot="1">
      <c r="A9" s="129"/>
      <c r="B9" s="591"/>
      <c r="C9" s="592"/>
      <c r="D9" s="592"/>
      <c r="E9" s="592"/>
      <c r="F9" s="593"/>
      <c r="G9" s="331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.7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36">
        <f>'2024'!S10</f>
        <v>333935644.44</v>
      </c>
      <c r="H10" s="136">
        <f>SUM('2024'!G86:H86)</f>
        <v>306886054.29818058</v>
      </c>
      <c r="I10" s="137">
        <f>+G10-H10</f>
        <v>27049590.141819417</v>
      </c>
      <c r="J10" s="139">
        <f>IF(+IF(ISERROR(G10/H10),"…",G10/H10-1)&gt;200%,"...",IF(ISERROR(G10/H10),"…",G10/H10-1))</f>
        <v>8.8142128855217106E-2</v>
      </c>
      <c r="K10" s="136">
        <f>SUM('2023'!G10:H10)</f>
        <v>310046396.16999996</v>
      </c>
      <c r="L10" s="137">
        <f>+G10-K10</f>
        <v>23889248.270000041</v>
      </c>
      <c r="M10" s="141">
        <f>IF(+IF(ISERROR(G10/K10),"…",G10/K10-1)&gt;200%,"...",IF(ISERROR(G10/K10),"…",G10/K10-1))</f>
        <v>7.7050559416602438E-2</v>
      </c>
      <c r="N10" s="136">
        <f>'2024'!H10</f>
        <v>180168945.19999999</v>
      </c>
      <c r="O10" s="136">
        <f>'2024'!H86</f>
        <v>158113558.17313686</v>
      </c>
      <c r="P10" s="137">
        <f>+N10-O10</f>
        <v>22055387.026863128</v>
      </c>
      <c r="Q10" s="139">
        <f>IF(+IF(ISERROR(N10/O10),"…",N10/O10-1)&gt;200%,"...",IF(ISERROR(N10/O10),"…",N10/O10-1))</f>
        <v>0.1394908019381369</v>
      </c>
      <c r="R10" s="136">
        <f>'2023'!H10</f>
        <v>142406833.72</v>
      </c>
      <c r="S10" s="137">
        <f>+N10-R10</f>
        <v>37762111.479999989</v>
      </c>
      <c r="T10" s="141">
        <f>IF(+IF(ISERROR(N10/R10),"…",N10/R10-1)&gt;200%,"...",IF(ISERROR(N10/R10),"…",N10/R10-1))</f>
        <v>0.26517064170001681</v>
      </c>
      <c r="W10" s="470"/>
      <c r="Y10" s="470"/>
    </row>
    <row r="11" spans="1:25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262">
        <f>'2024'!S11</f>
        <v>243320551.22999999</v>
      </c>
      <c r="H11" s="262">
        <f>SUM('2024'!G87:H87)</f>
        <v>224287711.0743286</v>
      </c>
      <c r="I11" s="143">
        <f t="shared" ref="I11:I57" si="0">+G11-H11</f>
        <v>19032840.155671388</v>
      </c>
      <c r="J11" s="145">
        <f t="shared" ref="J11:J66" si="1">IF(+IF(ISERROR(G11/H11-1),"…",G11/H11-1)&gt;200%,"...",IF(ISERROR(G11/H11-1),"…",G11/H11-1))</f>
        <v>8.4859041382628009E-2</v>
      </c>
      <c r="K11" s="262">
        <f>SUM('2023'!G11:H11)</f>
        <v>194549712.63999999</v>
      </c>
      <c r="L11" s="143">
        <f>+G11-K11</f>
        <v>48770838.590000004</v>
      </c>
      <c r="M11" s="147">
        <f t="shared" ref="M11:M66" si="2">IF(+IF(ISERROR(G11/K11),"…",G11/K11-1)&gt;200%,"...",IF(ISERROR(G11/K11),"…",G11/K11-1))</f>
        <v>0.25068573953767226</v>
      </c>
      <c r="N11" s="262">
        <f>'2024'!H11</f>
        <v>121308599.17</v>
      </c>
      <c r="O11" s="262">
        <f>'2024'!H87</f>
        <v>104149284.03317438</v>
      </c>
      <c r="P11" s="143">
        <f>+N11-O11</f>
        <v>17159315.136825621</v>
      </c>
      <c r="Q11" s="145">
        <f t="shared" ref="Q11:Q66" si="3">IF(+IF(ISERROR(N11/O11),"…",N11/O11-1)&gt;200%,"...",IF(ISERROR(N11/O11),"…",N11/O11-1))</f>
        <v>0.16475691884122701</v>
      </c>
      <c r="R11" s="262">
        <f>'2023'!H11</f>
        <v>91059566.450000003</v>
      </c>
      <c r="S11" s="143">
        <f t="shared" ref="S11:S57" si="4">+N11-R11</f>
        <v>30249032.719999999</v>
      </c>
      <c r="T11" s="147">
        <f t="shared" ref="T11:T66" si="5">IF(+IF(ISERROR(N11/R11),"…",N11/R11-1)&gt;200%,"...",IF(ISERROR(N11/R11),"…",N11/R11-1))</f>
        <v>0.3321895095625067</v>
      </c>
      <c r="W11" s="470"/>
      <c r="Y11" s="470"/>
    </row>
    <row r="12" spans="1:25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f>'2024'!S12</f>
        <v>8160835.0599999968</v>
      </c>
      <c r="H12" s="148">
        <f>SUM('2024'!G88:H88)</f>
        <v>6599324.4060279783</v>
      </c>
      <c r="I12" s="149">
        <f t="shared" si="0"/>
        <v>1561510.6539720185</v>
      </c>
      <c r="J12" s="151">
        <f t="shared" si="1"/>
        <v>0.23661674406333133</v>
      </c>
      <c r="K12" s="148">
        <f>SUM('2023'!G12:H12)</f>
        <v>5426063.1100000003</v>
      </c>
      <c r="L12" s="149">
        <f>+G12-K12</f>
        <v>2734771.9499999965</v>
      </c>
      <c r="M12" s="153">
        <f t="shared" si="2"/>
        <v>0.50400666091773427</v>
      </c>
      <c r="N12" s="148">
        <f>'2024'!H12</f>
        <v>6162755.9099999974</v>
      </c>
      <c r="O12" s="148">
        <f>'2024'!H88</f>
        <v>4797498.8725749766</v>
      </c>
      <c r="P12" s="149">
        <f t="shared" ref="P12:P57" si="6">+N12-O12</f>
        <v>1365257.0374250207</v>
      </c>
      <c r="Q12" s="151">
        <f t="shared" si="3"/>
        <v>0.28457683340574547</v>
      </c>
      <c r="R12" s="148">
        <f>'2023'!H12</f>
        <v>3944575.24</v>
      </c>
      <c r="S12" s="149">
        <f t="shared" si="4"/>
        <v>2218180.6699999971</v>
      </c>
      <c r="T12" s="153">
        <f t="shared" si="5"/>
        <v>0.56233701603825836</v>
      </c>
      <c r="W12" s="470"/>
      <c r="Y12" s="470"/>
    </row>
    <row r="13" spans="1:25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f>'2024'!S13</f>
        <v>7723192.8400000017</v>
      </c>
      <c r="H13" s="148">
        <f>SUM('2024'!G89:H89)</f>
        <v>5467516.6079477789</v>
      </c>
      <c r="I13" s="149">
        <f t="shared" si="0"/>
        <v>2255676.2320522228</v>
      </c>
      <c r="J13" s="151">
        <f t="shared" si="1"/>
        <v>0.412559557436605</v>
      </c>
      <c r="K13" s="148">
        <f>SUM('2023'!G13:H13)</f>
        <v>5023656.74</v>
      </c>
      <c r="L13" s="149">
        <f t="shared" ref="L13:L57" si="7">+G13-K13</f>
        <v>2699536.1000000015</v>
      </c>
      <c r="M13" s="153">
        <f t="shared" si="2"/>
        <v>0.53736476031600855</v>
      </c>
      <c r="N13" s="148">
        <f>'2024'!H13</f>
        <v>5771727.9400000023</v>
      </c>
      <c r="O13" s="148">
        <f>'2024'!H89</f>
        <v>4097750.9290820062</v>
      </c>
      <c r="P13" s="149">
        <f t="shared" si="6"/>
        <v>1673977.0109179961</v>
      </c>
      <c r="Q13" s="151">
        <f t="shared" si="3"/>
        <v>0.40851116621990657</v>
      </c>
      <c r="R13" s="148">
        <f>'2023'!H13</f>
        <v>3765090.36</v>
      </c>
      <c r="S13" s="149">
        <f t="shared" si="4"/>
        <v>2006637.5800000024</v>
      </c>
      <c r="T13" s="153">
        <f t="shared" si="5"/>
        <v>0.53295867778323447</v>
      </c>
      <c r="W13" s="470"/>
      <c r="Y13" s="470"/>
    </row>
    <row r="14" spans="1:25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f>'2024'!S14</f>
        <v>0</v>
      </c>
      <c r="H14" s="148">
        <f>SUM('2024'!G90:H90)</f>
        <v>0</v>
      </c>
      <c r="I14" s="149">
        <f t="shared" si="0"/>
        <v>0</v>
      </c>
      <c r="J14" s="151" t="str">
        <f t="shared" si="1"/>
        <v>...</v>
      </c>
      <c r="K14" s="148">
        <f>SUM('2023'!G14:H14)</f>
        <v>0</v>
      </c>
      <c r="L14" s="149">
        <f t="shared" si="7"/>
        <v>0</v>
      </c>
      <c r="M14" s="153" t="str">
        <f t="shared" si="2"/>
        <v>...</v>
      </c>
      <c r="N14" s="148">
        <f>'2024'!H14</f>
        <v>0</v>
      </c>
      <c r="O14" s="148">
        <f>'2024'!H90</f>
        <v>0</v>
      </c>
      <c r="P14" s="149">
        <f t="shared" si="6"/>
        <v>0</v>
      </c>
      <c r="Q14" s="151" t="str">
        <f t="shared" si="3"/>
        <v>...</v>
      </c>
      <c r="R14" s="148">
        <f>'2023'!H14</f>
        <v>0</v>
      </c>
      <c r="S14" s="149">
        <f t="shared" si="4"/>
        <v>0</v>
      </c>
      <c r="T14" s="153" t="str">
        <f t="shared" si="5"/>
        <v>...</v>
      </c>
      <c r="W14" s="470"/>
      <c r="Y14" s="470"/>
    </row>
    <row r="15" spans="1:25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f>'2024'!S15</f>
        <v>173553046.88999999</v>
      </c>
      <c r="H15" s="148">
        <f>SUM('2024'!G91:H91)</f>
        <v>160502762.79012322</v>
      </c>
      <c r="I15" s="149">
        <f t="shared" si="0"/>
        <v>13050284.099876761</v>
      </c>
      <c r="J15" s="151">
        <f t="shared" si="1"/>
        <v>8.1308781687088993E-2</v>
      </c>
      <c r="K15" s="148">
        <f>SUM('2023'!G15:H15)</f>
        <v>140839826.09</v>
      </c>
      <c r="L15" s="149">
        <f t="shared" si="7"/>
        <v>32713220.799999982</v>
      </c>
      <c r="M15" s="153">
        <f t="shared" si="2"/>
        <v>0.23227251629163082</v>
      </c>
      <c r="N15" s="148">
        <f>'2024'!H15</f>
        <v>81980319.979999989</v>
      </c>
      <c r="O15" s="148">
        <f>'2024'!H91</f>
        <v>70110183.355581105</v>
      </c>
      <c r="P15" s="149">
        <f t="shared" si="6"/>
        <v>11870136.624418885</v>
      </c>
      <c r="Q15" s="151">
        <f t="shared" si="3"/>
        <v>0.16930688319864395</v>
      </c>
      <c r="R15" s="148">
        <f>'2023'!H15</f>
        <v>61023809.460000001</v>
      </c>
      <c r="S15" s="149">
        <f t="shared" si="4"/>
        <v>20956510.519999988</v>
      </c>
      <c r="T15" s="153">
        <f t="shared" si="5"/>
        <v>0.3434153112603795</v>
      </c>
      <c r="W15" s="470"/>
      <c r="Y15" s="470"/>
    </row>
    <row r="16" spans="1:25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f>'2024'!S16</f>
        <v>44923191.50999999</v>
      </c>
      <c r="H16" s="148">
        <f>SUM('2024'!G92:H92)</f>
        <v>43397861.398774192</v>
      </c>
      <c r="I16" s="149">
        <f t="shared" si="0"/>
        <v>1525330.1112257987</v>
      </c>
      <c r="J16" s="151">
        <f t="shared" si="1"/>
        <v>3.5147587048353524E-2</v>
      </c>
      <c r="K16" s="148">
        <f>SUM('2023'!G16:H16)</f>
        <v>35684591.109999999</v>
      </c>
      <c r="L16" s="149">
        <f t="shared" si="7"/>
        <v>9238600.3999999911</v>
      </c>
      <c r="M16" s="153">
        <f t="shared" si="2"/>
        <v>0.25889607005784154</v>
      </c>
      <c r="N16" s="148">
        <f>'2024'!H16</f>
        <v>22366846.550000004</v>
      </c>
      <c r="O16" s="148">
        <f>'2024'!H92</f>
        <v>20592857.793570951</v>
      </c>
      <c r="P16" s="149">
        <f t="shared" si="6"/>
        <v>1773988.7564290538</v>
      </c>
      <c r="Q16" s="151">
        <f t="shared" si="3"/>
        <v>8.61458265876478E-2</v>
      </c>
      <c r="R16" s="148">
        <f>'2023'!H16</f>
        <v>18190262.670000002</v>
      </c>
      <c r="S16" s="149">
        <f t="shared" si="4"/>
        <v>4176583.8800000027</v>
      </c>
      <c r="T16" s="153">
        <f t="shared" si="5"/>
        <v>0.22960547386092256</v>
      </c>
      <c r="W16" s="470"/>
      <c r="Y16" s="470"/>
    </row>
    <row r="17" spans="1:25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f>'2024'!S17</f>
        <v>6847014.3900000006</v>
      </c>
      <c r="H17" s="148">
        <f>SUM('2024'!G93:H93)</f>
        <v>6353258.4119738787</v>
      </c>
      <c r="I17" s="149">
        <f t="shared" si="0"/>
        <v>493755.97802612185</v>
      </c>
      <c r="J17" s="151">
        <f t="shared" si="1"/>
        <v>7.771696757927371E-2</v>
      </c>
      <c r="K17" s="148">
        <f>SUM('2023'!G17:H17)</f>
        <v>5688031.6699999999</v>
      </c>
      <c r="L17" s="149">
        <f t="shared" si="7"/>
        <v>1158982.7200000007</v>
      </c>
      <c r="M17" s="153">
        <f t="shared" si="2"/>
        <v>0.2037581341385184</v>
      </c>
      <c r="N17" s="148">
        <f>'2024'!H17</f>
        <v>3849203.2799999993</v>
      </c>
      <c r="O17" s="148">
        <f>'2024'!H93</f>
        <v>3597080.8322044765</v>
      </c>
      <c r="P17" s="149">
        <f t="shared" si="6"/>
        <v>252122.44779552286</v>
      </c>
      <c r="Q17" s="151">
        <f>IF(+IF(ISERROR(N17/O17),"…",N17/O17-1)&gt;200%,"...",IF(ISERROR(N17/O17),"…",N17/O17-1))</f>
        <v>7.0090848539817063E-2</v>
      </c>
      <c r="R17" s="148">
        <f>'2023'!H17</f>
        <v>3220443.49</v>
      </c>
      <c r="S17" s="149">
        <f t="shared" si="4"/>
        <v>628759.78999999911</v>
      </c>
      <c r="T17" s="153">
        <f t="shared" si="5"/>
        <v>0.19524012514189448</v>
      </c>
      <c r="W17" s="470"/>
      <c r="Y17" s="470"/>
    </row>
    <row r="18" spans="1:25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f>'2024'!S18</f>
        <v>2113270.5399999996</v>
      </c>
      <c r="H18" s="148">
        <f>SUM('2024'!G94:H94)</f>
        <v>1966987.4594815534</v>
      </c>
      <c r="I18" s="149">
        <f t="shared" si="0"/>
        <v>146283.08051844616</v>
      </c>
      <c r="J18" s="151">
        <f t="shared" si="1"/>
        <v>7.4369096667755263E-2</v>
      </c>
      <c r="K18" s="148">
        <f>SUM('2023'!G18:H18)</f>
        <v>1887543.92</v>
      </c>
      <c r="L18" s="149">
        <f t="shared" si="7"/>
        <v>225726.61999999965</v>
      </c>
      <c r="M18" s="153">
        <f t="shared" si="2"/>
        <v>0.11958747958564042</v>
      </c>
      <c r="N18" s="148">
        <f>'2024'!H18</f>
        <v>1177745.5099999998</v>
      </c>
      <c r="O18" s="148">
        <f>'2024'!H94</f>
        <v>953912.25016085315</v>
      </c>
      <c r="P18" s="149">
        <f t="shared" si="6"/>
        <v>223833.25983914663</v>
      </c>
      <c r="Q18" s="151">
        <f t="shared" si="3"/>
        <v>0.23464764164775409</v>
      </c>
      <c r="R18" s="148">
        <f>'2023'!H18</f>
        <v>915385.23</v>
      </c>
      <c r="S18" s="149">
        <f t="shared" si="4"/>
        <v>262360.2799999998</v>
      </c>
      <c r="T18" s="153">
        <f t="shared" si="5"/>
        <v>0.28661187814883116</v>
      </c>
      <c r="W18" s="470"/>
      <c r="Y18" s="470"/>
    </row>
    <row r="19" spans="1:25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154">
        <f>'2024'!S19</f>
        <v>64757515.38000001</v>
      </c>
      <c r="H19" s="154">
        <f>SUM('2024'!G95:H95)</f>
        <v>59900108.001339942</v>
      </c>
      <c r="I19" s="155">
        <f t="shared" si="0"/>
        <v>4857407.3786600679</v>
      </c>
      <c r="J19" s="157">
        <f t="shared" si="1"/>
        <v>8.1091796671742378E-2</v>
      </c>
      <c r="K19" s="154">
        <f>SUM('2023'!G19:H19)</f>
        <v>57112208.889999993</v>
      </c>
      <c r="L19" s="155">
        <f t="shared" si="7"/>
        <v>7645306.490000017</v>
      </c>
      <c r="M19" s="159">
        <f t="shared" si="2"/>
        <v>0.13386466113970719</v>
      </c>
      <c r="N19" s="154">
        <f>'2024'!H19</f>
        <v>51209301.960000008</v>
      </c>
      <c r="O19" s="154">
        <f>'2024'!H95</f>
        <v>43548052.584407724</v>
      </c>
      <c r="P19" s="155">
        <f t="shared" si="6"/>
        <v>7661249.3755922839</v>
      </c>
      <c r="Q19" s="157">
        <f t="shared" si="3"/>
        <v>0.17592633702144878</v>
      </c>
      <c r="R19" s="154">
        <f>'2023'!H19</f>
        <v>41494879.25999999</v>
      </c>
      <c r="S19" s="155">
        <f t="shared" si="4"/>
        <v>9714422.7000000179</v>
      </c>
      <c r="T19" s="159">
        <f t="shared" si="5"/>
        <v>0.23411136201002214</v>
      </c>
      <c r="W19" s="470"/>
      <c r="Y19" s="470"/>
    </row>
    <row r="20" spans="1:25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f>'2024'!S20</f>
        <v>59368540.660000011</v>
      </c>
      <c r="H20" s="148">
        <f>SUM('2024'!G96:H96)</f>
        <v>55412978.119685329</v>
      </c>
      <c r="I20" s="149">
        <f t="shared" si="0"/>
        <v>3955562.5403146818</v>
      </c>
      <c r="J20" s="151">
        <f t="shared" si="1"/>
        <v>7.138332344764331E-2</v>
      </c>
      <c r="K20" s="148">
        <f>SUM('2023'!G20:H20)</f>
        <v>52119563.43</v>
      </c>
      <c r="L20" s="149">
        <f t="shared" si="7"/>
        <v>7248977.2300000116</v>
      </c>
      <c r="M20" s="153">
        <f t="shared" si="2"/>
        <v>0.13908361377078426</v>
      </c>
      <c r="N20" s="148">
        <f>'2024'!H20</f>
        <v>47091163.350000009</v>
      </c>
      <c r="O20" s="148">
        <f>'2024'!H96</f>
        <v>40305437.222684398</v>
      </c>
      <c r="P20" s="149">
        <f t="shared" si="6"/>
        <v>6785726.1273156106</v>
      </c>
      <c r="Q20" s="151">
        <f t="shared" si="3"/>
        <v>0.16835758634312792</v>
      </c>
      <c r="R20" s="148">
        <f>'2023'!H20</f>
        <v>37909924.049999997</v>
      </c>
      <c r="S20" s="149">
        <f t="shared" si="4"/>
        <v>9181239.3000000119</v>
      </c>
      <c r="T20" s="153">
        <f t="shared" si="5"/>
        <v>0.24218564215245397</v>
      </c>
      <c r="W20" s="470"/>
      <c r="Y20" s="470"/>
    </row>
    <row r="21" spans="1:25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f>'2024'!S21</f>
        <v>690004.1599999998</v>
      </c>
      <c r="H21" s="148">
        <f>SUM('2024'!G97:H97)</f>
        <v>404555.04286494048</v>
      </c>
      <c r="I21" s="149">
        <f t="shared" si="0"/>
        <v>285449.11713505932</v>
      </c>
      <c r="J21" s="151">
        <f t="shared" si="1"/>
        <v>0.70558783574564332</v>
      </c>
      <c r="K21" s="148">
        <f>SUM('2023'!G21:H21)</f>
        <v>948080.52</v>
      </c>
      <c r="L21" s="149">
        <f t="shared" si="7"/>
        <v>-258076.36000000022</v>
      </c>
      <c r="M21" s="153">
        <f t="shared" si="2"/>
        <v>-0.27220932669305364</v>
      </c>
      <c r="N21" s="148">
        <f>'2024'!H21</f>
        <v>382153.79999999981</v>
      </c>
      <c r="O21" s="148">
        <f>'2024'!H97</f>
        <v>275556.51165052858</v>
      </c>
      <c r="P21" s="149">
        <f t="shared" si="6"/>
        <v>106597.28834947123</v>
      </c>
      <c r="Q21" s="151">
        <f t="shared" si="3"/>
        <v>0.38684365581119717</v>
      </c>
      <c r="R21" s="148">
        <f>'2023'!H21</f>
        <v>645770.62</v>
      </c>
      <c r="S21" s="149">
        <f t="shared" si="4"/>
        <v>-263616.82000000018</v>
      </c>
      <c r="T21" s="153">
        <f t="shared" si="5"/>
        <v>-0.40822052263697006</v>
      </c>
      <c r="W21" s="470"/>
      <c r="Y21" s="470"/>
    </row>
    <row r="22" spans="1:25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f>'2024'!S22</f>
        <v>2773217.87</v>
      </c>
      <c r="H22" s="148">
        <f>SUM('2024'!G98:H98)</f>
        <v>2368443.4352099472</v>
      </c>
      <c r="I22" s="149">
        <f t="shared" si="0"/>
        <v>404774.43479005294</v>
      </c>
      <c r="J22" s="151">
        <f t="shared" si="1"/>
        <v>0.17090314624895075</v>
      </c>
      <c r="K22" s="148">
        <f>SUM('2023'!G22:H22)</f>
        <v>2390407.9</v>
      </c>
      <c r="L22" s="149">
        <f t="shared" si="7"/>
        <v>382809.9700000002</v>
      </c>
      <c r="M22" s="153">
        <f t="shared" si="2"/>
        <v>0.16014420384069195</v>
      </c>
      <c r="N22" s="148">
        <f>'2024'!H22</f>
        <v>2203988.56</v>
      </c>
      <c r="O22" s="148">
        <f>'2024'!H98</f>
        <v>1715642.9051287719</v>
      </c>
      <c r="P22" s="149">
        <f t="shared" si="6"/>
        <v>488345.65487122815</v>
      </c>
      <c r="Q22" s="151">
        <f t="shared" si="3"/>
        <v>0.28464294837309057</v>
      </c>
      <c r="R22" s="148">
        <f>'2023'!H22</f>
        <v>1731553.43</v>
      </c>
      <c r="S22" s="149">
        <f t="shared" si="4"/>
        <v>472435.13000000012</v>
      </c>
      <c r="T22" s="153">
        <f t="shared" si="5"/>
        <v>0.27283889819097307</v>
      </c>
      <c r="W22" s="470"/>
      <c r="Y22" s="470"/>
    </row>
    <row r="23" spans="1:25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f>'2024'!S23</f>
        <v>1925752.6899999995</v>
      </c>
      <c r="H23" s="148">
        <f>SUM('2024'!G99:H99)</f>
        <v>1714131.4035797361</v>
      </c>
      <c r="I23" s="149">
        <f t="shared" si="0"/>
        <v>211621.28642026335</v>
      </c>
      <c r="J23" s="151">
        <f t="shared" si="1"/>
        <v>0.12345686332933425</v>
      </c>
      <c r="K23" s="148">
        <f>SUM('2023'!G23:H23)</f>
        <v>1654157.04</v>
      </c>
      <c r="L23" s="149">
        <f t="shared" si="7"/>
        <v>271595.64999999944</v>
      </c>
      <c r="M23" s="153">
        <f t="shared" si="2"/>
        <v>0.16418976157185128</v>
      </c>
      <c r="N23" s="148">
        <f>'2024'!H23</f>
        <v>1531996.2499999995</v>
      </c>
      <c r="O23" s="148">
        <f>'2024'!H99</f>
        <v>1251415.9449440332</v>
      </c>
      <c r="P23" s="149">
        <f t="shared" si="6"/>
        <v>280580.30505596637</v>
      </c>
      <c r="Q23" s="151">
        <f t="shared" si="3"/>
        <v>0.22421026852787529</v>
      </c>
      <c r="R23" s="148">
        <f>'2023'!H23</f>
        <v>1207631.1599999999</v>
      </c>
      <c r="S23" s="149">
        <f t="shared" si="4"/>
        <v>324365.08999999962</v>
      </c>
      <c r="T23" s="153">
        <f t="shared" si="5"/>
        <v>0.26859615811834447</v>
      </c>
      <c r="W23" s="470"/>
      <c r="Y23" s="470"/>
    </row>
    <row r="24" spans="1:25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f>'2024'!S24</f>
        <v>1797911.71</v>
      </c>
      <c r="H24" s="160">
        <f>SUM('2024'!G100:H100)</f>
        <v>1702345.7058079515</v>
      </c>
      <c r="I24" s="161">
        <f t="shared" si="0"/>
        <v>95566.004192048451</v>
      </c>
      <c r="J24" s="163">
        <f t="shared" si="1"/>
        <v>5.6137836084646286E-2</v>
      </c>
      <c r="K24" s="160">
        <f>SUM('2023'!G24:H24)</f>
        <v>1705271.45</v>
      </c>
      <c r="L24" s="161">
        <f t="shared" si="7"/>
        <v>92640.260000000009</v>
      </c>
      <c r="M24" s="165">
        <f t="shared" si="2"/>
        <v>5.4325814227406344E-2</v>
      </c>
      <c r="N24" s="160">
        <f>'2024'!H24</f>
        <v>961084.58</v>
      </c>
      <c r="O24" s="160">
        <f>'2024'!H100</f>
        <v>953485.20987465465</v>
      </c>
      <c r="P24" s="161">
        <f t="shared" si="6"/>
        <v>7599.3701253453037</v>
      </c>
      <c r="Q24" s="163">
        <f t="shared" si="3"/>
        <v>7.9700975396821416E-3</v>
      </c>
      <c r="R24" s="160">
        <f>'2023'!H24</f>
        <v>957673.57000000007</v>
      </c>
      <c r="S24" s="161">
        <f t="shared" si="4"/>
        <v>3411.0099999998929</v>
      </c>
      <c r="T24" s="165">
        <f t="shared" si="5"/>
        <v>3.5617668763687771E-3</v>
      </c>
      <c r="W24" s="470"/>
      <c r="Y24" s="470"/>
    </row>
    <row r="25" spans="1:25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f>'2024'!S25</f>
        <v>6603333.9100000001</v>
      </c>
      <c r="H25" s="160">
        <f>SUM('2024'!G101:H101)</f>
        <v>5751143.1908890605</v>
      </c>
      <c r="I25" s="161">
        <f t="shared" si="0"/>
        <v>852190.71911093965</v>
      </c>
      <c r="J25" s="163">
        <f t="shared" si="1"/>
        <v>0.14817762153113789</v>
      </c>
      <c r="K25" s="160">
        <f>SUM('2023'!G25:H25)</f>
        <v>15535492.100000001</v>
      </c>
      <c r="L25" s="161">
        <f t="shared" si="7"/>
        <v>-8932158.1900000013</v>
      </c>
      <c r="M25" s="165">
        <f t="shared" si="2"/>
        <v>-0.57495173841322988</v>
      </c>
      <c r="N25" s="160">
        <f>'2024'!H25</f>
        <v>4111753.2299999995</v>
      </c>
      <c r="O25" s="160">
        <f>'2024'!H101</f>
        <v>3068842.3901493941</v>
      </c>
      <c r="P25" s="161">
        <f t="shared" si="6"/>
        <v>1042910.8398506055</v>
      </c>
      <c r="Q25" s="163">
        <f t="shared" si="3"/>
        <v>0.33983851474361182</v>
      </c>
      <c r="R25" s="160">
        <f>'2023'!H25</f>
        <v>3748417.33</v>
      </c>
      <c r="S25" s="161">
        <f t="shared" si="4"/>
        <v>363335.89999999944</v>
      </c>
      <c r="T25" s="165">
        <f t="shared" si="5"/>
        <v>9.693048239108415E-2</v>
      </c>
      <c r="W25" s="470"/>
      <c r="Y25" s="470"/>
    </row>
    <row r="26" spans="1:25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f>'2024'!S26</f>
        <v>13094952.100000001</v>
      </c>
      <c r="H26" s="160">
        <f>SUM('2024'!G102:H102)</f>
        <v>9394746.3258149959</v>
      </c>
      <c r="I26" s="161">
        <f t="shared" si="0"/>
        <v>3700205.7741850056</v>
      </c>
      <c r="J26" s="163">
        <f t="shared" si="1"/>
        <v>0.39385904055945997</v>
      </c>
      <c r="K26" s="160">
        <f>SUM('2023'!G26:H26)</f>
        <v>36667420.299999997</v>
      </c>
      <c r="L26" s="161">
        <f t="shared" si="7"/>
        <v>-23572468.199999996</v>
      </c>
      <c r="M26" s="165">
        <f t="shared" si="2"/>
        <v>-0.64287228300050325</v>
      </c>
      <c r="N26" s="160">
        <f>'2024'!H26</f>
        <v>2449150.5099999988</v>
      </c>
      <c r="O26" s="160">
        <f>'2024'!H102</f>
        <v>4543893.9555307049</v>
      </c>
      <c r="P26" s="161">
        <f t="shared" si="6"/>
        <v>-2094743.4455307061</v>
      </c>
      <c r="Q26" s="163">
        <f t="shared" si="3"/>
        <v>-0.46100183367638692</v>
      </c>
      <c r="R26" s="160">
        <f>'2023'!H26</f>
        <v>2085915.62</v>
      </c>
      <c r="S26" s="161">
        <f t="shared" si="4"/>
        <v>363234.88999999873</v>
      </c>
      <c r="T26" s="165">
        <f t="shared" si="5"/>
        <v>0.17413690492427425</v>
      </c>
      <c r="W26" s="470"/>
      <c r="Y26" s="470"/>
    </row>
    <row r="27" spans="1:25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f>'2024'!S27</f>
        <v>0</v>
      </c>
      <c r="H27" s="160">
        <f>SUM('2024'!G103:H103)</f>
        <v>0</v>
      </c>
      <c r="I27" s="161">
        <f t="shared" si="0"/>
        <v>0</v>
      </c>
      <c r="J27" s="163" t="str">
        <f t="shared" si="1"/>
        <v>...</v>
      </c>
      <c r="K27" s="160">
        <f>SUM('2023'!G27:H27)</f>
        <v>0</v>
      </c>
      <c r="L27" s="161">
        <f t="shared" si="7"/>
        <v>0</v>
      </c>
      <c r="M27" s="165" t="str">
        <f t="shared" si="2"/>
        <v>...</v>
      </c>
      <c r="N27" s="160">
        <f>'2024'!H27</f>
        <v>0</v>
      </c>
      <c r="O27" s="160">
        <f>'2024'!H103</f>
        <v>0</v>
      </c>
      <c r="P27" s="161">
        <f t="shared" si="6"/>
        <v>0</v>
      </c>
      <c r="Q27" s="163" t="str">
        <f t="shared" si="3"/>
        <v>...</v>
      </c>
      <c r="R27" s="160">
        <f>'2023'!H27</f>
        <v>0</v>
      </c>
      <c r="S27" s="161">
        <f t="shared" si="4"/>
        <v>0</v>
      </c>
      <c r="T27" s="165" t="str">
        <f t="shared" si="5"/>
        <v>...</v>
      </c>
      <c r="W27" s="470"/>
      <c r="Y27" s="470"/>
    </row>
    <row r="28" spans="1:25" ht="15.7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f>'2024'!S28</f>
        <v>4361380.1099999994</v>
      </c>
      <c r="H28" s="160">
        <f>SUM('2024'!G104:H104)</f>
        <v>5850000</v>
      </c>
      <c r="I28" s="161">
        <f t="shared" si="0"/>
        <v>-1488619.8900000006</v>
      </c>
      <c r="J28" s="163">
        <f t="shared" si="1"/>
        <v>-0.25446493846153861</v>
      </c>
      <c r="K28" s="160">
        <f>SUM('2023'!G28:H28)</f>
        <v>4476290.79</v>
      </c>
      <c r="L28" s="161">
        <f t="shared" si="7"/>
        <v>-114910.68000000063</v>
      </c>
      <c r="M28" s="165">
        <f t="shared" si="2"/>
        <v>-2.5670959593757869E-2</v>
      </c>
      <c r="N28" s="160">
        <f>'2024'!H28</f>
        <v>129055.75</v>
      </c>
      <c r="O28" s="160">
        <f>'2024'!H104</f>
        <v>1850000</v>
      </c>
      <c r="P28" s="161">
        <f t="shared" si="6"/>
        <v>-1720944.25</v>
      </c>
      <c r="Q28" s="163">
        <f t="shared" si="3"/>
        <v>-0.93024013513513515</v>
      </c>
      <c r="R28" s="160">
        <f>'2023'!H28</f>
        <v>3060381.49</v>
      </c>
      <c r="S28" s="161">
        <f t="shared" si="4"/>
        <v>-2931325.74</v>
      </c>
      <c r="T28" s="165">
        <f t="shared" si="5"/>
        <v>-0.95783017560990413</v>
      </c>
      <c r="W28" s="470"/>
      <c r="Y28" s="470"/>
    </row>
    <row r="29" spans="1:25" ht="15.7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'2024'!S29</f>
        <v>352385632.38</v>
      </c>
      <c r="H29" s="136">
        <f>SUM('2024'!G105:H105)</f>
        <v>417480288.26999998</v>
      </c>
      <c r="I29" s="137">
        <f t="shared" si="0"/>
        <v>-65094655.889999986</v>
      </c>
      <c r="J29" s="139">
        <f t="shared" si="1"/>
        <v>-0.15592270514075357</v>
      </c>
      <c r="K29" s="136">
        <f>SUM('2023'!G29:H29)</f>
        <v>285542449.34999996</v>
      </c>
      <c r="L29" s="137">
        <f t="shared" si="7"/>
        <v>66843183.030000031</v>
      </c>
      <c r="M29" s="141">
        <f t="shared" si="2"/>
        <v>0.23409192987648519</v>
      </c>
      <c r="N29" s="136">
        <f>'2024'!H29</f>
        <v>214470792.86000001</v>
      </c>
      <c r="O29" s="136">
        <f>'2024'!H105</f>
        <v>232561234.48499998</v>
      </c>
      <c r="P29" s="137">
        <f t="shared" si="6"/>
        <v>-18090441.62499997</v>
      </c>
      <c r="Q29" s="139">
        <f t="shared" si="3"/>
        <v>-7.77878637644005E-2</v>
      </c>
      <c r="R29" s="136">
        <f>'2023'!H29</f>
        <v>170548361.65999997</v>
      </c>
      <c r="S29" s="137">
        <f t="shared" si="4"/>
        <v>43922431.200000048</v>
      </c>
      <c r="T29" s="141">
        <f t="shared" si="5"/>
        <v>0.25753651792658361</v>
      </c>
      <c r="W29" s="470"/>
      <c r="Y29" s="470"/>
    </row>
    <row r="30" spans="1:25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294">
        <f>'2024'!S30</f>
        <v>143726539.87</v>
      </c>
      <c r="H30" s="294">
        <f>SUM('2024'!G106:H106)</f>
        <v>174784803.06999999</v>
      </c>
      <c r="I30" s="173">
        <f t="shared" si="0"/>
        <v>-31058263.199999988</v>
      </c>
      <c r="J30" s="175">
        <f t="shared" si="1"/>
        <v>-0.17769429981599361</v>
      </c>
      <c r="K30" s="294">
        <f>SUM('2023'!G30:H30)</f>
        <v>124904339.56</v>
      </c>
      <c r="L30" s="173">
        <f t="shared" si="7"/>
        <v>18822200.310000002</v>
      </c>
      <c r="M30" s="177">
        <f t="shared" si="2"/>
        <v>0.15069292529230682</v>
      </c>
      <c r="N30" s="294">
        <f>'2024'!H30</f>
        <v>82091374.189999998</v>
      </c>
      <c r="O30" s="294">
        <f>'2024'!H106</f>
        <v>86906152.424999982</v>
      </c>
      <c r="P30" s="173">
        <f t="shared" si="6"/>
        <v>-4814778.2349999845</v>
      </c>
      <c r="Q30" s="175">
        <f t="shared" si="3"/>
        <v>-5.5402041174877015E-2</v>
      </c>
      <c r="R30" s="294">
        <f>'2023'!H30</f>
        <v>71583540.930000007</v>
      </c>
      <c r="S30" s="173">
        <f t="shared" si="4"/>
        <v>10507833.25999999</v>
      </c>
      <c r="T30" s="177">
        <f t="shared" si="5"/>
        <v>0.14679119143149633</v>
      </c>
      <c r="W30" s="470"/>
      <c r="Y30" s="470"/>
    </row>
    <row r="31" spans="1:25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f>'2024'!S31</f>
        <v>110894563.71000001</v>
      </c>
      <c r="H31" s="148">
        <f>SUM('2024'!G107:H107)</f>
        <v>113052653.23999998</v>
      </c>
      <c r="I31" s="149">
        <f t="shared" si="0"/>
        <v>-2158089.5299999714</v>
      </c>
      <c r="J31" s="151">
        <f t="shared" si="1"/>
        <v>-1.9089242650666138E-2</v>
      </c>
      <c r="K31" s="148">
        <f>SUM('2023'!G31:H31)</f>
        <v>100637880.86</v>
      </c>
      <c r="L31" s="149">
        <f t="shared" si="7"/>
        <v>10256682.850000009</v>
      </c>
      <c r="M31" s="153">
        <f t="shared" si="2"/>
        <v>0.10191672124205753</v>
      </c>
      <c r="N31" s="148">
        <f>'2024'!H31</f>
        <v>55733027.880000003</v>
      </c>
      <c r="O31" s="148">
        <f>'2024'!H107</f>
        <v>55816093.644999981</v>
      </c>
      <c r="P31" s="149">
        <f>+N31-O31</f>
        <v>-83065.764999978244</v>
      </c>
      <c r="Q31" s="151">
        <f>IF(+IF(ISERROR(N31/O31),"…",N31/O31-1)&gt;200%,"...",IF(ISERROR(N31/O31),"…",N31/O31-1))</f>
        <v>-1.4882045584968528E-3</v>
      </c>
      <c r="R31" s="148">
        <f>'2023'!H31</f>
        <v>54859279.479999997</v>
      </c>
      <c r="S31" s="149">
        <f t="shared" si="4"/>
        <v>873748.40000000596</v>
      </c>
      <c r="T31" s="153">
        <f t="shared" si="5"/>
        <v>1.592708486662775E-2</v>
      </c>
      <c r="W31" s="470"/>
      <c r="Y31" s="470"/>
    </row>
    <row r="32" spans="1:25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f>'2024'!S32</f>
        <v>1943120.6000000006</v>
      </c>
      <c r="H32" s="148">
        <f>SUM('2024'!G108:H108)</f>
        <v>3841205.1100000013</v>
      </c>
      <c r="I32" s="149">
        <f t="shared" si="0"/>
        <v>-1898084.5100000007</v>
      </c>
      <c r="J32" s="151">
        <f t="shared" si="1"/>
        <v>-0.4941377655305681</v>
      </c>
      <c r="K32" s="148">
        <f>SUM('2023'!G32:H32)</f>
        <v>1311044.47</v>
      </c>
      <c r="L32" s="149">
        <f t="shared" si="7"/>
        <v>632076.13000000059</v>
      </c>
      <c r="M32" s="153">
        <f t="shared" si="2"/>
        <v>0.48211646855884349</v>
      </c>
      <c r="N32" s="148">
        <f>'2024'!H32</f>
        <v>1838329.9900000005</v>
      </c>
      <c r="O32" s="148">
        <f>'2024'!H108</f>
        <v>1740741.4700000007</v>
      </c>
      <c r="P32" s="149">
        <f t="shared" si="6"/>
        <v>97588.519999999786</v>
      </c>
      <c r="Q32" s="151">
        <f t="shared" si="3"/>
        <v>5.6061466726589737E-2</v>
      </c>
      <c r="R32" s="148">
        <f>'2023'!H32</f>
        <v>1011550.84</v>
      </c>
      <c r="S32" s="149">
        <f t="shared" si="4"/>
        <v>826779.15000000049</v>
      </c>
      <c r="T32" s="153">
        <f t="shared" si="5"/>
        <v>0.81733820714340033</v>
      </c>
      <c r="W32" s="470"/>
      <c r="Y32" s="470"/>
    </row>
    <row r="33" spans="1:25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f>'2024'!S33</f>
        <v>3387203.47</v>
      </c>
      <c r="H33" s="148">
        <f>SUM('2024'!G109:H109)</f>
        <v>7108091.7799999993</v>
      </c>
      <c r="I33" s="149">
        <f t="shared" si="0"/>
        <v>-3720888.3099999991</v>
      </c>
      <c r="J33" s="151">
        <f t="shared" si="1"/>
        <v>-0.52347218144670604</v>
      </c>
      <c r="K33" s="148">
        <f>SUM('2023'!G33:H33)</f>
        <v>2868115.43</v>
      </c>
      <c r="L33" s="149">
        <f t="shared" si="7"/>
        <v>519088.04000000004</v>
      </c>
      <c r="M33" s="153">
        <f t="shared" si="2"/>
        <v>0.18098575621135304</v>
      </c>
      <c r="N33" s="148">
        <f>'2024'!H33</f>
        <v>3185464.5300000003</v>
      </c>
      <c r="O33" s="148">
        <f>'2024'!H109</f>
        <v>4515110.08</v>
      </c>
      <c r="P33" s="149">
        <f t="shared" si="6"/>
        <v>-1329645.5499999998</v>
      </c>
      <c r="Q33" s="151">
        <f t="shared" si="3"/>
        <v>-0.2944879585305703</v>
      </c>
      <c r="R33" s="148">
        <f>'2023'!H33</f>
        <v>2773833.27</v>
      </c>
      <c r="S33" s="149">
        <f t="shared" si="4"/>
        <v>411631.26000000024</v>
      </c>
      <c r="T33" s="153">
        <f t="shared" si="5"/>
        <v>0.14839798211808186</v>
      </c>
      <c r="W33" s="470"/>
      <c r="Y33" s="470"/>
    </row>
    <row r="34" spans="1:25">
      <c r="A34" s="135">
        <v>414</v>
      </c>
      <c r="B34" s="558" t="str">
        <f>+VLOOKUP($A34,Master!$D$30:$G$226,4,FALSE)</f>
        <v>Rashodi za usluge</v>
      </c>
      <c r="C34" s="559"/>
      <c r="D34" s="559"/>
      <c r="E34" s="559"/>
      <c r="F34" s="559"/>
      <c r="G34" s="148">
        <f>'2024'!S34</f>
        <v>4084331.96</v>
      </c>
      <c r="H34" s="148">
        <f>SUM('2024'!G110:H110)</f>
        <v>9438405.8800000008</v>
      </c>
      <c r="I34" s="149">
        <f t="shared" si="0"/>
        <v>-5354073.9200000009</v>
      </c>
      <c r="J34" s="151">
        <f t="shared" si="1"/>
        <v>-0.56726464066832438</v>
      </c>
      <c r="K34" s="148">
        <f>SUM('2023'!G34:H34)</f>
        <v>4630511.4400000004</v>
      </c>
      <c r="L34" s="149">
        <f t="shared" si="7"/>
        <v>-546179.48000000045</v>
      </c>
      <c r="M34" s="153">
        <f t="shared" si="2"/>
        <v>-0.11795230118252342</v>
      </c>
      <c r="N34" s="148">
        <f>'2024'!H34</f>
        <v>3310851.63</v>
      </c>
      <c r="O34" s="148">
        <f>'2024'!H110</f>
        <v>6097662.4100000001</v>
      </c>
      <c r="P34" s="149">
        <f t="shared" si="6"/>
        <v>-2786810.7800000003</v>
      </c>
      <c r="Q34" s="151">
        <f t="shared" si="3"/>
        <v>-0.45702936512682413</v>
      </c>
      <c r="R34" s="148">
        <f>'2023'!H34</f>
        <v>3752919.1</v>
      </c>
      <c r="S34" s="149">
        <f t="shared" si="4"/>
        <v>-442067.4700000002</v>
      </c>
      <c r="T34" s="153">
        <f t="shared" si="5"/>
        <v>-0.11779296548119045</v>
      </c>
      <c r="W34" s="470"/>
      <c r="Y34" s="470"/>
    </row>
    <row r="35" spans="1:25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f>'2024'!S35</f>
        <v>1448864.7699999998</v>
      </c>
      <c r="H35" s="148">
        <f>SUM('2024'!G111:H111)</f>
        <v>4439851</v>
      </c>
      <c r="I35" s="149">
        <f t="shared" si="0"/>
        <v>-2990986.2300000004</v>
      </c>
      <c r="J35" s="151">
        <f t="shared" si="1"/>
        <v>-0.67366815462951357</v>
      </c>
      <c r="K35" s="148">
        <f>SUM('2023'!G35:H35)</f>
        <v>558249.99</v>
      </c>
      <c r="L35" s="149">
        <f t="shared" si="7"/>
        <v>890614.7799999998</v>
      </c>
      <c r="M35" s="153">
        <f t="shared" si="2"/>
        <v>1.5953690926174486</v>
      </c>
      <c r="N35" s="148">
        <f>'2024'!H35</f>
        <v>1444663.1699999997</v>
      </c>
      <c r="O35" s="148">
        <f>'2024'!H111</f>
        <v>2906620.62</v>
      </c>
      <c r="P35" s="149">
        <f t="shared" si="6"/>
        <v>-1461957.4500000004</v>
      </c>
      <c r="Q35" s="151">
        <f t="shared" si="3"/>
        <v>-0.50297498061511736</v>
      </c>
      <c r="R35" s="148">
        <f>'2023'!H35</f>
        <v>554177.94999999995</v>
      </c>
      <c r="S35" s="149">
        <f t="shared" si="4"/>
        <v>890485.21999999974</v>
      </c>
      <c r="T35" s="153">
        <f t="shared" si="5"/>
        <v>1.6068579054796386</v>
      </c>
      <c r="W35" s="470"/>
      <c r="Y35" s="470"/>
    </row>
    <row r="36" spans="1:25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f>'2024'!S36</f>
        <v>8158521.4300000006</v>
      </c>
      <c r="H36" s="148">
        <f>SUM('2024'!G112:H112)</f>
        <v>11717026.729999999</v>
      </c>
      <c r="I36" s="149">
        <f t="shared" si="0"/>
        <v>-3558505.299999998</v>
      </c>
      <c r="J36" s="151">
        <f t="shared" si="1"/>
        <v>-0.3037037792948688</v>
      </c>
      <c r="K36" s="148">
        <f>SUM('2023'!G36:H36)</f>
        <v>6397962.5500000007</v>
      </c>
      <c r="L36" s="149">
        <f t="shared" si="7"/>
        <v>1760558.88</v>
      </c>
      <c r="M36" s="153">
        <f t="shared" si="2"/>
        <v>0.27517492736808835</v>
      </c>
      <c r="N36" s="148">
        <f>'2024'!H36</f>
        <v>4129191.9600000004</v>
      </c>
      <c r="O36" s="148">
        <f>'2024'!H112</f>
        <v>3853520.3899999992</v>
      </c>
      <c r="P36" s="149">
        <f t="shared" si="6"/>
        <v>275671.57000000123</v>
      </c>
      <c r="Q36" s="151">
        <f t="shared" si="3"/>
        <v>7.1537592149603535E-2</v>
      </c>
      <c r="R36" s="148">
        <f>'2023'!H36</f>
        <v>2431066.79</v>
      </c>
      <c r="S36" s="149">
        <f t="shared" si="4"/>
        <v>1698125.1700000004</v>
      </c>
      <c r="T36" s="153">
        <f t="shared" si="5"/>
        <v>0.69851029062019321</v>
      </c>
      <c r="W36" s="470"/>
      <c r="Y36" s="470"/>
    </row>
    <row r="37" spans="1:25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f>'2024'!S37</f>
        <v>1060288.4699999997</v>
      </c>
      <c r="H37" s="148">
        <f>SUM('2024'!G113:H113)</f>
        <v>2337777.7399999998</v>
      </c>
      <c r="I37" s="149">
        <f t="shared" si="0"/>
        <v>-1277489.27</v>
      </c>
      <c r="J37" s="151">
        <f t="shared" si="1"/>
        <v>-0.5464545444769271</v>
      </c>
      <c r="K37" s="148">
        <f>SUM('2023'!G37:H37)</f>
        <v>932761.20999999985</v>
      </c>
      <c r="L37" s="149">
        <f t="shared" si="7"/>
        <v>127527.25999999989</v>
      </c>
      <c r="M37" s="153">
        <f t="shared" si="2"/>
        <v>0.13672015799199011</v>
      </c>
      <c r="N37" s="148">
        <f>'2024'!H37</f>
        <v>1060132.9999999998</v>
      </c>
      <c r="O37" s="148">
        <f>'2024'!H113</f>
        <v>1161701.6599999999</v>
      </c>
      <c r="P37" s="149">
        <f t="shared" si="6"/>
        <v>-101568.66000000015</v>
      </c>
      <c r="Q37" s="151">
        <f t="shared" si="3"/>
        <v>-8.7430932998753041E-2</v>
      </c>
      <c r="R37" s="148">
        <f>'2023'!H37</f>
        <v>930382.83999999985</v>
      </c>
      <c r="S37" s="149">
        <f t="shared" si="4"/>
        <v>129750.15999999992</v>
      </c>
      <c r="T37" s="153">
        <f t="shared" si="5"/>
        <v>0.13945889199762096</v>
      </c>
      <c r="W37" s="470"/>
      <c r="Y37" s="470"/>
    </row>
    <row r="38" spans="1:25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f>'2024'!S38</f>
        <v>5084763.8499999922</v>
      </c>
      <c r="H38" s="148">
        <f>SUM('2024'!G114:H114)</f>
        <v>6244050.9000000004</v>
      </c>
      <c r="I38" s="149">
        <f t="shared" si="0"/>
        <v>-1159287.0500000082</v>
      </c>
      <c r="J38" s="151">
        <f t="shared" si="1"/>
        <v>-0.18566265210938748</v>
      </c>
      <c r="K38" s="148">
        <f>SUM('2023'!G38:H38)</f>
        <v>3926814.9400000004</v>
      </c>
      <c r="L38" s="149">
        <f t="shared" si="7"/>
        <v>1157948.9099999918</v>
      </c>
      <c r="M38" s="153">
        <f t="shared" si="2"/>
        <v>0.2948824754140289</v>
      </c>
      <c r="N38" s="148">
        <f>'2024'!H38</f>
        <v>3823193.8399999929</v>
      </c>
      <c r="O38" s="148">
        <f>'2024'!H114</f>
        <v>3401967.33</v>
      </c>
      <c r="P38" s="149">
        <f t="shared" si="6"/>
        <v>421226.50999999279</v>
      </c>
      <c r="Q38" s="151">
        <f t="shared" si="3"/>
        <v>0.12381850533526229</v>
      </c>
      <c r="R38" s="148">
        <f>'2023'!H38</f>
        <v>2045866.6400000001</v>
      </c>
      <c r="S38" s="149">
        <f t="shared" si="4"/>
        <v>1777327.1999999927</v>
      </c>
      <c r="T38" s="153">
        <f t="shared" si="5"/>
        <v>0.86874049620360028</v>
      </c>
      <c r="W38" s="470"/>
      <c r="Y38" s="470"/>
    </row>
    <row r="39" spans="1:25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f>'2024'!S39</f>
        <v>7664881.6099999985</v>
      </c>
      <c r="H39" s="148">
        <f>SUM('2024'!G115:H115)</f>
        <v>16605740.689999999</v>
      </c>
      <c r="I39" s="149">
        <f t="shared" si="0"/>
        <v>-8940859.0800000019</v>
      </c>
      <c r="J39" s="151">
        <f t="shared" si="1"/>
        <v>-0.53841976981997552</v>
      </c>
      <c r="K39" s="148">
        <f>SUM('2023'!G39:H39)</f>
        <v>3640998.67</v>
      </c>
      <c r="L39" s="149">
        <f t="shared" si="7"/>
        <v>4023882.9399999985</v>
      </c>
      <c r="M39" s="153">
        <f t="shared" si="2"/>
        <v>1.105159134815064</v>
      </c>
      <c r="N39" s="148">
        <f>'2024'!H39</f>
        <v>7566518.1899999985</v>
      </c>
      <c r="O39" s="148">
        <f>'2024'!H115</f>
        <v>7412734.8200000003</v>
      </c>
      <c r="P39" s="149">
        <f t="shared" si="6"/>
        <v>153783.36999999825</v>
      </c>
      <c r="Q39" s="151">
        <f t="shared" si="3"/>
        <v>2.0745834531282759E-2</v>
      </c>
      <c r="R39" s="148">
        <f>'2023'!H39</f>
        <v>3224464.02</v>
      </c>
      <c r="S39" s="149">
        <f t="shared" si="4"/>
        <v>4342054.1699999981</v>
      </c>
      <c r="T39" s="153">
        <f t="shared" si="5"/>
        <v>1.3465971842352884</v>
      </c>
      <c r="W39" s="470"/>
      <c r="Y39" s="470"/>
    </row>
    <row r="40" spans="1:25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'2024'!S40</f>
        <v>150240428.06999999</v>
      </c>
      <c r="H40" s="178">
        <f>SUM('2024'!G116:H116)</f>
        <v>159837970.16</v>
      </c>
      <c r="I40" s="179">
        <f t="shared" si="0"/>
        <v>-9597542.0900000036</v>
      </c>
      <c r="J40" s="181">
        <f t="shared" si="1"/>
        <v>-6.0045445274315767E-2</v>
      </c>
      <c r="K40" s="178">
        <f>SUM('2023'!G40:H40)</f>
        <v>124797591.49999999</v>
      </c>
      <c r="L40" s="179">
        <f t="shared" si="7"/>
        <v>25442836.570000008</v>
      </c>
      <c r="M40" s="183">
        <f t="shared" si="2"/>
        <v>0.20387281728910622</v>
      </c>
      <c r="N40" s="178">
        <f>'2024'!H40</f>
        <v>82079333.410000011</v>
      </c>
      <c r="O40" s="178">
        <f>'2024'!H116</f>
        <v>84394445.159999996</v>
      </c>
      <c r="P40" s="179">
        <f t="shared" si="6"/>
        <v>-2315111.7499999851</v>
      </c>
      <c r="Q40" s="181">
        <f t="shared" si="3"/>
        <v>-2.7432039461967705E-2</v>
      </c>
      <c r="R40" s="178">
        <f>'2023'!H40</f>
        <v>66349683.089999989</v>
      </c>
      <c r="S40" s="179">
        <f t="shared" si="4"/>
        <v>15729650.320000023</v>
      </c>
      <c r="T40" s="183">
        <f t="shared" si="5"/>
        <v>0.23707197363193955</v>
      </c>
      <c r="W40" s="470"/>
      <c r="Y40" s="470"/>
    </row>
    <row r="41" spans="1:25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f>'2024'!S41</f>
        <v>34691194.149999999</v>
      </c>
      <c r="H41" s="148">
        <f>SUM('2024'!G117:H117)</f>
        <v>36660242.280000001</v>
      </c>
      <c r="I41" s="149">
        <f t="shared" si="0"/>
        <v>-1969048.1300000027</v>
      </c>
      <c r="J41" s="151">
        <f t="shared" si="1"/>
        <v>-5.3710723321493625E-2</v>
      </c>
      <c r="K41" s="148">
        <f>SUM('2023'!G41:H41)</f>
        <v>33792905.119999997</v>
      </c>
      <c r="L41" s="149">
        <f t="shared" si="7"/>
        <v>898289.03000000119</v>
      </c>
      <c r="M41" s="153">
        <f t="shared" si="2"/>
        <v>2.658217832441867E-2</v>
      </c>
      <c r="N41" s="148">
        <f>'2024'!H41</f>
        <v>17507547.41</v>
      </c>
      <c r="O41" s="148">
        <f>'2024'!H117</f>
        <v>17947481.420000002</v>
      </c>
      <c r="P41" s="149">
        <f t="shared" si="6"/>
        <v>-439934.01000000164</v>
      </c>
      <c r="Q41" s="151">
        <f t="shared" si="3"/>
        <v>-2.4512297837497976E-2</v>
      </c>
      <c r="R41" s="148">
        <f>'2023'!H41</f>
        <v>18599658.189999998</v>
      </c>
      <c r="S41" s="149">
        <f t="shared" si="4"/>
        <v>-1092110.7799999975</v>
      </c>
      <c r="T41" s="153">
        <f t="shared" si="5"/>
        <v>-5.8716712363411361E-2</v>
      </c>
      <c r="W41" s="470"/>
      <c r="Y41" s="470"/>
    </row>
    <row r="42" spans="1:25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f>'2024'!S42</f>
        <v>1977301.41</v>
      </c>
      <c r="H42" s="148">
        <f>SUM('2024'!G118:H118)</f>
        <v>4184383.3200000003</v>
      </c>
      <c r="I42" s="149">
        <f t="shared" si="0"/>
        <v>-2207081.91</v>
      </c>
      <c r="J42" s="151">
        <f t="shared" si="1"/>
        <v>-0.5274569132925423</v>
      </c>
      <c r="K42" s="148">
        <f>SUM('2023'!G42:H42)</f>
        <v>2161292.37</v>
      </c>
      <c r="L42" s="149">
        <f t="shared" si="7"/>
        <v>-183990.9600000002</v>
      </c>
      <c r="M42" s="153">
        <f t="shared" si="2"/>
        <v>-8.5130065026787771E-2</v>
      </c>
      <c r="N42" s="148">
        <f>'2024'!H42</f>
        <v>1977301.41</v>
      </c>
      <c r="O42" s="148">
        <f>'2024'!H118</f>
        <v>2092191.6600000001</v>
      </c>
      <c r="P42" s="149">
        <f t="shared" si="6"/>
        <v>-114890.25000000023</v>
      </c>
      <c r="Q42" s="151">
        <f t="shared" si="3"/>
        <v>-5.4913826585084591E-2</v>
      </c>
      <c r="R42" s="148">
        <f>'2023'!H42</f>
        <v>2161292.37</v>
      </c>
      <c r="S42" s="149">
        <f t="shared" si="4"/>
        <v>-183990.9600000002</v>
      </c>
      <c r="T42" s="153">
        <f t="shared" si="5"/>
        <v>-8.5130065026787771E-2</v>
      </c>
      <c r="W42" s="470"/>
      <c r="Y42" s="470"/>
    </row>
    <row r="43" spans="1:25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f>'2024'!S43</f>
        <v>110431026.19999999</v>
      </c>
      <c r="H43" s="148">
        <f>SUM('2024'!G119:H119)</f>
        <v>112883344.56</v>
      </c>
      <c r="I43" s="149">
        <f t="shared" si="0"/>
        <v>-2452318.3600000143</v>
      </c>
      <c r="J43" s="151">
        <f t="shared" si="1"/>
        <v>-2.1724359510774005E-2</v>
      </c>
      <c r="K43" s="148">
        <f>SUM('2023'!G43:H43)</f>
        <v>85747083.150000006</v>
      </c>
      <c r="L43" s="149">
        <f t="shared" si="7"/>
        <v>24683943.049999982</v>
      </c>
      <c r="M43" s="153">
        <f t="shared" si="2"/>
        <v>0.2878691862534799</v>
      </c>
      <c r="N43" s="148">
        <f>'2024'!H43</f>
        <v>60437360.329999998</v>
      </c>
      <c r="O43" s="148">
        <f>'2024'!H119</f>
        <v>61299772.079999998</v>
      </c>
      <c r="P43" s="149">
        <f t="shared" si="6"/>
        <v>-862411.75</v>
      </c>
      <c r="Q43" s="151">
        <f t="shared" si="3"/>
        <v>-1.4068759486976501E-2</v>
      </c>
      <c r="R43" s="148">
        <f>'2023'!H43</f>
        <v>43436982.68</v>
      </c>
      <c r="S43" s="149">
        <f t="shared" si="4"/>
        <v>17000377.649999999</v>
      </c>
      <c r="T43" s="153">
        <f t="shared" si="5"/>
        <v>0.3913802617286215</v>
      </c>
      <c r="W43" s="470"/>
      <c r="Y43" s="470"/>
    </row>
    <row r="44" spans="1:25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f>'2024'!S44</f>
        <v>1883252.78</v>
      </c>
      <c r="H44" s="148">
        <f>SUM('2024'!G120:H120)</f>
        <v>3510000</v>
      </c>
      <c r="I44" s="149">
        <f t="shared" si="0"/>
        <v>-1626747.22</v>
      </c>
      <c r="J44" s="151">
        <f t="shared" si="1"/>
        <v>-0.46346074643874646</v>
      </c>
      <c r="K44" s="148">
        <f>SUM('2023'!G44:H44)</f>
        <v>2149496.9900000002</v>
      </c>
      <c r="L44" s="149">
        <f t="shared" si="7"/>
        <v>-266244.2100000002</v>
      </c>
      <c r="M44" s="153">
        <f t="shared" si="2"/>
        <v>-0.12386349515195183</v>
      </c>
      <c r="N44" s="148">
        <f>'2024'!H44</f>
        <v>934218.77999999991</v>
      </c>
      <c r="O44" s="148">
        <f>'2024'!H120</f>
        <v>1755000</v>
      </c>
      <c r="P44" s="149">
        <f t="shared" si="6"/>
        <v>-820781.22000000009</v>
      </c>
      <c r="Q44" s="151">
        <f t="shared" si="3"/>
        <v>-0.46768160683760684</v>
      </c>
      <c r="R44" s="148">
        <f>'2023'!H44</f>
        <v>1204935.98</v>
      </c>
      <c r="S44" s="149">
        <f t="shared" si="4"/>
        <v>-270717.20000000007</v>
      </c>
      <c r="T44" s="153">
        <f t="shared" si="5"/>
        <v>-0.22467351335960606</v>
      </c>
      <c r="W44" s="470"/>
      <c r="Y44" s="470"/>
    </row>
    <row r="45" spans="1:25">
      <c r="A45" s="135">
        <v>425</v>
      </c>
      <c r="B45" s="558" t="str">
        <f>+VLOOKUP($A45,Master!$D$30:$G$226,4,FALSE)</f>
        <v>Ostala prava iz zdravstvenog osiguranja</v>
      </c>
      <c r="C45" s="559"/>
      <c r="D45" s="559"/>
      <c r="E45" s="559"/>
      <c r="F45" s="559"/>
      <c r="G45" s="148">
        <f>'2024'!S45</f>
        <v>1257653.53</v>
      </c>
      <c r="H45" s="148">
        <f>SUM('2024'!G121:H121)</f>
        <v>2600000</v>
      </c>
      <c r="I45" s="149">
        <f t="shared" si="0"/>
        <v>-1342346.47</v>
      </c>
      <c r="J45" s="151">
        <f t="shared" si="1"/>
        <v>-0.51628710384615384</v>
      </c>
      <c r="K45" s="148">
        <f>SUM('2023'!G45:H45)</f>
        <v>946813.87</v>
      </c>
      <c r="L45" s="149">
        <f t="shared" si="7"/>
        <v>310839.66000000003</v>
      </c>
      <c r="M45" s="153">
        <f t="shared" si="2"/>
        <v>0.32830070391765598</v>
      </c>
      <c r="N45" s="148">
        <f>'2024'!H45</f>
        <v>1222905.48</v>
      </c>
      <c r="O45" s="148">
        <f>'2024'!H121</f>
        <v>1300000</v>
      </c>
      <c r="P45" s="149">
        <f t="shared" si="6"/>
        <v>-77094.520000000019</v>
      </c>
      <c r="Q45" s="151">
        <f t="shared" si="3"/>
        <v>-5.9303476923076914E-2</v>
      </c>
      <c r="R45" s="148">
        <f>'2023'!H45</f>
        <v>946813.87</v>
      </c>
      <c r="S45" s="149">
        <f t="shared" si="4"/>
        <v>276091.61</v>
      </c>
      <c r="T45" s="153">
        <f t="shared" si="5"/>
        <v>0.29160072401558712</v>
      </c>
      <c r="W45" s="470"/>
      <c r="Y45" s="470"/>
    </row>
    <row r="46" spans="1:25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f>'2024'!S46</f>
        <v>38831483.750000007</v>
      </c>
      <c r="H46" s="160">
        <f>SUM('2024'!G122:H122)</f>
        <v>57552733.510000005</v>
      </c>
      <c r="I46" s="161">
        <f t="shared" si="0"/>
        <v>-18721249.759999998</v>
      </c>
      <c r="J46" s="163">
        <f t="shared" si="1"/>
        <v>-0.32528862867559727</v>
      </c>
      <c r="K46" s="160">
        <f>SUM('2023'!G46:H46)</f>
        <v>26758646.940000001</v>
      </c>
      <c r="L46" s="161">
        <f t="shared" si="7"/>
        <v>12072836.810000006</v>
      </c>
      <c r="M46" s="165">
        <f t="shared" si="2"/>
        <v>0.45117515983040968</v>
      </c>
      <c r="N46" s="160">
        <f>'2024'!H46</f>
        <v>35873257.970000006</v>
      </c>
      <c r="O46" s="160">
        <f>'2024'!H122</f>
        <v>42312688.720000006</v>
      </c>
      <c r="P46" s="161">
        <f t="shared" si="6"/>
        <v>-6439430.75</v>
      </c>
      <c r="Q46" s="163">
        <f t="shared" si="3"/>
        <v>-0.15218675401632564</v>
      </c>
      <c r="R46" s="160">
        <f>'2023'!H46</f>
        <v>24913818.260000002</v>
      </c>
      <c r="S46" s="161">
        <f t="shared" si="4"/>
        <v>10959439.710000005</v>
      </c>
      <c r="T46" s="165">
        <f t="shared" si="5"/>
        <v>0.43989402168818748</v>
      </c>
      <c r="W46" s="470"/>
      <c r="Y46" s="470"/>
    </row>
    <row r="47" spans="1:25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f>'2024'!S47</f>
        <v>13363994.270000001</v>
      </c>
      <c r="H47" s="160">
        <f>SUM('2024'!G123:H123)</f>
        <v>19786496.650000002</v>
      </c>
      <c r="I47" s="161">
        <f t="shared" si="0"/>
        <v>-6422502.3800000008</v>
      </c>
      <c r="J47" s="163">
        <f t="shared" si="1"/>
        <v>-0.32459017347065333</v>
      </c>
      <c r="K47" s="160">
        <f>SUM('2023'!G47:H47)</f>
        <v>4870642.3499999996</v>
      </c>
      <c r="L47" s="161">
        <f t="shared" si="7"/>
        <v>8493351.9200000018</v>
      </c>
      <c r="M47" s="165">
        <f t="shared" si="2"/>
        <v>1.7437847638309969</v>
      </c>
      <c r="N47" s="160">
        <f>'2024'!H47</f>
        <v>9832570.8200000003</v>
      </c>
      <c r="O47" s="160">
        <f>'2024'!H123</f>
        <v>15541125.270000001</v>
      </c>
      <c r="P47" s="161">
        <f t="shared" si="6"/>
        <v>-5708554.4500000011</v>
      </c>
      <c r="Q47" s="163">
        <f t="shared" si="3"/>
        <v>-0.36731924817693717</v>
      </c>
      <c r="R47" s="160">
        <f>'2023'!H47</f>
        <v>4450440.01</v>
      </c>
      <c r="S47" s="161">
        <f t="shared" si="4"/>
        <v>5382130.8100000005</v>
      </c>
      <c r="T47" s="165">
        <f t="shared" si="5"/>
        <v>1.2093480190512671</v>
      </c>
      <c r="W47" s="470"/>
      <c r="Y47" s="470"/>
    </row>
    <row r="48" spans="1:25">
      <c r="A48" s="135">
        <v>451</v>
      </c>
      <c r="B48" s="576" t="str">
        <f>+VLOOKUP($A48,Master!$D$30:$G$226,4,FALSE)</f>
        <v>Pozajmice i krediti</v>
      </c>
      <c r="C48" s="577"/>
      <c r="D48" s="577"/>
      <c r="E48" s="577"/>
      <c r="F48" s="577"/>
      <c r="G48" s="148">
        <f>'2024'!S48</f>
        <v>0</v>
      </c>
      <c r="H48" s="148">
        <f>SUM('2024'!G124:H124)</f>
        <v>0</v>
      </c>
      <c r="I48" s="149">
        <f>G48-H48</f>
        <v>0</v>
      </c>
      <c r="J48" s="266" t="str">
        <f t="shared" si="1"/>
        <v>...</v>
      </c>
      <c r="K48" s="148">
        <f>SUM('2023'!G48:H48)</f>
        <v>0</v>
      </c>
      <c r="L48" s="263">
        <f t="shared" si="7"/>
        <v>0</v>
      </c>
      <c r="M48" s="475" t="str">
        <f t="shared" si="2"/>
        <v>...</v>
      </c>
      <c r="N48" s="148">
        <f>'2024'!H48</f>
        <v>0</v>
      </c>
      <c r="O48" s="148">
        <f>'2024'!H124</f>
        <v>0</v>
      </c>
      <c r="P48" s="149">
        <f t="shared" si="6"/>
        <v>0</v>
      </c>
      <c r="Q48" s="266" t="str">
        <f t="shared" si="3"/>
        <v>...</v>
      </c>
      <c r="R48" s="148">
        <f>'2023'!H48</f>
        <v>0</v>
      </c>
      <c r="S48" s="263">
        <f>+N48-R48-S58</f>
        <v>496372.98</v>
      </c>
      <c r="T48" s="475" t="str">
        <f t="shared" si="5"/>
        <v>...</v>
      </c>
      <c r="W48" s="470"/>
      <c r="Y48" s="470"/>
    </row>
    <row r="49" spans="1:25">
      <c r="A49" s="135">
        <v>47</v>
      </c>
      <c r="B49" s="576" t="str">
        <f>+VLOOKUP($A49,Master!$D$30:$G$226,4,FALSE)</f>
        <v>Rezerve</v>
      </c>
      <c r="C49" s="577"/>
      <c r="D49" s="577"/>
      <c r="E49" s="577"/>
      <c r="F49" s="577"/>
      <c r="G49" s="148">
        <f>'2024'!S49</f>
        <v>0</v>
      </c>
      <c r="H49" s="148">
        <f>SUM('2024'!G125:H125)</f>
        <v>661809.78</v>
      </c>
      <c r="I49" s="149">
        <f t="shared" ref="I49:I50" si="8">G49-H49</f>
        <v>-661809.78</v>
      </c>
      <c r="J49" s="267">
        <f t="shared" si="1"/>
        <v>-1</v>
      </c>
      <c r="K49" s="148">
        <f>SUM('2023'!G49:H49)</f>
        <v>198585.54</v>
      </c>
      <c r="L49" s="264">
        <f t="shared" si="7"/>
        <v>-198585.54</v>
      </c>
      <c r="M49" s="476">
        <f t="shared" si="2"/>
        <v>-1</v>
      </c>
      <c r="N49" s="148">
        <f>'2024'!H49</f>
        <v>0</v>
      </c>
      <c r="O49" s="148">
        <f>'2024'!H125</f>
        <v>661809.78</v>
      </c>
      <c r="P49" s="149">
        <f t="shared" si="6"/>
        <v>-661809.78</v>
      </c>
      <c r="Q49" s="267">
        <f t="shared" si="3"/>
        <v>-1</v>
      </c>
      <c r="R49" s="148">
        <f>'2023'!H49</f>
        <v>198585.54</v>
      </c>
      <c r="S49" s="264">
        <f t="shared" si="4"/>
        <v>-198585.54</v>
      </c>
      <c r="T49" s="476">
        <f t="shared" si="5"/>
        <v>-1</v>
      </c>
      <c r="W49" s="470"/>
      <c r="Y49" s="470"/>
    </row>
    <row r="50" spans="1:25" ht="15.7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f>'2024'!S50</f>
        <v>2301161.16</v>
      </c>
      <c r="H50" s="148">
        <f>SUM('2024'!G126:H126)</f>
        <v>2</v>
      </c>
      <c r="I50" s="149">
        <f t="shared" si="8"/>
        <v>2301159.16</v>
      </c>
      <c r="J50" s="268" t="str">
        <f t="shared" si="1"/>
        <v>...</v>
      </c>
      <c r="K50" s="148">
        <f>SUM('2023'!G50:H50)</f>
        <v>1168915.48</v>
      </c>
      <c r="L50" s="264">
        <f t="shared" si="7"/>
        <v>1132245.6800000002</v>
      </c>
      <c r="M50" s="477">
        <f t="shared" si="2"/>
        <v>0.96862921175447192</v>
      </c>
      <c r="N50" s="148">
        <f>'2024'!H50</f>
        <v>2301161.16</v>
      </c>
      <c r="O50" s="148">
        <f>'2024'!H126</f>
        <v>0</v>
      </c>
      <c r="P50" s="149">
        <f t="shared" si="6"/>
        <v>2301161.16</v>
      </c>
      <c r="Q50" s="268" t="str">
        <f t="shared" si="3"/>
        <v>...</v>
      </c>
      <c r="R50" s="148">
        <f>'2023'!H50</f>
        <v>1168915.48</v>
      </c>
      <c r="S50" s="264">
        <f t="shared" si="4"/>
        <v>1132245.6800000002</v>
      </c>
      <c r="T50" s="477">
        <f t="shared" si="5"/>
        <v>0.96862921175447192</v>
      </c>
      <c r="W50" s="470"/>
      <c r="Y50" s="470"/>
    </row>
    <row r="51" spans="1:25" ht="15" customHeight="1" thickBot="1">
      <c r="A51" s="129">
        <v>4630</v>
      </c>
      <c r="B51" s="578" t="str">
        <f>+VLOOKUP($A51,Master!$D$30:$G$226,4,FALSE)</f>
        <v>Otplata obaveza iz prethodnog perioda</v>
      </c>
      <c r="C51" s="579"/>
      <c r="D51" s="579"/>
      <c r="E51" s="579"/>
      <c r="F51" s="579"/>
      <c r="G51" s="295">
        <f>'2024'!S51</f>
        <v>3922025.26</v>
      </c>
      <c r="H51" s="295">
        <f>SUM('2024'!G127:H127)</f>
        <v>4856473.1000000015</v>
      </c>
      <c r="I51" s="265">
        <f>G51-H51</f>
        <v>-934447.84000000171</v>
      </c>
      <c r="J51" s="269">
        <f t="shared" si="1"/>
        <v>-0.1924128520345354</v>
      </c>
      <c r="K51" s="295">
        <f>SUM('2023'!G51:H51)</f>
        <v>2843727.9799999995</v>
      </c>
      <c r="L51" s="271">
        <f t="shared" si="7"/>
        <v>1078297.2800000003</v>
      </c>
      <c r="M51" s="478">
        <f t="shared" si="2"/>
        <v>0.37918439723619435</v>
      </c>
      <c r="N51" s="295">
        <f>'2024'!H51</f>
        <v>2293095.31</v>
      </c>
      <c r="O51" s="295">
        <f>'2024'!H127</f>
        <v>2745013.1300000013</v>
      </c>
      <c r="P51" s="265">
        <f>N51-O51</f>
        <v>-451917.82000000123</v>
      </c>
      <c r="Q51" s="269">
        <f t="shared" si="3"/>
        <v>-0.16463229813403513</v>
      </c>
      <c r="R51" s="295">
        <f>'2023'!H51</f>
        <v>1883378.3499999994</v>
      </c>
      <c r="S51" s="271">
        <f>+N51-R51</f>
        <v>409716.96000000066</v>
      </c>
      <c r="T51" s="478">
        <f t="shared" si="5"/>
        <v>0.21754362844831521</v>
      </c>
      <c r="W51" s="470"/>
      <c r="Y51" s="470"/>
    </row>
    <row r="52" spans="1:25" ht="15.75" thickBot="1">
      <c r="A52" s="129">
        <v>1005</v>
      </c>
      <c r="B52" s="578" t="str">
        <f>+VLOOKUP($A52,Master!$D$30:$G$228,4,FALSE)</f>
        <v>Neto povećanje obaveza</v>
      </c>
      <c r="C52" s="579"/>
      <c r="D52" s="579"/>
      <c r="E52" s="579"/>
      <c r="F52" s="579"/>
      <c r="G52" s="148">
        <f>'2024'!S52</f>
        <v>0</v>
      </c>
      <c r="H52" s="148">
        <f>SUM('2024'!G128:H128)</f>
        <v>0</v>
      </c>
      <c r="I52" s="265">
        <f>G52-H52</f>
        <v>0</v>
      </c>
      <c r="J52" s="269" t="str">
        <f t="shared" si="1"/>
        <v>...</v>
      </c>
      <c r="K52" s="148">
        <f>SUM('2023'!G52:H52)</f>
        <v>0</v>
      </c>
      <c r="L52" s="271">
        <f t="shared" si="7"/>
        <v>0</v>
      </c>
      <c r="M52" s="478" t="str">
        <f t="shared" si="2"/>
        <v>...</v>
      </c>
      <c r="N52" s="148">
        <f>'2024'!H52</f>
        <v>0</v>
      </c>
      <c r="O52" s="148">
        <f>'2024'!H128</f>
        <v>0</v>
      </c>
      <c r="P52" s="265">
        <f>N52-O52</f>
        <v>0</v>
      </c>
      <c r="Q52" s="269" t="str">
        <f t="shared" si="3"/>
        <v>...</v>
      </c>
      <c r="R52" s="148">
        <f>'2023'!H52</f>
        <v>0</v>
      </c>
      <c r="S52" s="271">
        <f>+N52-R52</f>
        <v>0</v>
      </c>
      <c r="T52" s="478" t="str">
        <f t="shared" si="5"/>
        <v>...</v>
      </c>
      <c r="W52" s="470"/>
      <c r="Y52" s="470"/>
    </row>
    <row r="53" spans="1:25" ht="15.7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>'2024'!S53</f>
        <v>-18449987.939999998</v>
      </c>
      <c r="H53" s="136">
        <f>SUM('2024'!G129:H129)</f>
        <v>-110594233.9718194</v>
      </c>
      <c r="I53" s="299">
        <f>+G53-H53</f>
        <v>92144246.031819403</v>
      </c>
      <c r="J53" s="270">
        <f t="shared" si="1"/>
        <v>-0.83317405187054094</v>
      </c>
      <c r="K53" s="136">
        <f>SUM('2023'!G53:H53)</f>
        <v>24503946.820000023</v>
      </c>
      <c r="L53" s="272">
        <f t="shared" si="7"/>
        <v>-42953934.76000002</v>
      </c>
      <c r="M53" s="479">
        <f t="shared" si="2"/>
        <v>-1.7529394376966732</v>
      </c>
      <c r="N53" s="136">
        <f>'2024'!H53</f>
        <v>-34301847.660000026</v>
      </c>
      <c r="O53" s="136">
        <f>'2024'!H129</f>
        <v>-74447676.311863124</v>
      </c>
      <c r="P53" s="299">
        <f>N53-O53</f>
        <v>40145828.651863098</v>
      </c>
      <c r="Q53" s="270">
        <f t="shared" si="3"/>
        <v>-0.53924891468326352</v>
      </c>
      <c r="R53" s="136">
        <f>'2023'!H53</f>
        <v>-28141527.939999968</v>
      </c>
      <c r="S53" s="272">
        <f t="shared" si="4"/>
        <v>-6160319.7200000584</v>
      </c>
      <c r="T53" s="479">
        <f t="shared" si="5"/>
        <v>0.21890494834304519</v>
      </c>
      <c r="W53" s="470"/>
      <c r="Y53" s="470"/>
    </row>
    <row r="54" spans="1:25" ht="15.7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36">
        <f>'2024'!S54</f>
        <v>-10291466.509999998</v>
      </c>
      <c r="H54" s="136">
        <f>SUM('2024'!G130:H130)</f>
        <v>-98877207.241819397</v>
      </c>
      <c r="I54" s="191">
        <f t="shared" si="0"/>
        <v>88585740.731819391</v>
      </c>
      <c r="J54" s="193">
        <f t="shared" si="1"/>
        <v>-0.8959166950899955</v>
      </c>
      <c r="K54" s="136">
        <f>SUM('2023'!G54:H54)</f>
        <v>30901909.37000002</v>
      </c>
      <c r="L54" s="191">
        <f t="shared" si="7"/>
        <v>-41193375.880000018</v>
      </c>
      <c r="M54" s="195">
        <f t="shared" si="2"/>
        <v>-1.333036589641645</v>
      </c>
      <c r="N54" s="136">
        <f>'2024'!H54</f>
        <v>-30172655.700000025</v>
      </c>
      <c r="O54" s="136">
        <f>'2024'!H130</f>
        <v>-70594155.921863124</v>
      </c>
      <c r="P54" s="191">
        <f t="shared" si="6"/>
        <v>40421500.221863098</v>
      </c>
      <c r="Q54" s="193">
        <f t="shared" si="3"/>
        <v>-0.57258989351191458</v>
      </c>
      <c r="R54" s="136">
        <f>'2023'!H54</f>
        <v>-25710461.149999969</v>
      </c>
      <c r="S54" s="191">
        <f t="shared" si="4"/>
        <v>-4462194.5500000566</v>
      </c>
      <c r="T54" s="195">
        <f t="shared" si="5"/>
        <v>0.17355560151047933</v>
      </c>
      <c r="W54" s="470"/>
      <c r="Y54" s="470"/>
    </row>
    <row r="55" spans="1:25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460">
        <f>'2024'!S55</f>
        <v>41549971.399999999</v>
      </c>
      <c r="H55" s="460">
        <f>SUM('2024'!G131:H131)</f>
        <v>42784714.969999999</v>
      </c>
      <c r="I55" s="461">
        <f t="shared" si="0"/>
        <v>-1234743.5700000003</v>
      </c>
      <c r="J55" s="462">
        <f t="shared" si="1"/>
        <v>-2.8859455318699268E-2</v>
      </c>
      <c r="K55" s="460">
        <f>SUM('2023'!G55:H55)</f>
        <v>35707729.230000004</v>
      </c>
      <c r="L55" s="461">
        <f t="shared" si="7"/>
        <v>5842242.1699999943</v>
      </c>
      <c r="M55" s="480">
        <f t="shared" si="2"/>
        <v>0.16361281705619102</v>
      </c>
      <c r="N55" s="460">
        <f>'2024'!H55</f>
        <v>6742029.21</v>
      </c>
      <c r="O55" s="460">
        <f>'2024'!H131</f>
        <v>7154150.5</v>
      </c>
      <c r="P55" s="461">
        <f t="shared" si="6"/>
        <v>-412121.29000000004</v>
      </c>
      <c r="Q55" s="462">
        <f t="shared" si="3"/>
        <v>-5.7605901637098667E-2</v>
      </c>
      <c r="R55" s="460">
        <f>'2023'!H55</f>
        <v>5811024.9299999997</v>
      </c>
      <c r="S55" s="461">
        <f t="shared" si="4"/>
        <v>931004.28000000026</v>
      </c>
      <c r="T55" s="480">
        <f t="shared" si="5"/>
        <v>0.16021343759748774</v>
      </c>
      <c r="W55" s="470"/>
      <c r="Y55" s="470"/>
    </row>
    <row r="56" spans="1:25">
      <c r="A56" s="129">
        <v>4611</v>
      </c>
      <c r="B56" s="576" t="str">
        <f>+VLOOKUP($A56,Master!$D$30:$G$226,4,FALSE)</f>
        <v>Otplata hartija od vrijednosti i kredita rezidentima</v>
      </c>
      <c r="C56" s="577"/>
      <c r="D56" s="577"/>
      <c r="E56" s="577"/>
      <c r="F56" s="577"/>
      <c r="G56" s="148">
        <f>'2024'!S56</f>
        <v>5449001.1299999999</v>
      </c>
      <c r="H56" s="148">
        <f>SUM('2024'!G132:H132)</f>
        <v>5455382.0399999991</v>
      </c>
      <c r="I56" s="197">
        <f t="shared" si="0"/>
        <v>-6380.9099999992177</v>
      </c>
      <c r="J56" s="199">
        <f t="shared" si="1"/>
        <v>-1.1696541054710963E-3</v>
      </c>
      <c r="K56" s="148">
        <f>SUM('2023'!G56:H56)</f>
        <v>4272026.17</v>
      </c>
      <c r="L56" s="197">
        <f t="shared" si="7"/>
        <v>1176974.96</v>
      </c>
      <c r="M56" s="201">
        <f t="shared" si="2"/>
        <v>0.27550743210919992</v>
      </c>
      <c r="N56" s="148">
        <f>'2024'!H56</f>
        <v>2954245.6799999997</v>
      </c>
      <c r="O56" s="148">
        <f>'2024'!H132</f>
        <v>2954258.2399999998</v>
      </c>
      <c r="P56" s="197">
        <f t="shared" si="6"/>
        <v>-12.560000000055879</v>
      </c>
      <c r="Q56" s="199">
        <f t="shared" si="3"/>
        <v>-4.2514902149903833E-6</v>
      </c>
      <c r="R56" s="148">
        <f>'2023'!H56</f>
        <v>2400192.8200000003</v>
      </c>
      <c r="S56" s="197">
        <f t="shared" si="4"/>
        <v>554052.8599999994</v>
      </c>
      <c r="T56" s="201">
        <f t="shared" si="5"/>
        <v>0.23083681251908716</v>
      </c>
      <c r="W56" s="470"/>
      <c r="Y56" s="470"/>
    </row>
    <row r="57" spans="1:25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48">
        <f>'2024'!S57</f>
        <v>36100970.269999996</v>
      </c>
      <c r="H57" s="148">
        <f>SUM('2024'!G133:H133)</f>
        <v>37329332.93</v>
      </c>
      <c r="I57" s="197">
        <f t="shared" si="0"/>
        <v>-1228362.6600000039</v>
      </c>
      <c r="J57" s="199">
        <f t="shared" si="1"/>
        <v>-3.2906097258781242E-2</v>
      </c>
      <c r="K57" s="148">
        <f>SUM('2023'!G57:H57)</f>
        <v>31435703.059999999</v>
      </c>
      <c r="L57" s="197">
        <f t="shared" si="7"/>
        <v>4665267.2099999972</v>
      </c>
      <c r="M57" s="201">
        <f t="shared" si="2"/>
        <v>0.14840664454348618</v>
      </c>
      <c r="N57" s="148">
        <f>'2024'!H57</f>
        <v>3787783.5300000003</v>
      </c>
      <c r="O57" s="148">
        <f>'2024'!H133</f>
        <v>4199892.26</v>
      </c>
      <c r="P57" s="197">
        <f t="shared" si="6"/>
        <v>-412108.72999999952</v>
      </c>
      <c r="Q57" s="199">
        <f t="shared" si="3"/>
        <v>-9.8123643295554341E-2</v>
      </c>
      <c r="R57" s="148">
        <f>'2023'!H57</f>
        <v>3410832.11</v>
      </c>
      <c r="S57" s="197">
        <f t="shared" si="4"/>
        <v>376951.42000000039</v>
      </c>
      <c r="T57" s="201">
        <f t="shared" si="5"/>
        <v>0.11051597025102478</v>
      </c>
      <c r="W57" s="470"/>
      <c r="Y57" s="470"/>
    </row>
    <row r="58" spans="1:25" ht="15.75" thickBot="1">
      <c r="A58" s="129">
        <v>4418</v>
      </c>
      <c r="B58" s="574" t="str">
        <f>+VLOOKUP($A58,Master!$D$30:$G$226,4,FALSE)</f>
        <v>Izdaci za kupovinu hartija od vrijednosti</v>
      </c>
      <c r="C58" s="575"/>
      <c r="D58" s="575"/>
      <c r="E58" s="575"/>
      <c r="F58" s="575"/>
      <c r="G58" s="313">
        <f>'2024'!S58</f>
        <v>0</v>
      </c>
      <c r="H58" s="313">
        <f>SUM('2024'!G134:H134)</f>
        <v>0.32</v>
      </c>
      <c r="I58" s="314">
        <f t="shared" ref="I58:I66" si="9">+G58-H58</f>
        <v>-0.32</v>
      </c>
      <c r="J58" s="315">
        <f t="shared" si="1"/>
        <v>-1</v>
      </c>
      <c r="K58" s="313">
        <f>SUM('2023'!G58:H58)</f>
        <v>496372.98</v>
      </c>
      <c r="L58" s="314">
        <f t="shared" ref="L58:L66" si="10">+G58-K58</f>
        <v>-496372.98</v>
      </c>
      <c r="M58" s="481">
        <f t="shared" si="2"/>
        <v>-1</v>
      </c>
      <c r="N58" s="313">
        <f>'2024'!H58</f>
        <v>0</v>
      </c>
      <c r="O58" s="313">
        <f>'2024'!H134</f>
        <v>0.16</v>
      </c>
      <c r="P58" s="314">
        <f t="shared" ref="P58:P66" si="11">+N58-O58</f>
        <v>-0.16</v>
      </c>
      <c r="Q58" s="315">
        <f t="shared" si="3"/>
        <v>-1</v>
      </c>
      <c r="R58" s="313">
        <f>'2023'!H58</f>
        <v>496372.98</v>
      </c>
      <c r="S58" s="314">
        <f t="shared" ref="S58:S66" si="12">+N58-R58</f>
        <v>-496372.98</v>
      </c>
      <c r="T58" s="481">
        <f t="shared" si="5"/>
        <v>-1</v>
      </c>
      <c r="W58" s="470"/>
      <c r="Y58" s="470"/>
    </row>
    <row r="59" spans="1:25" ht="15.75" thickBot="1">
      <c r="A59" s="129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313">
        <f>'2024'!S59</f>
        <v>1226031.6099999999</v>
      </c>
      <c r="H59" s="313">
        <f>SUM('2024'!G135:H135)</f>
        <v>1111656.22</v>
      </c>
      <c r="I59" s="314">
        <f t="shared" si="9"/>
        <v>114375.3899999999</v>
      </c>
      <c r="J59" s="315">
        <f t="shared" si="1"/>
        <v>0.1028873746597665</v>
      </c>
      <c r="K59" s="313">
        <f>SUM('2023'!G59:H59)</f>
        <v>1340476.3600000001</v>
      </c>
      <c r="L59" s="314">
        <f t="shared" si="10"/>
        <v>-114444.75000000023</v>
      </c>
      <c r="M59" s="481">
        <f t="shared" si="2"/>
        <v>-8.5376179256156592E-2</v>
      </c>
      <c r="N59" s="313">
        <f>'2024'!H59</f>
        <v>511310</v>
      </c>
      <c r="O59" s="313">
        <f>'2024'!H135</f>
        <v>1111649.98</v>
      </c>
      <c r="P59" s="314">
        <f t="shared" si="11"/>
        <v>-600339.98</v>
      </c>
      <c r="Q59" s="315">
        <f t="shared" si="3"/>
        <v>-0.54004407034667512</v>
      </c>
      <c r="R59" s="313">
        <f>'2023'!H59</f>
        <v>1079076.3400000001</v>
      </c>
      <c r="S59" s="314">
        <f t="shared" si="12"/>
        <v>-567766.34000000008</v>
      </c>
      <c r="T59" s="481">
        <f t="shared" si="5"/>
        <v>-0.52615956717205015</v>
      </c>
      <c r="W59" s="470"/>
      <c r="Y59" s="470"/>
    </row>
    <row r="60" spans="1:25" ht="15.7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98">
        <f>'2024'!S60</f>
        <v>-61225990.949999996</v>
      </c>
      <c r="H60" s="298">
        <f>SUM('2024'!G136:H136)</f>
        <v>-154490605.48181939</v>
      </c>
      <c r="I60" s="300">
        <f t="shared" si="9"/>
        <v>93264614.531819403</v>
      </c>
      <c r="J60" s="301">
        <f t="shared" si="1"/>
        <v>-0.60369117100000536</v>
      </c>
      <c r="K60" s="298">
        <f>SUM('2023'!G60:H60)</f>
        <v>-13040631.749999978</v>
      </c>
      <c r="L60" s="300">
        <f>+G60-K60</f>
        <v>-48185359.200000018</v>
      </c>
      <c r="M60" s="482" t="str">
        <f t="shared" si="2"/>
        <v>...</v>
      </c>
      <c r="N60" s="298">
        <f>'2024'!H60</f>
        <v>-41555186.870000027</v>
      </c>
      <c r="O60" s="298">
        <f>'2024'!H136</f>
        <v>-82713476.951863125</v>
      </c>
      <c r="P60" s="300">
        <f t="shared" si="11"/>
        <v>41158290.081863098</v>
      </c>
      <c r="Q60" s="301">
        <f t="shared" si="3"/>
        <v>-0.49760077315835782</v>
      </c>
      <c r="R60" s="298">
        <f>'2023'!H60</f>
        <v>-35528002.189999968</v>
      </c>
      <c r="S60" s="300">
        <f t="shared" si="12"/>
        <v>-6027184.6800000593</v>
      </c>
      <c r="T60" s="482">
        <f t="shared" si="5"/>
        <v>0.16964603435248948</v>
      </c>
      <c r="W60" s="470"/>
      <c r="Y60" s="470"/>
    </row>
    <row r="61" spans="1:25" ht="15.7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'2024'!S61</f>
        <v>61225990.949999996</v>
      </c>
      <c r="H61" s="136">
        <f>SUM('2024'!G137:H137)</f>
        <v>154490605.48181939</v>
      </c>
      <c r="I61" s="299">
        <f t="shared" si="9"/>
        <v>-93264614.531819403</v>
      </c>
      <c r="J61" s="302">
        <f t="shared" si="1"/>
        <v>-0.60369117100000536</v>
      </c>
      <c r="K61" s="136">
        <f>SUM('2023'!G61:H61)</f>
        <v>13040631.749999978</v>
      </c>
      <c r="L61" s="299">
        <f t="shared" si="10"/>
        <v>48185359.200000018</v>
      </c>
      <c r="M61" s="483" t="str">
        <f t="shared" si="2"/>
        <v>...</v>
      </c>
      <c r="N61" s="136">
        <f>'2024'!H61</f>
        <v>41555186.870000027</v>
      </c>
      <c r="O61" s="136">
        <f>'2024'!H137</f>
        <v>82713476.951863125</v>
      </c>
      <c r="P61" s="300">
        <f t="shared" si="11"/>
        <v>-41158290.081863098</v>
      </c>
      <c r="Q61" s="302">
        <f t="shared" si="3"/>
        <v>-0.49760077315835782</v>
      </c>
      <c r="R61" s="136">
        <f>'2023'!H61</f>
        <v>35528002.189999968</v>
      </c>
      <c r="S61" s="299">
        <f t="shared" si="12"/>
        <v>6027184.6800000593</v>
      </c>
      <c r="T61" s="483">
        <f t="shared" si="5"/>
        <v>0.16964603435248948</v>
      </c>
      <c r="W61" s="470"/>
      <c r="Y61" s="470"/>
    </row>
    <row r="62" spans="1:25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48">
        <f>'2024'!S62</f>
        <v>0</v>
      </c>
      <c r="H62" s="148">
        <f>SUM('2024'!G138:H138)</f>
        <v>0</v>
      </c>
      <c r="I62" s="197">
        <f t="shared" si="9"/>
        <v>0</v>
      </c>
      <c r="J62" s="199" t="str">
        <f t="shared" si="1"/>
        <v>...</v>
      </c>
      <c r="K62" s="148">
        <f>SUM('2023'!G62:H62)</f>
        <v>0</v>
      </c>
      <c r="L62" s="197">
        <f t="shared" si="10"/>
        <v>0</v>
      </c>
      <c r="M62" s="201" t="str">
        <f t="shared" si="2"/>
        <v>...</v>
      </c>
      <c r="N62" s="148">
        <f>'2024'!H62</f>
        <v>0</v>
      </c>
      <c r="O62" s="148">
        <f>'2024'!H138</f>
        <v>0</v>
      </c>
      <c r="P62" s="197">
        <f t="shared" si="11"/>
        <v>0</v>
      </c>
      <c r="Q62" s="199" t="str">
        <f t="shared" si="3"/>
        <v>...</v>
      </c>
      <c r="R62" s="148">
        <f>'2023'!H62</f>
        <v>0</v>
      </c>
      <c r="S62" s="197">
        <f t="shared" si="12"/>
        <v>0</v>
      </c>
      <c r="T62" s="201" t="str">
        <f t="shared" si="5"/>
        <v>...</v>
      </c>
      <c r="W62" s="470"/>
      <c r="Y62" s="470"/>
    </row>
    <row r="63" spans="1:25">
      <c r="A63" s="129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148">
        <f>'2024'!S63</f>
        <v>3573603.6399999997</v>
      </c>
      <c r="H63" s="148">
        <f>SUM('2024'!G139:H139)</f>
        <v>0</v>
      </c>
      <c r="I63" s="197">
        <f t="shared" si="9"/>
        <v>3573603.6399999997</v>
      </c>
      <c r="J63" s="199" t="str">
        <f t="shared" si="1"/>
        <v>...</v>
      </c>
      <c r="K63" s="148">
        <f>SUM('2023'!G63:H63)</f>
        <v>1698221.1</v>
      </c>
      <c r="L63" s="197">
        <f t="shared" si="10"/>
        <v>1875382.5399999996</v>
      </c>
      <c r="M63" s="201">
        <f t="shared" si="2"/>
        <v>1.1043217752976919</v>
      </c>
      <c r="N63" s="148">
        <f>'2024'!H63</f>
        <v>1941356.99</v>
      </c>
      <c r="O63" s="148">
        <f>'2024'!H139</f>
        <v>0</v>
      </c>
      <c r="P63" s="197">
        <f t="shared" si="11"/>
        <v>1941356.99</v>
      </c>
      <c r="Q63" s="199" t="str">
        <f t="shared" si="3"/>
        <v>...</v>
      </c>
      <c r="R63" s="148">
        <f>'2023'!H63</f>
        <v>1145846.25</v>
      </c>
      <c r="S63" s="197">
        <f t="shared" si="12"/>
        <v>795510.74</v>
      </c>
      <c r="T63" s="201">
        <f t="shared" si="5"/>
        <v>0.69425609238586761</v>
      </c>
      <c r="W63" s="470"/>
      <c r="Y63" s="470"/>
    </row>
    <row r="64" spans="1:25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48">
        <f>'2024'!S64</f>
        <v>252247.26</v>
      </c>
      <c r="H64" s="148">
        <f>SUM('2024'!G140:H140)</f>
        <v>1000000</v>
      </c>
      <c r="I64" s="197">
        <f t="shared" si="9"/>
        <v>-747752.74</v>
      </c>
      <c r="J64" s="199">
        <f t="shared" si="1"/>
        <v>-0.74775273999999992</v>
      </c>
      <c r="K64" s="148">
        <f>SUM('2023'!G64:H64)</f>
        <v>741849.74</v>
      </c>
      <c r="L64" s="197">
        <f t="shared" si="10"/>
        <v>-489602.48</v>
      </c>
      <c r="M64" s="201">
        <f t="shared" si="2"/>
        <v>-0.65997526668945117</v>
      </c>
      <c r="N64" s="148">
        <f>'2024'!H64</f>
        <v>223106.54</v>
      </c>
      <c r="O64" s="148">
        <f>'2024'!H140</f>
        <v>500000</v>
      </c>
      <c r="P64" s="197">
        <f t="shared" si="11"/>
        <v>-276893.45999999996</v>
      </c>
      <c r="Q64" s="199">
        <f t="shared" si="3"/>
        <v>-0.55378691999999996</v>
      </c>
      <c r="R64" s="148">
        <f>'2023'!H64</f>
        <v>77041.679999999993</v>
      </c>
      <c r="S64" s="197">
        <f t="shared" si="12"/>
        <v>146064.86000000002</v>
      </c>
      <c r="T64" s="201">
        <f t="shared" si="5"/>
        <v>1.8959199747461377</v>
      </c>
      <c r="W64" s="470"/>
      <c r="Y64" s="470"/>
    </row>
    <row r="65" spans="1:25">
      <c r="A65" s="129">
        <v>73</v>
      </c>
      <c r="B65" s="576" t="str">
        <f>+VLOOKUP($A65,Master!$D$30:$G$226,4,FALSE)</f>
        <v>Primici od otplate kredita i sredstva prenesena iz prethodne godine</v>
      </c>
      <c r="C65" s="577"/>
      <c r="D65" s="577"/>
      <c r="E65" s="577"/>
      <c r="F65" s="577"/>
      <c r="G65" s="148">
        <f>'2024'!S65</f>
        <v>1581338.5000000002</v>
      </c>
      <c r="H65" s="148">
        <f>SUM('2024'!G141:H141)</f>
        <v>527495.44963042066</v>
      </c>
      <c r="I65" s="197">
        <f t="shared" si="9"/>
        <v>1053843.0503695796</v>
      </c>
      <c r="J65" s="199">
        <f t="shared" si="1"/>
        <v>1.9978239643734064</v>
      </c>
      <c r="K65" s="148">
        <f>SUM('2023'!G65:H65)</f>
        <v>2175282.17</v>
      </c>
      <c r="L65" s="197">
        <f t="shared" si="10"/>
        <v>-593943.66999999969</v>
      </c>
      <c r="M65" s="201">
        <f t="shared" si="2"/>
        <v>-0.27304212676004225</v>
      </c>
      <c r="N65" s="148">
        <f>'2024'!H65</f>
        <v>1296535.4000000001</v>
      </c>
      <c r="O65" s="148">
        <f>'2024'!H141</f>
        <v>445973.11311571056</v>
      </c>
      <c r="P65" s="197">
        <f t="shared" si="11"/>
        <v>850562.28688428958</v>
      </c>
      <c r="Q65" s="199">
        <f t="shared" si="3"/>
        <v>1.9072053042435448</v>
      </c>
      <c r="R65" s="148">
        <f>'2023'!H65</f>
        <v>2017853.4</v>
      </c>
      <c r="S65" s="197">
        <f t="shared" si="12"/>
        <v>-721317.99999999977</v>
      </c>
      <c r="T65" s="201">
        <f t="shared" si="5"/>
        <v>-0.35746799048929911</v>
      </c>
      <c r="W65" s="470"/>
      <c r="Y65" s="470"/>
    </row>
    <row r="66" spans="1:25" ht="15.7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'2024'!S66</f>
        <v>55818801.549999997</v>
      </c>
      <c r="H66" s="296">
        <f>SUM('2024'!G142:H142)</f>
        <v>152963110.03218895</v>
      </c>
      <c r="I66" s="211">
        <f t="shared" si="9"/>
        <v>-97144308.482188955</v>
      </c>
      <c r="J66" s="213">
        <f t="shared" si="1"/>
        <v>-0.63508324629217006</v>
      </c>
      <c r="K66" s="296">
        <f>SUM('2023'!G66:H66)</f>
        <v>8425278.7399999797</v>
      </c>
      <c r="L66" s="211">
        <f t="shared" si="10"/>
        <v>47393522.810000017</v>
      </c>
      <c r="M66" s="215" t="str">
        <f t="shared" si="2"/>
        <v>...</v>
      </c>
      <c r="N66" s="296">
        <f>'2024'!H66</f>
        <v>38094187.940000027</v>
      </c>
      <c r="O66" s="296">
        <f>'2024'!H142</f>
        <v>81767503.838747412</v>
      </c>
      <c r="P66" s="211">
        <f t="shared" si="11"/>
        <v>-43673315.898747385</v>
      </c>
      <c r="Q66" s="213">
        <f t="shared" si="3"/>
        <v>-0.53411580210244569</v>
      </c>
      <c r="R66" s="296">
        <f>'2023'!H66</f>
        <v>32287260.85999997</v>
      </c>
      <c r="S66" s="211">
        <f t="shared" si="12"/>
        <v>5806927.0800000578</v>
      </c>
      <c r="T66" s="215">
        <f t="shared" si="5"/>
        <v>0.17985195787215691</v>
      </c>
      <c r="W66" s="470"/>
      <c r="Y66" s="470"/>
    </row>
    <row r="67" spans="1:25">
      <c r="G67" s="274"/>
    </row>
    <row r="68" spans="1:25">
      <c r="G68" s="4"/>
    </row>
    <row r="69" spans="1:25">
      <c r="F69" s="274"/>
      <c r="G69" s="4"/>
      <c r="H69" s="274"/>
      <c r="N69" s="470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phhzrG5cf3VIPJl88a93q1pKv3pREW++f36VgqKx/z3tQ1bWiePNYG6T+DnBIUFJi3/+RVHolV9ylkaxmqMKFQ==" saltValue="xd/uo1sixCFLPDqEN69I/w==" spinCount="100000" sheet="1" objects="1" scenarios="1"/>
  <mergeCells count="63"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</mergeCells>
  <pageMargins left="0.11811023622047245" right="0.11811023622047245" top="0.19685039370078741" bottom="0.19685039370078741" header="0.31496062992125984" footer="0.31496062992125984"/>
  <pageSetup paperSize="9" scale="55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zoomScale="90" zoomScaleNormal="90" workbookViewId="0">
      <pane ySplit="1" topLeftCell="A2" activePane="bottomLeft" state="frozen"/>
      <selection pane="bottomLeft" activeCell="G105" sqref="G105:H105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857</v>
      </c>
      <c r="H6" s="219" t="s">
        <v>858</v>
      </c>
      <c r="I6" s="219" t="s">
        <v>859</v>
      </c>
      <c r="J6" s="219" t="s">
        <v>860</v>
      </c>
      <c r="K6" s="219" t="s">
        <v>861</v>
      </c>
      <c r="L6" s="219" t="s">
        <v>862</v>
      </c>
      <c r="M6" s="219" t="s">
        <v>863</v>
      </c>
      <c r="N6" s="219" t="s">
        <v>864</v>
      </c>
      <c r="O6" s="219" t="s">
        <v>865</v>
      </c>
      <c r="P6" s="219" t="s">
        <v>866</v>
      </c>
      <c r="Q6" s="219" t="s">
        <v>867</v>
      </c>
      <c r="R6" s="219" t="s">
        <v>868</v>
      </c>
      <c r="S6" s="218"/>
      <c r="T6" s="218"/>
    </row>
    <row r="7" spans="1:24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2024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7034000000</v>
      </c>
    </row>
    <row r="8" spans="1:24" ht="16.5" customHeight="1">
      <c r="A8" s="129"/>
      <c r="B8" s="588"/>
      <c r="C8" s="589"/>
      <c r="D8" s="589"/>
      <c r="E8" s="589"/>
      <c r="F8" s="590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4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513">
        <f>G11+G19+G24+G25+G26+G27+G28</f>
        <v>153766699.24000001</v>
      </c>
      <c r="H10" s="513">
        <f t="shared" ref="H10:L10" si="2">+H11+H19+SUM(H24:H28)</f>
        <v>180168945.19999999</v>
      </c>
      <c r="I10" s="513">
        <f t="shared" si="2"/>
        <v>0</v>
      </c>
      <c r="J10" s="513">
        <f t="shared" si="2"/>
        <v>0</v>
      </c>
      <c r="K10" s="513">
        <f t="shared" si="2"/>
        <v>0</v>
      </c>
      <c r="L10" s="513">
        <f t="shared" si="2"/>
        <v>0</v>
      </c>
      <c r="M10" s="513">
        <f t="shared" ref="M10:R10" si="3">+M11+M19+SUM(M24:M28)</f>
        <v>0</v>
      </c>
      <c r="N10" s="513">
        <f t="shared" si="3"/>
        <v>0</v>
      </c>
      <c r="O10" s="513">
        <f t="shared" si="3"/>
        <v>0</v>
      </c>
      <c r="P10" s="513">
        <f t="shared" si="3"/>
        <v>0</v>
      </c>
      <c r="Q10" s="513">
        <f t="shared" si="3"/>
        <v>0</v>
      </c>
      <c r="R10" s="513">
        <f t="shared" si="3"/>
        <v>0</v>
      </c>
      <c r="S10" s="514">
        <f>+SUM(G10:R10)</f>
        <v>333935644.44</v>
      </c>
      <c r="T10" s="515">
        <f>+S10/$T$7*100</f>
        <v>4.7474501626386125</v>
      </c>
      <c r="V10" s="493"/>
    </row>
    <row r="11" spans="1:24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516">
        <f t="shared" ref="G11:I11" si="4">+SUM(G12:G18)</f>
        <v>122011952.05999999</v>
      </c>
      <c r="H11" s="516">
        <f t="shared" si="4"/>
        <v>121308599.17</v>
      </c>
      <c r="I11" s="516">
        <f t="shared" si="4"/>
        <v>0</v>
      </c>
      <c r="J11" s="516">
        <f>+SUM(J12:J18)</f>
        <v>0</v>
      </c>
      <c r="K11" s="516">
        <f>+SUM(K12:K18)</f>
        <v>0</v>
      </c>
      <c r="L11" s="516">
        <f>+SUM(L12:L18)</f>
        <v>0</v>
      </c>
      <c r="M11" s="516">
        <f t="shared" ref="M11:R11" si="5">+SUM(M12:M18)</f>
        <v>0</v>
      </c>
      <c r="N11" s="516">
        <f t="shared" si="5"/>
        <v>0</v>
      </c>
      <c r="O11" s="516">
        <f t="shared" si="5"/>
        <v>0</v>
      </c>
      <c r="P11" s="516">
        <f t="shared" si="5"/>
        <v>0</v>
      </c>
      <c r="Q11" s="516">
        <f t="shared" si="5"/>
        <v>0</v>
      </c>
      <c r="R11" s="517">
        <f t="shared" si="5"/>
        <v>0</v>
      </c>
      <c r="S11" s="518">
        <f>+SUM(G11:R11)</f>
        <v>243320551.22999999</v>
      </c>
      <c r="T11" s="519">
        <f t="shared" ref="T11:T66" si="6">+S11/$T$7*100</f>
        <v>3.4592060169178276</v>
      </c>
      <c r="V11" s="276"/>
    </row>
    <row r="12" spans="1:24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1998079.1499999992</v>
      </c>
      <c r="H12" s="148">
        <v>6162755.9099999974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227">
        <f>+SUM(G12:R12)</f>
        <v>8160835.0599999968</v>
      </c>
      <c r="T12" s="436">
        <f t="shared" si="6"/>
        <v>0.11601983309638891</v>
      </c>
    </row>
    <row r="13" spans="1:24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1951464.9</v>
      </c>
      <c r="H13" s="148">
        <v>5771727.9400000023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227">
        <f t="shared" ref="S13:S65" si="7">+SUM(G13:R13)</f>
        <v>7723192.8400000017</v>
      </c>
      <c r="T13" s="436">
        <f t="shared" si="6"/>
        <v>0.10979802160932614</v>
      </c>
      <c r="V13" s="276"/>
      <c r="W13" s="276"/>
      <c r="X13" s="494"/>
    </row>
    <row r="14" spans="1:24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0</v>
      </c>
      <c r="H14" s="148">
        <v>0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227">
        <f t="shared" si="7"/>
        <v>0</v>
      </c>
      <c r="T14" s="436">
        <f t="shared" si="6"/>
        <v>0</v>
      </c>
      <c r="V14" s="276"/>
      <c r="W14" s="276"/>
      <c r="X14" s="494"/>
    </row>
    <row r="15" spans="1:24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91572726.909999996</v>
      </c>
      <c r="H15" s="148">
        <v>81980319.979999989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227">
        <f t="shared" si="7"/>
        <v>173553046.88999999</v>
      </c>
      <c r="T15" s="436">
        <f t="shared" si="6"/>
        <v>2.4673449941711683</v>
      </c>
      <c r="V15" s="276"/>
      <c r="W15" s="276"/>
      <c r="X15" s="494"/>
    </row>
    <row r="16" spans="1:24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22556344.95999999</v>
      </c>
      <c r="H16" s="148">
        <v>22366846.550000004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227">
        <f t="shared" si="7"/>
        <v>44923191.50999999</v>
      </c>
      <c r="T16" s="436">
        <f t="shared" si="6"/>
        <v>0.63865782641455771</v>
      </c>
      <c r="V16" s="276"/>
      <c r="W16" s="276"/>
      <c r="X16" s="494"/>
    </row>
    <row r="17" spans="1:24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2997811.1100000008</v>
      </c>
      <c r="H17" s="148">
        <v>3849203.2799999993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227">
        <f t="shared" si="7"/>
        <v>6847014.3900000006</v>
      </c>
      <c r="T17" s="436">
        <f t="shared" si="6"/>
        <v>9.7341688797270412E-2</v>
      </c>
      <c r="V17" s="276"/>
      <c r="W17" s="276"/>
      <c r="X17" s="494"/>
    </row>
    <row r="18" spans="1:24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935525.02999999991</v>
      </c>
      <c r="H18" s="148">
        <v>1177745.5099999998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227">
        <f t="shared" si="7"/>
        <v>2113270.5399999996</v>
      </c>
      <c r="T18" s="436">
        <f t="shared" si="6"/>
        <v>3.0043652829115718E-2</v>
      </c>
      <c r="V18" s="276"/>
      <c r="W18" s="276"/>
      <c r="X18" s="494"/>
    </row>
    <row r="19" spans="1:24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520">
        <f t="shared" ref="G19" si="8">SUM(G20:G23)</f>
        <v>13548213.420000004</v>
      </c>
      <c r="H19" s="520">
        <f t="shared" ref="H19:L19" si="9">SUM(H20:H23)</f>
        <v>51209301.960000008</v>
      </c>
      <c r="I19" s="520">
        <f t="shared" si="9"/>
        <v>0</v>
      </c>
      <c r="J19" s="520">
        <f t="shared" si="9"/>
        <v>0</v>
      </c>
      <c r="K19" s="520">
        <f t="shared" si="9"/>
        <v>0</v>
      </c>
      <c r="L19" s="520">
        <f t="shared" si="9"/>
        <v>0</v>
      </c>
      <c r="M19" s="520">
        <f t="shared" ref="M19:R19" si="10">SUM(M20:M23)</f>
        <v>0</v>
      </c>
      <c r="N19" s="520">
        <f t="shared" si="10"/>
        <v>0</v>
      </c>
      <c r="O19" s="520">
        <f t="shared" si="10"/>
        <v>0</v>
      </c>
      <c r="P19" s="520">
        <f t="shared" si="10"/>
        <v>0</v>
      </c>
      <c r="Q19" s="520">
        <f t="shared" si="10"/>
        <v>0</v>
      </c>
      <c r="R19" s="520">
        <f t="shared" si="10"/>
        <v>0</v>
      </c>
      <c r="S19" s="521">
        <f t="shared" si="7"/>
        <v>64757515.38000001</v>
      </c>
      <c r="T19" s="522">
        <f t="shared" si="6"/>
        <v>0.92063570344043233</v>
      </c>
      <c r="V19" s="276"/>
      <c r="W19" s="276"/>
      <c r="X19" s="494"/>
    </row>
    <row r="20" spans="1:24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12277377.310000004</v>
      </c>
      <c r="H20" s="148">
        <v>47091163.350000009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227">
        <f>+SUM(G20:R20)</f>
        <v>59368540.660000011</v>
      </c>
      <c r="T20" s="436">
        <f t="shared" si="6"/>
        <v>0.84402247170884304</v>
      </c>
      <c r="V20" s="276"/>
      <c r="W20" s="276"/>
      <c r="X20" s="494"/>
    </row>
    <row r="21" spans="1:24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307850.36</v>
      </c>
      <c r="H21" s="148">
        <v>382153.79999999981</v>
      </c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227">
        <f t="shared" si="7"/>
        <v>690004.1599999998</v>
      </c>
      <c r="T21" s="436">
        <f t="shared" si="6"/>
        <v>9.8095558714813725E-3</v>
      </c>
      <c r="V21" s="276"/>
      <c r="W21" s="276"/>
      <c r="X21" s="494"/>
    </row>
    <row r="22" spans="1:24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569229.31000000017</v>
      </c>
      <c r="H22" s="148">
        <v>2203988.56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27">
        <f t="shared" si="7"/>
        <v>2773217.87</v>
      </c>
      <c r="T22" s="436">
        <f t="shared" si="6"/>
        <v>3.9425900909866363E-2</v>
      </c>
    </row>
    <row r="23" spans="1:24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393756.44</v>
      </c>
      <c r="H23" s="148">
        <v>1531996.2499999995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27">
        <f t="shared" si="7"/>
        <v>1925752.6899999995</v>
      </c>
      <c r="T23" s="436">
        <f t="shared" si="6"/>
        <v>2.7377774950241674E-2</v>
      </c>
      <c r="V23" s="495"/>
      <c r="W23" s="495"/>
      <c r="X23" s="494"/>
    </row>
    <row r="24" spans="1:24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523">
        <v>836827.13</v>
      </c>
      <c r="H24" s="523">
        <v>961084.58</v>
      </c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1">
        <f t="shared" si="7"/>
        <v>1797911.71</v>
      </c>
      <c r="T24" s="522">
        <f t="shared" si="6"/>
        <v>2.5560302957065684E-2</v>
      </c>
    </row>
    <row r="25" spans="1:24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523">
        <v>2491580.6800000006</v>
      </c>
      <c r="H25" s="523">
        <v>4111753.2299999995</v>
      </c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1">
        <f t="shared" si="7"/>
        <v>6603333.9100000001</v>
      </c>
      <c r="T25" s="522">
        <f t="shared" si="6"/>
        <v>9.3877365794711412E-2</v>
      </c>
    </row>
    <row r="26" spans="1:24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523">
        <v>10645801.590000004</v>
      </c>
      <c r="H26" s="523">
        <v>2449150.5099999988</v>
      </c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1">
        <f t="shared" si="7"/>
        <v>13094952.100000001</v>
      </c>
      <c r="T26" s="522">
        <f t="shared" si="6"/>
        <v>0.18616650696616435</v>
      </c>
    </row>
    <row r="27" spans="1:24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523">
        <v>0</v>
      </c>
      <c r="H27" s="523">
        <v>0</v>
      </c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1">
        <f t="shared" si="7"/>
        <v>0</v>
      </c>
      <c r="T27" s="522">
        <f t="shared" si="6"/>
        <v>0</v>
      </c>
    </row>
    <row r="28" spans="1:24" ht="13.5" thickBot="1">
      <c r="A28" s="135">
        <v>74</v>
      </c>
      <c r="B28" s="560" t="str">
        <f>+VLOOKUP($A28,Master!$D$30:$G$226,4,FALSE)</f>
        <v>Donacije i transferi</v>
      </c>
      <c r="C28" s="561"/>
      <c r="D28" s="561"/>
      <c r="E28" s="561"/>
      <c r="F28" s="561"/>
      <c r="G28" s="523">
        <v>4232324.3599999994</v>
      </c>
      <c r="H28" s="523">
        <v>129055.75</v>
      </c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1">
        <f t="shared" si="7"/>
        <v>4361380.1099999994</v>
      </c>
      <c r="T28" s="524">
        <f t="shared" si="6"/>
        <v>6.2004266562411141E-2</v>
      </c>
    </row>
    <row r="29" spans="1:24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137914839.51999998</v>
      </c>
      <c r="H29" s="136">
        <f t="shared" ref="H29:L29" si="11">+H30+H40+H46+SUM(H47:H51)</f>
        <v>214470792.86000001</v>
      </c>
      <c r="I29" s="136">
        <f t="shared" si="11"/>
        <v>0</v>
      </c>
      <c r="J29" s="136">
        <f t="shared" si="11"/>
        <v>0</v>
      </c>
      <c r="K29" s="136">
        <f t="shared" si="11"/>
        <v>0</v>
      </c>
      <c r="L29" s="136">
        <f t="shared" si="11"/>
        <v>0</v>
      </c>
      <c r="M29" s="136">
        <f t="shared" ref="M29:R29" si="12">+M30+M40+M46+SUM(M47:M51)</f>
        <v>0</v>
      </c>
      <c r="N29" s="136">
        <f t="shared" si="12"/>
        <v>0</v>
      </c>
      <c r="O29" s="136">
        <f t="shared" si="12"/>
        <v>0</v>
      </c>
      <c r="P29" s="136">
        <f t="shared" si="12"/>
        <v>0</v>
      </c>
      <c r="Q29" s="136">
        <f t="shared" si="12"/>
        <v>0</v>
      </c>
      <c r="R29" s="136">
        <f t="shared" si="12"/>
        <v>0</v>
      </c>
      <c r="S29" s="525">
        <f t="shared" si="7"/>
        <v>352385632.38</v>
      </c>
      <c r="T29" s="526">
        <f t="shared" si="6"/>
        <v>5.0097474037531988</v>
      </c>
    </row>
    <row r="30" spans="1:24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" si="13">+SUM(G31:G39)</f>
        <v>61635165.679999992</v>
      </c>
      <c r="H30" s="172">
        <f t="shared" ref="H30:L30" si="14">+SUM(H31:H39)</f>
        <v>82091374.189999998</v>
      </c>
      <c r="I30" s="172">
        <f t="shared" si="14"/>
        <v>0</v>
      </c>
      <c r="J30" s="172">
        <f t="shared" si="14"/>
        <v>0</v>
      </c>
      <c r="K30" s="172">
        <f t="shared" si="14"/>
        <v>0</v>
      </c>
      <c r="L30" s="172">
        <f t="shared" si="14"/>
        <v>0</v>
      </c>
      <c r="M30" s="172">
        <f t="shared" ref="M30:R30" si="15">+SUM(M31:M39)</f>
        <v>0</v>
      </c>
      <c r="N30" s="172">
        <f t="shared" si="15"/>
        <v>0</v>
      </c>
      <c r="O30" s="172">
        <f t="shared" si="15"/>
        <v>0</v>
      </c>
      <c r="P30" s="172">
        <f t="shared" si="15"/>
        <v>0</v>
      </c>
      <c r="Q30" s="172">
        <f t="shared" si="15"/>
        <v>0</v>
      </c>
      <c r="R30" s="231">
        <f t="shared" si="15"/>
        <v>0</v>
      </c>
      <c r="S30" s="527">
        <f t="shared" si="7"/>
        <v>143726539.87</v>
      </c>
      <c r="T30" s="519">
        <f t="shared" si="6"/>
        <v>2.043311627381291</v>
      </c>
      <c r="U30" s="472"/>
    </row>
    <row r="31" spans="1:24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55161535.829999998</v>
      </c>
      <c r="H31" s="148">
        <v>55733027.880000003</v>
      </c>
      <c r="I31" s="148"/>
      <c r="J31" s="148"/>
      <c r="K31" s="148"/>
      <c r="L31" s="148"/>
      <c r="M31" s="148"/>
      <c r="N31" s="148"/>
      <c r="O31" s="148"/>
      <c r="P31" s="498"/>
      <c r="Q31" s="148"/>
      <c r="R31" s="148"/>
      <c r="S31" s="227">
        <f t="shared" si="7"/>
        <v>110894563.71000001</v>
      </c>
      <c r="T31" s="436">
        <f t="shared" si="6"/>
        <v>1.5765505218936593</v>
      </c>
      <c r="U31" s="472"/>
    </row>
    <row r="32" spans="1:24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104790.61</v>
      </c>
      <c r="H32" s="148">
        <v>1838329.9900000005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227">
        <f t="shared" si="7"/>
        <v>1943120.6000000006</v>
      </c>
      <c r="T32" s="436">
        <f t="shared" si="6"/>
        <v>2.7624688655103789E-2</v>
      </c>
      <c r="U32" s="472"/>
      <c r="V32" s="275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201738.93999999997</v>
      </c>
      <c r="H33" s="148">
        <v>3185464.5300000003</v>
      </c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227">
        <f t="shared" si="7"/>
        <v>3387203.47</v>
      </c>
      <c r="T33" s="436">
        <f t="shared" si="6"/>
        <v>4.8154726613591131E-2</v>
      </c>
      <c r="U33" s="472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773480.33000000007</v>
      </c>
      <c r="H34" s="148">
        <v>3310851.63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227">
        <f t="shared" si="7"/>
        <v>4084331.96</v>
      </c>
      <c r="T34" s="436">
        <f t="shared" si="6"/>
        <v>5.8065566676144438E-2</v>
      </c>
      <c r="U34" s="472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4201.6000000000004</v>
      </c>
      <c r="H35" s="148">
        <v>1444663.1699999997</v>
      </c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227">
        <f t="shared" si="7"/>
        <v>1448864.7699999998</v>
      </c>
      <c r="T35" s="436">
        <f t="shared" si="6"/>
        <v>2.0598020614159794E-2</v>
      </c>
      <c r="U35" s="472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4029329.47</v>
      </c>
      <c r="H36" s="148">
        <v>4129191.9600000004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227">
        <f>+SUM(G36:R36)</f>
        <v>8158521.4300000006</v>
      </c>
      <c r="T36" s="436">
        <f t="shared" si="6"/>
        <v>0.11598694100085302</v>
      </c>
      <c r="U36" s="472"/>
      <c r="V36" s="275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155.47</v>
      </c>
      <c r="H37" s="148">
        <v>1060132.9999999998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227">
        <f t="shared" si="7"/>
        <v>1060288.4699999997</v>
      </c>
      <c r="T37" s="436">
        <f t="shared" si="6"/>
        <v>1.5073762723912421E-2</v>
      </c>
      <c r="U37" s="472"/>
      <c r="V37" s="275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1261570.0099999988</v>
      </c>
      <c r="H38" s="148">
        <v>3823193.8399999929</v>
      </c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227">
        <f t="shared" si="7"/>
        <v>5084763.8499999922</v>
      </c>
      <c r="T38" s="436">
        <f t="shared" si="6"/>
        <v>7.2288368638043679E-2</v>
      </c>
      <c r="U38" s="472"/>
    </row>
    <row r="39" spans="1:24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v>98363.42</v>
      </c>
      <c r="H39" s="148">
        <v>7566518.1899999985</v>
      </c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227">
        <f t="shared" si="7"/>
        <v>7664881.6099999985</v>
      </c>
      <c r="T39" s="436">
        <f t="shared" si="6"/>
        <v>0.10896903056582313</v>
      </c>
      <c r="U39" s="472"/>
      <c r="V39" s="275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68161094.659999996</v>
      </c>
      <c r="H40" s="178">
        <f t="shared" ref="H40:L40" si="16">+SUM(H41:H45)</f>
        <v>82079333.410000011</v>
      </c>
      <c r="I40" s="178">
        <f t="shared" si="16"/>
        <v>0</v>
      </c>
      <c r="J40" s="178">
        <f t="shared" si="16"/>
        <v>0</v>
      </c>
      <c r="K40" s="178">
        <f t="shared" si="16"/>
        <v>0</v>
      </c>
      <c r="L40" s="178">
        <f t="shared" si="16"/>
        <v>0</v>
      </c>
      <c r="M40" s="178">
        <f t="shared" ref="M40:R40" si="17">+SUM(M41:M45)</f>
        <v>0</v>
      </c>
      <c r="N40" s="178">
        <f t="shared" si="17"/>
        <v>0</v>
      </c>
      <c r="O40" s="178">
        <f t="shared" si="17"/>
        <v>0</v>
      </c>
      <c r="P40" s="178">
        <f t="shared" si="17"/>
        <v>0</v>
      </c>
      <c r="Q40" s="178">
        <f t="shared" si="17"/>
        <v>0</v>
      </c>
      <c r="R40" s="178">
        <f t="shared" si="17"/>
        <v>0</v>
      </c>
      <c r="S40" s="528">
        <f t="shared" si="7"/>
        <v>150240428.06999999</v>
      </c>
      <c r="T40" s="529">
        <f t="shared" si="6"/>
        <v>2.1359173737560422</v>
      </c>
      <c r="U40" s="472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17183646.739999998</v>
      </c>
      <c r="H41" s="148">
        <v>17507547.41</v>
      </c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227">
        <f t="shared" si="7"/>
        <v>34691194.149999999</v>
      </c>
      <c r="T41" s="436">
        <f t="shared" si="6"/>
        <v>0.49319297910150695</v>
      </c>
      <c r="U41" s="472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0</v>
      </c>
      <c r="H42" s="148">
        <v>1977301.41</v>
      </c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227">
        <f t="shared" si="7"/>
        <v>1977301.41</v>
      </c>
      <c r="T42" s="436">
        <f t="shared" si="6"/>
        <v>2.8110625675291438E-2</v>
      </c>
      <c r="U42" s="472"/>
      <c r="V42" s="275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49993665.869999997</v>
      </c>
      <c r="H43" s="148">
        <v>60437360.329999998</v>
      </c>
      <c r="I43" s="148"/>
      <c r="J43" s="148"/>
      <c r="K43" s="148"/>
      <c r="L43" s="148"/>
      <c r="M43" s="486"/>
      <c r="N43" s="148"/>
      <c r="O43" s="148"/>
      <c r="P43" s="148"/>
      <c r="Q43" s="148"/>
      <c r="R43" s="148"/>
      <c r="S43" s="227">
        <f t="shared" si="7"/>
        <v>110431026.19999999</v>
      </c>
      <c r="T43" s="436">
        <f t="shared" si="6"/>
        <v>1.5699605658231448</v>
      </c>
      <c r="U43" s="472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949034.00000000012</v>
      </c>
      <c r="H44" s="148">
        <v>934218.77999999991</v>
      </c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227">
        <f t="shared" si="7"/>
        <v>1883252.78</v>
      </c>
      <c r="T44" s="436">
        <f t="shared" si="6"/>
        <v>2.6773568097810632E-2</v>
      </c>
      <c r="U44" s="472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34748.049999999996</v>
      </c>
      <c r="H45" s="148">
        <v>1222905.48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227">
        <f t="shared" si="7"/>
        <v>1257653.53</v>
      </c>
      <c r="T45" s="436">
        <f t="shared" si="6"/>
        <v>1.7879635058288313E-2</v>
      </c>
      <c r="U45" s="472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2958225.7800000003</v>
      </c>
      <c r="H46" s="160">
        <v>35873257.970000006</v>
      </c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521">
        <f t="shared" si="7"/>
        <v>38831483.750000007</v>
      </c>
      <c r="T46" s="522">
        <f t="shared" si="6"/>
        <v>0.55205407662780792</v>
      </c>
      <c r="U46" s="472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3531423.4500000007</v>
      </c>
      <c r="H47" s="160">
        <v>9832570.8200000003</v>
      </c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521">
        <f t="shared" si="7"/>
        <v>13363994.270000001</v>
      </c>
      <c r="T47" s="522">
        <f t="shared" si="6"/>
        <v>0.18999138854137052</v>
      </c>
      <c r="U47" s="472"/>
      <c r="V47" s="275"/>
      <c r="W47" s="292"/>
      <c r="X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0</v>
      </c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227">
        <f t="shared" si="7"/>
        <v>0</v>
      </c>
      <c r="T48" s="436">
        <f t="shared" si="6"/>
        <v>0</v>
      </c>
      <c r="U48" s="472"/>
      <c r="V48" s="292"/>
    </row>
    <row r="49" spans="1:21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0</v>
      </c>
      <c r="H49" s="148">
        <v>0</v>
      </c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227">
        <f t="shared" si="7"/>
        <v>0</v>
      </c>
      <c r="T49" s="436">
        <f t="shared" si="6"/>
        <v>0</v>
      </c>
      <c r="U49" s="472"/>
    </row>
    <row r="50" spans="1:21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0</v>
      </c>
      <c r="H50" s="148">
        <v>2301161.16</v>
      </c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227">
        <f t="shared" si="7"/>
        <v>2301161.16</v>
      </c>
      <c r="T50" s="436">
        <f t="shared" si="6"/>
        <v>3.2714830253056583E-2</v>
      </c>
      <c r="U50" s="472"/>
    </row>
    <row r="51" spans="1:21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1628929.95</v>
      </c>
      <c r="H51" s="430">
        <v>2293095.31</v>
      </c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398">
        <f>+SUM(G51:R51)</f>
        <v>3922025.26</v>
      </c>
      <c r="T51" s="440">
        <f t="shared" si="6"/>
        <v>5.5758107193630939E-2</v>
      </c>
      <c r="U51" s="472"/>
    </row>
    <row r="52" spans="1:21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6"/>
        <v>0</v>
      </c>
    </row>
    <row r="53" spans="1:21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" si="18">+G10-G29</f>
        <v>15851859.720000029</v>
      </c>
      <c r="H53" s="136">
        <f t="shared" ref="H53:L53" si="19">+H10-H29</f>
        <v>-34301847.660000026</v>
      </c>
      <c r="I53" s="136">
        <f t="shared" si="19"/>
        <v>0</v>
      </c>
      <c r="J53" s="136">
        <f t="shared" si="19"/>
        <v>0</v>
      </c>
      <c r="K53" s="136">
        <f t="shared" si="19"/>
        <v>0</v>
      </c>
      <c r="L53" s="136">
        <f t="shared" si="19"/>
        <v>0</v>
      </c>
      <c r="M53" s="136">
        <f t="shared" ref="M53:R53" si="20">+M10-M29</f>
        <v>0</v>
      </c>
      <c r="N53" s="136">
        <f t="shared" si="20"/>
        <v>0</v>
      </c>
      <c r="O53" s="136">
        <f t="shared" si="20"/>
        <v>0</v>
      </c>
      <c r="P53" s="136">
        <f t="shared" si="20"/>
        <v>0</v>
      </c>
      <c r="Q53" s="136">
        <f t="shared" si="20"/>
        <v>0</v>
      </c>
      <c r="R53" s="136">
        <f t="shared" si="20"/>
        <v>0</v>
      </c>
      <c r="S53" s="530">
        <f>SUM(G53:R53)</f>
        <v>-18449987.939999998</v>
      </c>
      <c r="T53" s="531">
        <f t="shared" si="6"/>
        <v>-0.26229724111458624</v>
      </c>
    </row>
    <row r="54" spans="1:21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" si="21">+G53+G36</f>
        <v>19881189.190000027</v>
      </c>
      <c r="H54" s="190">
        <f t="shared" ref="H54:L54" si="22">+H53+H36</f>
        <v>-30172655.700000025</v>
      </c>
      <c r="I54" s="190">
        <f t="shared" si="22"/>
        <v>0</v>
      </c>
      <c r="J54" s="190">
        <f t="shared" si="22"/>
        <v>0</v>
      </c>
      <c r="K54" s="190">
        <f t="shared" si="22"/>
        <v>0</v>
      </c>
      <c r="L54" s="190">
        <f t="shared" si="22"/>
        <v>0</v>
      </c>
      <c r="M54" s="190">
        <f t="shared" ref="M54:R54" si="23">+M53+M36</f>
        <v>0</v>
      </c>
      <c r="N54" s="190">
        <f t="shared" si="23"/>
        <v>0</v>
      </c>
      <c r="O54" s="190">
        <f t="shared" si="23"/>
        <v>0</v>
      </c>
      <c r="P54" s="190">
        <f t="shared" si="23"/>
        <v>0</v>
      </c>
      <c r="Q54" s="190">
        <f t="shared" si="23"/>
        <v>0</v>
      </c>
      <c r="R54" s="190">
        <f t="shared" si="23"/>
        <v>0</v>
      </c>
      <c r="S54" s="530">
        <f t="shared" si="7"/>
        <v>-10291466.509999998</v>
      </c>
      <c r="T54" s="531">
        <f t="shared" si="6"/>
        <v>-0.14631030011373328</v>
      </c>
    </row>
    <row r="55" spans="1:21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" si="24">+SUM(G56:G57)</f>
        <v>34807942.189999998</v>
      </c>
      <c r="H55" s="178">
        <f t="shared" ref="H55:L55" si="25">+SUM(H56:H57)</f>
        <v>6742029.21</v>
      </c>
      <c r="I55" s="178">
        <f t="shared" si="25"/>
        <v>0</v>
      </c>
      <c r="J55" s="160">
        <f t="shared" si="25"/>
        <v>0</v>
      </c>
      <c r="K55" s="178">
        <f t="shared" si="25"/>
        <v>0</v>
      </c>
      <c r="L55" s="178">
        <f t="shared" si="25"/>
        <v>0</v>
      </c>
      <c r="M55" s="178">
        <f t="shared" ref="M55:R55" si="26">+SUM(M56:M57)</f>
        <v>0</v>
      </c>
      <c r="N55" s="178">
        <f t="shared" si="26"/>
        <v>0</v>
      </c>
      <c r="O55" s="178">
        <f t="shared" si="26"/>
        <v>0</v>
      </c>
      <c r="P55" s="178">
        <f t="shared" si="26"/>
        <v>0</v>
      </c>
      <c r="Q55" s="178">
        <f t="shared" si="26"/>
        <v>0</v>
      </c>
      <c r="R55" s="178">
        <f t="shared" si="26"/>
        <v>0</v>
      </c>
      <c r="S55" s="532">
        <f t="shared" si="7"/>
        <v>41549971.399999999</v>
      </c>
      <c r="T55" s="533">
        <f t="shared" si="6"/>
        <v>0.59070189650270111</v>
      </c>
    </row>
    <row r="56" spans="1:21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2494755.4500000002</v>
      </c>
      <c r="H56" s="196">
        <v>2954245.6799999997</v>
      </c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235">
        <f t="shared" si="7"/>
        <v>5449001.1299999999</v>
      </c>
      <c r="T56" s="444">
        <f t="shared" si="6"/>
        <v>7.7466606909297686E-2</v>
      </c>
    </row>
    <row r="57" spans="1:21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32313186.739999998</v>
      </c>
      <c r="H57" s="196">
        <v>3787783.5300000003</v>
      </c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235">
        <f t="shared" si="7"/>
        <v>36100970.269999996</v>
      </c>
      <c r="T57" s="444">
        <f t="shared" si="6"/>
        <v>0.51323528959340337</v>
      </c>
    </row>
    <row r="58" spans="1:21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0</v>
      </c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532">
        <f>SUM(G58:R58)</f>
        <v>0</v>
      </c>
      <c r="T58" s="534">
        <f t="shared" si="6"/>
        <v>0</v>
      </c>
    </row>
    <row r="59" spans="1:21" ht="13.5" thickBot="1">
      <c r="A59" s="135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432">
        <v>714721.61</v>
      </c>
      <c r="H59" s="432">
        <v>511310</v>
      </c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532">
        <f>SUM(G59:R59)</f>
        <v>1226031.6099999999</v>
      </c>
      <c r="T59" s="534">
        <f t="shared" si="6"/>
        <v>1.7430076912141029E-2</v>
      </c>
    </row>
    <row r="60" spans="1:21" ht="13.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02">
        <f>+G53-G55-G58-G59</f>
        <v>-19670804.079999968</v>
      </c>
      <c r="H60" s="202">
        <f t="shared" ref="H60:L60" si="27">+H53-H55-H58-H59</f>
        <v>-41555186.870000027</v>
      </c>
      <c r="I60" s="202">
        <f t="shared" si="27"/>
        <v>0</v>
      </c>
      <c r="J60" s="202">
        <f t="shared" si="27"/>
        <v>0</v>
      </c>
      <c r="K60" s="202">
        <f t="shared" si="27"/>
        <v>0</v>
      </c>
      <c r="L60" s="202">
        <f t="shared" si="27"/>
        <v>0</v>
      </c>
      <c r="M60" s="202">
        <f t="shared" ref="M60" si="28">+M53-M55-M58-M59</f>
        <v>0</v>
      </c>
      <c r="N60" s="202">
        <f t="shared" ref="N60" si="29">+N53-N55-N58-N59</f>
        <v>0</v>
      </c>
      <c r="O60" s="202">
        <f t="shared" ref="O60" si="30">+O53-O55-O58-O59</f>
        <v>0</v>
      </c>
      <c r="P60" s="202">
        <f t="shared" ref="P60" si="31">+P53-P55-P58-P59</f>
        <v>0</v>
      </c>
      <c r="Q60" s="202">
        <f t="shared" ref="Q60" si="32">+Q53-Q55-Q58-Q59</f>
        <v>0</v>
      </c>
      <c r="R60" s="202">
        <f t="shared" ref="R60:S60" si="33">+R53-R55-R58-R59</f>
        <v>0</v>
      </c>
      <c r="S60" s="532">
        <f t="shared" si="33"/>
        <v>-61225990.949999996</v>
      </c>
      <c r="T60" s="535">
        <f t="shared" si="6"/>
        <v>-0.87042921452942845</v>
      </c>
    </row>
    <row r="61" spans="1:21" ht="13.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+SUM(G62:G66)</f>
        <v>19670804.079999968</v>
      </c>
      <c r="H61" s="136">
        <f t="shared" ref="H61:L61" si="34">+SUM(H62:H66)</f>
        <v>41555186.870000027</v>
      </c>
      <c r="I61" s="136">
        <f t="shared" si="34"/>
        <v>0</v>
      </c>
      <c r="J61" s="136">
        <f t="shared" si="34"/>
        <v>0</v>
      </c>
      <c r="K61" s="136">
        <f t="shared" si="34"/>
        <v>0</v>
      </c>
      <c r="L61" s="136">
        <f t="shared" si="34"/>
        <v>0</v>
      </c>
      <c r="M61" s="136">
        <f t="shared" ref="M61:R61" si="35">+SUM(M62:M66)</f>
        <v>0</v>
      </c>
      <c r="N61" s="136">
        <f t="shared" si="35"/>
        <v>0</v>
      </c>
      <c r="O61" s="136">
        <f t="shared" si="35"/>
        <v>0</v>
      </c>
      <c r="P61" s="136">
        <f t="shared" si="35"/>
        <v>0</v>
      </c>
      <c r="Q61" s="136">
        <f t="shared" si="35"/>
        <v>0</v>
      </c>
      <c r="R61" s="136">
        <f t="shared" si="35"/>
        <v>0</v>
      </c>
      <c r="S61" s="536">
        <f t="shared" si="7"/>
        <v>61225990.949999996</v>
      </c>
      <c r="T61" s="537">
        <f t="shared" si="6"/>
        <v>0.87042921452942845</v>
      </c>
    </row>
    <row r="62" spans="1:21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96">
        <v>0</v>
      </c>
      <c r="H62" s="196">
        <v>0</v>
      </c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35">
        <f t="shared" si="7"/>
        <v>0</v>
      </c>
      <c r="T62" s="444">
        <f t="shared" si="6"/>
        <v>0</v>
      </c>
    </row>
    <row r="63" spans="1:21">
      <c r="A63" s="129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196">
        <v>1632246.65</v>
      </c>
      <c r="H63" s="196">
        <v>1941356.99</v>
      </c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235">
        <f t="shared" si="7"/>
        <v>3573603.6399999997</v>
      </c>
      <c r="T63" s="444">
        <f t="shared" si="6"/>
        <v>5.0804714813761725E-2</v>
      </c>
    </row>
    <row r="64" spans="1:21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96">
        <v>29140.719999999998</v>
      </c>
      <c r="H64" s="196">
        <v>223106.54</v>
      </c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235">
        <f t="shared" si="7"/>
        <v>252247.26</v>
      </c>
      <c r="T64" s="444">
        <f t="shared" si="6"/>
        <v>3.5861140176286607E-3</v>
      </c>
    </row>
    <row r="65" spans="1:20">
      <c r="A65" s="129">
        <v>73</v>
      </c>
      <c r="B65" s="576" t="s">
        <v>101</v>
      </c>
      <c r="C65" s="577"/>
      <c r="D65" s="577"/>
      <c r="E65" s="577"/>
      <c r="F65" s="577"/>
      <c r="G65" s="196">
        <v>284803.10000000003</v>
      </c>
      <c r="H65" s="196">
        <v>1296535.4000000001</v>
      </c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235">
        <f t="shared" si="7"/>
        <v>1581338.5000000002</v>
      </c>
      <c r="T65" s="444">
        <f t="shared" si="6"/>
        <v>2.2481354847881722E-2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17724613.60999997</v>
      </c>
      <c r="H66" s="210">
        <f t="shared" ref="H66:L66" si="36">-H60-SUM(H62:H65)</f>
        <v>38094187.940000027</v>
      </c>
      <c r="I66" s="210">
        <f t="shared" si="36"/>
        <v>0</v>
      </c>
      <c r="J66" s="210">
        <f t="shared" si="36"/>
        <v>0</v>
      </c>
      <c r="K66" s="210">
        <f t="shared" si="36"/>
        <v>0</v>
      </c>
      <c r="L66" s="210">
        <f t="shared" si="36"/>
        <v>0</v>
      </c>
      <c r="M66" s="210">
        <f t="shared" ref="M66:S66" si="37">-M60-SUM(M62:M65)</f>
        <v>0</v>
      </c>
      <c r="N66" s="210">
        <f t="shared" si="37"/>
        <v>0</v>
      </c>
      <c r="O66" s="210">
        <f t="shared" si="37"/>
        <v>0</v>
      </c>
      <c r="P66" s="210">
        <f t="shared" si="37"/>
        <v>0</v>
      </c>
      <c r="Q66" s="210">
        <f t="shared" si="37"/>
        <v>0</v>
      </c>
      <c r="R66" s="210">
        <f t="shared" si="37"/>
        <v>0</v>
      </c>
      <c r="S66" s="238">
        <f t="shared" si="37"/>
        <v>55818801.549999997</v>
      </c>
      <c r="T66" s="448">
        <f t="shared" si="6"/>
        <v>0.79355703085015639</v>
      </c>
    </row>
    <row r="67" spans="1:20">
      <c r="R67" s="293"/>
    </row>
    <row r="68" spans="1:20">
      <c r="F68" s="275"/>
      <c r="G68" s="275"/>
      <c r="H68" s="275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L82" si="38">+CONCATENATE(G6,"p")</f>
        <v>2024-01p</v>
      </c>
      <c r="H82" s="59" t="str">
        <f t="shared" si="38"/>
        <v>2024-02p</v>
      </c>
      <c r="I82" s="59" t="str">
        <f t="shared" si="38"/>
        <v>2024-03p</v>
      </c>
      <c r="J82" s="59" t="str">
        <f t="shared" si="38"/>
        <v>2024-04p</v>
      </c>
      <c r="K82" s="59" t="str">
        <f t="shared" si="38"/>
        <v>2024-05p</v>
      </c>
      <c r="L82" s="59" t="str">
        <f t="shared" si="38"/>
        <v>2024-06p</v>
      </c>
      <c r="M82" s="59" t="str">
        <f t="shared" ref="M82:R82" si="39">+CONCATENATE(M6,"p")</f>
        <v>2024-07p</v>
      </c>
      <c r="N82" s="59" t="str">
        <f t="shared" si="39"/>
        <v>2024-08p</v>
      </c>
      <c r="O82" s="59" t="str">
        <f t="shared" si="39"/>
        <v>2024-09p</v>
      </c>
      <c r="P82" s="59" t="str">
        <f t="shared" si="39"/>
        <v>2024-10p</v>
      </c>
      <c r="Q82" s="59" t="str">
        <f t="shared" si="39"/>
        <v>2024-11p</v>
      </c>
      <c r="R82" s="59" t="str">
        <f t="shared" si="39"/>
        <v>2024-12p</v>
      </c>
    </row>
    <row r="83" spans="1:26" ht="15.75" customHeight="1" thickBot="1">
      <c r="B83" s="632" t="str">
        <f>+Master!G253</f>
        <v>Plan ostvarenja budžeta</v>
      </c>
      <c r="C83" s="633"/>
      <c r="D83" s="633"/>
      <c r="E83" s="633"/>
      <c r="F83" s="633"/>
      <c r="G83" s="640">
        <v>2024</v>
      </c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96" t="str">
        <f>+S7</f>
        <v>BDP</v>
      </c>
      <c r="T83" s="97">
        <v>7034000000</v>
      </c>
    </row>
    <row r="84" spans="1:26" ht="15.75" customHeight="1">
      <c r="B84" s="634"/>
      <c r="C84" s="635"/>
      <c r="D84" s="635"/>
      <c r="E84" s="635"/>
      <c r="F84" s="636"/>
      <c r="G84" s="62" t="str">
        <f t="shared" ref="G84:L84" si="40">+G8</f>
        <v>Januar</v>
      </c>
      <c r="H84" s="62" t="str">
        <f t="shared" si="40"/>
        <v>Februar</v>
      </c>
      <c r="I84" s="62" t="str">
        <f t="shared" si="40"/>
        <v>Mart</v>
      </c>
      <c r="J84" s="62" t="str">
        <f t="shared" si="40"/>
        <v>April</v>
      </c>
      <c r="K84" s="62" t="str">
        <f t="shared" si="40"/>
        <v>Maj</v>
      </c>
      <c r="L84" s="62" t="str">
        <f t="shared" si="40"/>
        <v>Jun</v>
      </c>
      <c r="M84" s="62" t="str">
        <f t="shared" ref="M84:R84" si="41">+M8</f>
        <v>Jul</v>
      </c>
      <c r="N84" s="62" t="str">
        <f t="shared" si="41"/>
        <v>Avgust</v>
      </c>
      <c r="O84" s="62" t="str">
        <f t="shared" si="41"/>
        <v>Septembar</v>
      </c>
      <c r="P84" s="62" t="str">
        <f t="shared" si="41"/>
        <v>Oktobar</v>
      </c>
      <c r="Q84" s="62" t="str">
        <f t="shared" si="41"/>
        <v>Novembar</v>
      </c>
      <c r="R84" s="62" t="str">
        <f t="shared" si="41"/>
        <v>Decembar</v>
      </c>
      <c r="S84" s="640" t="str">
        <f>+Master!G247</f>
        <v>Jan - Dec</v>
      </c>
      <c r="T84" s="642">
        <f>+T8</f>
        <v>0</v>
      </c>
    </row>
    <row r="85" spans="1:26" ht="13.5" thickBot="1">
      <c r="B85" s="637"/>
      <c r="C85" s="638"/>
      <c r="D85" s="638"/>
      <c r="E85" s="638"/>
      <c r="F85" s="639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42">+CONCATENATE(A10,"p")</f>
        <v>7p</v>
      </c>
      <c r="B86" s="606" t="str">
        <f>+VLOOKUP(LEFT($A86,LEN(A86)-1)*1,Master!$D$30:$G$226,4,FALSE)</f>
        <v>Prihodi budžeta</v>
      </c>
      <c r="C86" s="607"/>
      <c r="D86" s="607"/>
      <c r="E86" s="607"/>
      <c r="F86" s="607"/>
      <c r="G86" s="504">
        <f t="shared" ref="G86:L86" si="43">+G87+G95+SUM(G100:G104)</f>
        <v>148772496.12504369</v>
      </c>
      <c r="H86" s="504">
        <f t="shared" si="43"/>
        <v>158113558.17313686</v>
      </c>
      <c r="I86" s="504">
        <f t="shared" si="43"/>
        <v>226012505.71659711</v>
      </c>
      <c r="J86" s="504">
        <f t="shared" si="43"/>
        <v>276575922.35471165</v>
      </c>
      <c r="K86" s="504">
        <f t="shared" si="43"/>
        <v>202370960.75834674</v>
      </c>
      <c r="L86" s="504">
        <f t="shared" si="43"/>
        <v>221931557.19007117</v>
      </c>
      <c r="M86" s="504">
        <f t="shared" ref="M86:Q86" si="44">+M87+M95+SUM(M100:M104)</f>
        <v>239840109.13525739</v>
      </c>
      <c r="N86" s="504">
        <f t="shared" si="44"/>
        <v>272049279.02293092</v>
      </c>
      <c r="O86" s="504">
        <f t="shared" si="44"/>
        <v>250826710.01184744</v>
      </c>
      <c r="P86" s="504">
        <f t="shared" si="44"/>
        <v>243206119.80349156</v>
      </c>
      <c r="Q86" s="504">
        <f t="shared" si="44"/>
        <v>209400426.87586257</v>
      </c>
      <c r="R86" s="504">
        <f>+R87+R95+SUM(R100:R104)</f>
        <v>268154122.822703</v>
      </c>
      <c r="S86" s="538">
        <f>+SUM(G86:R86)</f>
        <v>2717253767.9899998</v>
      </c>
      <c r="T86" s="539">
        <f>+S86/$T$83*100</f>
        <v>38.630278191498434</v>
      </c>
      <c r="U86" s="243"/>
    </row>
    <row r="87" spans="1:26">
      <c r="A87" s="105" t="str">
        <f t="shared" si="42"/>
        <v>711p</v>
      </c>
      <c r="B87" s="630" t="str">
        <f>+VLOOKUP(LEFT($A87,LEN(A87)-1)*1,Master!$D$30:$G$226,4,FALSE)</f>
        <v>Porezi</v>
      </c>
      <c r="C87" s="631"/>
      <c r="D87" s="631"/>
      <c r="E87" s="631"/>
      <c r="F87" s="631"/>
      <c r="G87" s="540">
        <f t="shared" ref="G87:L87" si="45">+SUM(G88:G94)</f>
        <v>120138427.04115422</v>
      </c>
      <c r="H87" s="540">
        <f t="shared" si="45"/>
        <v>104149284.03317438</v>
      </c>
      <c r="I87" s="540">
        <f t="shared" si="45"/>
        <v>169447357.55468205</v>
      </c>
      <c r="J87" s="540">
        <f t="shared" si="45"/>
        <v>211701078.28476781</v>
      </c>
      <c r="K87" s="540">
        <f t="shared" si="45"/>
        <v>141387167.73744527</v>
      </c>
      <c r="L87" s="540">
        <f t="shared" si="45"/>
        <v>151720280.57414097</v>
      </c>
      <c r="M87" s="540">
        <f t="shared" ref="M87:R87" si="46">+SUM(M88:M94)</f>
        <v>161274945.54288816</v>
      </c>
      <c r="N87" s="540">
        <f t="shared" si="46"/>
        <v>187405726.52360511</v>
      </c>
      <c r="O87" s="540">
        <f t="shared" si="46"/>
        <v>174959844.19682884</v>
      </c>
      <c r="P87" s="540">
        <f t="shared" si="46"/>
        <v>165156163.28658262</v>
      </c>
      <c r="Q87" s="540">
        <f t="shared" si="46"/>
        <v>139953378.33863863</v>
      </c>
      <c r="R87" s="541">
        <f t="shared" si="46"/>
        <v>156175298.44609201</v>
      </c>
      <c r="S87" s="542">
        <f t="shared" ref="S87:S141" si="47">+SUM(G87:R87)</f>
        <v>1883468951.5599999</v>
      </c>
      <c r="T87" s="519">
        <f t="shared" ref="T87:T142" si="48">+S87/$T$83*100</f>
        <v>26.776641335797553</v>
      </c>
      <c r="V87" s="292"/>
    </row>
    <row r="88" spans="1:26">
      <c r="A88" s="105" t="str">
        <f t="shared" si="42"/>
        <v>7111p</v>
      </c>
      <c r="B88" s="622" t="str">
        <f>+VLOOKUP(LEFT($A88,LEN(A88)-1)*1,Master!$D$30:$G$229,4,FALSE)</f>
        <v>Porez na dohodak fizičkih lica</v>
      </c>
      <c r="C88" s="623"/>
      <c r="D88" s="623"/>
      <c r="E88" s="623"/>
      <c r="F88" s="623"/>
      <c r="G88" s="77">
        <v>1801825.5334530019</v>
      </c>
      <c r="H88" s="77">
        <v>4797498.8725749766</v>
      </c>
      <c r="I88" s="77">
        <v>5058808.8901446629</v>
      </c>
      <c r="J88" s="77">
        <v>6551317.4334513247</v>
      </c>
      <c r="K88" s="77">
        <v>6354534.9348088503</v>
      </c>
      <c r="L88" s="77">
        <v>6384865.2399824038</v>
      </c>
      <c r="M88" s="77">
        <v>7316280.3532713847</v>
      </c>
      <c r="N88" s="77">
        <v>7257242.9681147542</v>
      </c>
      <c r="O88" s="77">
        <v>7168345.1062709643</v>
      </c>
      <c r="P88" s="77">
        <v>8280983.0276610926</v>
      </c>
      <c r="Q88" s="77">
        <v>6910150.8311675703</v>
      </c>
      <c r="R88" s="77">
        <v>12889716.259099012</v>
      </c>
      <c r="S88" s="101">
        <f t="shared" si="47"/>
        <v>80771569.449999988</v>
      </c>
      <c r="T88" s="436">
        <f t="shared" si="48"/>
        <v>1.1483020962468011</v>
      </c>
      <c r="V88" s="292"/>
    </row>
    <row r="89" spans="1:26">
      <c r="A89" s="105" t="str">
        <f t="shared" si="42"/>
        <v>7112p</v>
      </c>
      <c r="B89" s="622" t="str">
        <f>+VLOOKUP(LEFT($A89,LEN(A89)-1)*1,Master!$D$30:$G$229,4,FALSE)</f>
        <v>Porez na dobit pravnih lica</v>
      </c>
      <c r="C89" s="623"/>
      <c r="D89" s="623"/>
      <c r="E89" s="623"/>
      <c r="F89" s="623"/>
      <c r="G89" s="77">
        <v>1369765.6788657729</v>
      </c>
      <c r="H89" s="77">
        <v>4097750.9290820062</v>
      </c>
      <c r="I89" s="77">
        <v>40990734.989670277</v>
      </c>
      <c r="J89" s="77">
        <v>82072475.918768093</v>
      </c>
      <c r="K89" s="77">
        <v>7598554.4799611485</v>
      </c>
      <c r="L89" s="77">
        <v>5102445.9317580881</v>
      </c>
      <c r="M89" s="77">
        <v>4518923.1926221987</v>
      </c>
      <c r="N89" s="77">
        <v>3667425.793923636</v>
      </c>
      <c r="O89" s="77">
        <v>3031043.3402888682</v>
      </c>
      <c r="P89" s="77">
        <v>3498970.8755320241</v>
      </c>
      <c r="Q89" s="77">
        <v>3851456.9221399422</v>
      </c>
      <c r="R89" s="77">
        <v>4851508.0273879413</v>
      </c>
      <c r="S89" s="101">
        <f t="shared" si="47"/>
        <v>164651056.08000001</v>
      </c>
      <c r="T89" s="436">
        <f t="shared" si="48"/>
        <v>2.3407884003412001</v>
      </c>
      <c r="V89" s="292"/>
    </row>
    <row r="90" spans="1:26">
      <c r="A90" s="105" t="str">
        <f t="shared" si="42"/>
        <v>7113p</v>
      </c>
      <c r="B90" s="622" t="str">
        <f>+VLOOKUP(LEFT($A90,LEN(A90)-1)*1,Master!$D$30:$G$229,4,FALSE)</f>
        <v>Porez na promet nepokretnosti</v>
      </c>
      <c r="C90" s="623"/>
      <c r="D90" s="623"/>
      <c r="E90" s="623"/>
      <c r="F90" s="623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47"/>
        <v>0</v>
      </c>
      <c r="T90" s="436">
        <f t="shared" si="48"/>
        <v>0</v>
      </c>
      <c r="V90" s="292"/>
    </row>
    <row r="91" spans="1:26">
      <c r="A91" s="105" t="str">
        <f t="shared" si="42"/>
        <v>7114p</v>
      </c>
      <c r="B91" s="622" t="str">
        <f>+VLOOKUP(LEFT($A91,LEN(A91)-1)*1,Master!$D$30:$G$229,4,FALSE)</f>
        <v>Porez na dodatu vrijednost</v>
      </c>
      <c r="C91" s="623"/>
      <c r="D91" s="623"/>
      <c r="E91" s="623"/>
      <c r="F91" s="623"/>
      <c r="G91" s="77">
        <v>90392579.434542105</v>
      </c>
      <c r="H91" s="77">
        <v>70110183.355581105</v>
      </c>
      <c r="I91" s="77">
        <v>91649985.128395304</v>
      </c>
      <c r="J91" s="77">
        <v>91035705.503332198</v>
      </c>
      <c r="K91" s="77">
        <v>93750264.273905918</v>
      </c>
      <c r="L91" s="77">
        <v>99669954.964028701</v>
      </c>
      <c r="M91" s="77">
        <v>104980576.46239747</v>
      </c>
      <c r="N91" s="77">
        <v>126842944.99737209</v>
      </c>
      <c r="O91" s="77">
        <v>120744196.841892</v>
      </c>
      <c r="P91" s="77">
        <v>115092102.58641601</v>
      </c>
      <c r="Q91" s="77">
        <v>95782845.757082894</v>
      </c>
      <c r="R91" s="77">
        <v>99581108.985054299</v>
      </c>
      <c r="S91" s="101">
        <f t="shared" si="47"/>
        <v>1199632448.2900002</v>
      </c>
      <c r="T91" s="436">
        <f t="shared" si="48"/>
        <v>17.054768954933184</v>
      </c>
      <c r="V91" s="292"/>
    </row>
    <row r="92" spans="1:26">
      <c r="A92" s="105" t="str">
        <f t="shared" si="42"/>
        <v>7115p</v>
      </c>
      <c r="B92" s="622" t="str">
        <f>+VLOOKUP(LEFT($A92,LEN(A92)-1)*1,Master!$D$30:$G$229,4,FALSE)</f>
        <v>Akcize</v>
      </c>
      <c r="C92" s="623"/>
      <c r="D92" s="623"/>
      <c r="E92" s="623"/>
      <c r="F92" s="623"/>
      <c r="G92" s="77">
        <v>22805003.605203237</v>
      </c>
      <c r="H92" s="77">
        <v>20592857.793570951</v>
      </c>
      <c r="I92" s="77">
        <v>25607651.370289065</v>
      </c>
      <c r="J92" s="77">
        <v>26354503.905432209</v>
      </c>
      <c r="K92" s="77">
        <v>27199796.80399929</v>
      </c>
      <c r="L92" s="77">
        <v>33707423.847654335</v>
      </c>
      <c r="M92" s="77">
        <v>37914208.164682284</v>
      </c>
      <c r="N92" s="77">
        <v>42617140.779784925</v>
      </c>
      <c r="O92" s="77">
        <v>37411081.022537023</v>
      </c>
      <c r="P92" s="77">
        <v>31963707.2157037</v>
      </c>
      <c r="Q92" s="77">
        <v>27368867.618220858</v>
      </c>
      <c r="R92" s="77">
        <v>32257757.872922163</v>
      </c>
      <c r="S92" s="101">
        <f t="shared" si="47"/>
        <v>365800000.00000006</v>
      </c>
      <c r="T92" s="436">
        <f t="shared" si="48"/>
        <v>5.2004549331816898</v>
      </c>
      <c r="V92" s="292"/>
      <c r="X92" s="242"/>
      <c r="Y92" s="242"/>
      <c r="Z92" s="242"/>
    </row>
    <row r="93" spans="1:26">
      <c r="A93" s="105" t="str">
        <f t="shared" si="42"/>
        <v>7116p</v>
      </c>
      <c r="B93" s="622" t="str">
        <f>+VLOOKUP(LEFT($A93,LEN(A93)-1)*1,Master!$D$30:$G$229,4,FALSE)</f>
        <v>Porez na međunarodnu trgovinu i transakcije</v>
      </c>
      <c r="C93" s="623"/>
      <c r="D93" s="623"/>
      <c r="E93" s="623"/>
      <c r="F93" s="623"/>
      <c r="G93" s="77">
        <v>2756177.5797694027</v>
      </c>
      <c r="H93" s="77">
        <v>3597080.8322044765</v>
      </c>
      <c r="I93" s="77">
        <v>5080642.3039190965</v>
      </c>
      <c r="J93" s="77">
        <v>4566217.8601228138</v>
      </c>
      <c r="K93" s="77">
        <v>5315794.5622604089</v>
      </c>
      <c r="L93" s="77">
        <v>5532491.7635528967</v>
      </c>
      <c r="M93" s="77">
        <v>5355802.238618318</v>
      </c>
      <c r="N93" s="77">
        <v>5706699.2805261482</v>
      </c>
      <c r="O93" s="77">
        <v>5186142.2097657854</v>
      </c>
      <c r="P93" s="77">
        <v>5014923.9993494628</v>
      </c>
      <c r="Q93" s="77">
        <v>4765187.6368120126</v>
      </c>
      <c r="R93" s="77">
        <v>5418029.1830991814</v>
      </c>
      <c r="S93" s="101">
        <f t="shared" si="47"/>
        <v>58295189.450000003</v>
      </c>
      <c r="T93" s="436">
        <f t="shared" si="48"/>
        <v>0.82876300042649986</v>
      </c>
      <c r="V93" s="292"/>
    </row>
    <row r="94" spans="1:26">
      <c r="A94" s="105" t="str">
        <f t="shared" si="42"/>
        <v>7118p</v>
      </c>
      <c r="B94" s="622" t="str">
        <f>+VLOOKUP(LEFT($A94,LEN(A94)-1)*1,Master!$D$30:$G$229,4,FALSE)</f>
        <v>Ostali državni porezi</v>
      </c>
      <c r="C94" s="623"/>
      <c r="D94" s="623"/>
      <c r="E94" s="623"/>
      <c r="F94" s="623"/>
      <c r="G94" s="77">
        <v>1013075.2093207003</v>
      </c>
      <c r="H94" s="77">
        <v>953912.25016085315</v>
      </c>
      <c r="I94" s="77">
        <v>1059534.8722636329</v>
      </c>
      <c r="J94" s="77">
        <v>1120857.6636611964</v>
      </c>
      <c r="K94" s="77">
        <v>1168222.682509661</v>
      </c>
      <c r="L94" s="77">
        <v>1323098.8271645412</v>
      </c>
      <c r="M94" s="77">
        <v>1189155.1312965241</v>
      </c>
      <c r="N94" s="77">
        <v>1314272.7038835543</v>
      </c>
      <c r="O94" s="77">
        <v>1419035.6760742143</v>
      </c>
      <c r="P94" s="77">
        <v>1305475.5819203202</v>
      </c>
      <c r="Q94" s="77">
        <v>1274869.5732153796</v>
      </c>
      <c r="R94" s="77">
        <v>1177178.1185294199</v>
      </c>
      <c r="S94" s="101">
        <f t="shared" si="47"/>
        <v>14318688.289999997</v>
      </c>
      <c r="T94" s="436">
        <f t="shared" si="48"/>
        <v>0.20356395066818306</v>
      </c>
      <c r="V94" s="292"/>
    </row>
    <row r="95" spans="1:26">
      <c r="A95" s="105" t="str">
        <f t="shared" si="42"/>
        <v>712p</v>
      </c>
      <c r="B95" s="628" t="str">
        <f>+VLOOKUP(LEFT($A95,LEN(A95)-1)*1,Master!$D$30:$G$229,4,FALSE)</f>
        <v>Doprinosi</v>
      </c>
      <c r="C95" s="629"/>
      <c r="D95" s="629"/>
      <c r="E95" s="629"/>
      <c r="F95" s="629"/>
      <c r="G95" s="543">
        <f>+SUM(G96:G99)</f>
        <v>16352055.41693222</v>
      </c>
      <c r="H95" s="543">
        <f t="shared" ref="H95:L95" si="49">+SUM(H96:H99)</f>
        <v>43548052.584407724</v>
      </c>
      <c r="I95" s="544">
        <f t="shared" si="49"/>
        <v>44933194.735314272</v>
      </c>
      <c r="J95" s="543">
        <f t="shared" si="49"/>
        <v>50076292.309714273</v>
      </c>
      <c r="K95" s="543">
        <f t="shared" si="49"/>
        <v>48321180.060848266</v>
      </c>
      <c r="L95" s="543">
        <f t="shared" si="49"/>
        <v>50551963.338566609</v>
      </c>
      <c r="M95" s="543">
        <f t="shared" ref="M95:R95" si="50">+SUM(M96:M99)</f>
        <v>50964232.425356537</v>
      </c>
      <c r="N95" s="543">
        <f t="shared" si="50"/>
        <v>52474361.259312101</v>
      </c>
      <c r="O95" s="543">
        <f t="shared" si="50"/>
        <v>50349013.984039314</v>
      </c>
      <c r="P95" s="543">
        <f t="shared" si="50"/>
        <v>54363640.398909025</v>
      </c>
      <c r="Q95" s="543">
        <f t="shared" si="50"/>
        <v>49713551.309563525</v>
      </c>
      <c r="R95" s="545">
        <f t="shared" si="50"/>
        <v>93751510.127036065</v>
      </c>
      <c r="S95" s="546">
        <f t="shared" si="47"/>
        <v>605399047.94999993</v>
      </c>
      <c r="T95" s="522">
        <f t="shared" si="48"/>
        <v>8.6067535961046335</v>
      </c>
      <c r="V95" s="292"/>
    </row>
    <row r="96" spans="1:26">
      <c r="A96" s="105" t="str">
        <f t="shared" si="42"/>
        <v>7121p</v>
      </c>
      <c r="B96" s="622" t="str">
        <f>+VLOOKUP(LEFT($A96,LEN(A96)-1)*1,Master!$D$30:$G$229,4,FALSE)</f>
        <v>Doprinosi za penzijsko i invalidsko osiguranje</v>
      </c>
      <c r="C96" s="623"/>
      <c r="D96" s="623"/>
      <c r="E96" s="623"/>
      <c r="F96" s="623"/>
      <c r="G96" s="77">
        <v>15107540.897000929</v>
      </c>
      <c r="H96" s="77">
        <v>40305437.222684398</v>
      </c>
      <c r="I96" s="77">
        <v>41579529.6672429</v>
      </c>
      <c r="J96" s="77">
        <v>46231459.004317187</v>
      </c>
      <c r="K96" s="77">
        <v>44651588.880563311</v>
      </c>
      <c r="L96" s="77">
        <v>46822646.22277157</v>
      </c>
      <c r="M96" s="77">
        <v>47257904.543847948</v>
      </c>
      <c r="N96" s="77">
        <v>48709049.092347272</v>
      </c>
      <c r="O96" s="77">
        <v>46357711.69623474</v>
      </c>
      <c r="P96" s="77">
        <v>50246198.769257635</v>
      </c>
      <c r="Q96" s="77">
        <v>45838849.938908279</v>
      </c>
      <c r="R96" s="77">
        <v>86674431.954823792</v>
      </c>
      <c r="S96" s="101">
        <f t="shared" si="47"/>
        <v>559782347.88999999</v>
      </c>
      <c r="T96" s="436">
        <f t="shared" si="48"/>
        <v>7.9582363930907025</v>
      </c>
      <c r="V96" s="292"/>
      <c r="W96" s="292"/>
    </row>
    <row r="97" spans="1:23">
      <c r="A97" s="105" t="str">
        <f t="shared" si="42"/>
        <v>7122p</v>
      </c>
      <c r="B97" s="622" t="str">
        <f>+VLOOKUP(LEFT($A97,LEN(A97)-1)*1,Master!$D$30:$G$229,4,FALSE)</f>
        <v>Doprinosi za zdravstveno osiguranje</v>
      </c>
      <c r="C97" s="623"/>
      <c r="D97" s="623"/>
      <c r="E97" s="623"/>
      <c r="F97" s="623"/>
      <c r="G97" s="77">
        <v>128998.53121441192</v>
      </c>
      <c r="H97" s="77">
        <v>275556.51165052858</v>
      </c>
      <c r="I97" s="77">
        <v>180181.08257484142</v>
      </c>
      <c r="J97" s="77">
        <v>229244.65815501672</v>
      </c>
      <c r="K97" s="77">
        <v>255605.92274265984</v>
      </c>
      <c r="L97" s="77">
        <v>237031.78373634661</v>
      </c>
      <c r="M97" s="77">
        <v>208441.15359945668</v>
      </c>
      <c r="N97" s="77">
        <v>183197.86811796174</v>
      </c>
      <c r="O97" s="77">
        <v>439037.7087866519</v>
      </c>
      <c r="P97" s="77">
        <v>198177.17517812611</v>
      </c>
      <c r="Q97" s="77">
        <v>252339.37554671103</v>
      </c>
      <c r="R97" s="77">
        <v>412188.22869728797</v>
      </c>
      <c r="S97" s="101">
        <f t="shared" si="47"/>
        <v>3000000</v>
      </c>
      <c r="T97" s="436">
        <f t="shared" si="48"/>
        <v>4.2649985783338069E-2</v>
      </c>
      <c r="V97" s="292"/>
    </row>
    <row r="98" spans="1:23">
      <c r="A98" s="105" t="str">
        <f t="shared" si="42"/>
        <v>7123p</v>
      </c>
      <c r="B98" s="622" t="str">
        <f>+VLOOKUP(LEFT($A98,LEN(A98)-1)*1,Master!$D$30:$G$229,4,FALSE)</f>
        <v>Doprinosi za osiguranje od nezaposlenosti</v>
      </c>
      <c r="C98" s="623"/>
      <c r="D98" s="623"/>
      <c r="E98" s="623"/>
      <c r="F98" s="623"/>
      <c r="G98" s="77">
        <v>652800.53008117527</v>
      </c>
      <c r="H98" s="77">
        <v>1715642.9051287719</v>
      </c>
      <c r="I98" s="77">
        <v>1754023.8579447954</v>
      </c>
      <c r="J98" s="77">
        <v>1982407.8906747878</v>
      </c>
      <c r="K98" s="77">
        <v>1897711.3195239312</v>
      </c>
      <c r="L98" s="77">
        <v>1960821.9840019587</v>
      </c>
      <c r="M98" s="77">
        <v>1975020.7772685695</v>
      </c>
      <c r="N98" s="77">
        <v>2096351.9564830353</v>
      </c>
      <c r="O98" s="77">
        <v>2032210.9670301753</v>
      </c>
      <c r="P98" s="77">
        <v>2198914.888620181</v>
      </c>
      <c r="Q98" s="77">
        <v>2000429.4325449851</v>
      </c>
      <c r="R98" s="77">
        <v>3731281.5306976326</v>
      </c>
      <c r="S98" s="101">
        <f t="shared" si="47"/>
        <v>23997618.039999995</v>
      </c>
      <c r="T98" s="436">
        <f t="shared" si="48"/>
        <v>0.34116602274665903</v>
      </c>
      <c r="V98" s="292"/>
    </row>
    <row r="99" spans="1:23">
      <c r="A99" s="105" t="str">
        <f t="shared" si="42"/>
        <v>7124p</v>
      </c>
      <c r="B99" s="622" t="str">
        <f>+VLOOKUP(LEFT($A99,LEN(A99)-1)*1,Master!$D$30:$G$229,4,FALSE)</f>
        <v>Ostali doprinosi</v>
      </c>
      <c r="C99" s="623"/>
      <c r="D99" s="623"/>
      <c r="E99" s="623"/>
      <c r="F99" s="623"/>
      <c r="G99" s="77">
        <v>462715.45863570302</v>
      </c>
      <c r="H99" s="77">
        <v>1251415.9449440332</v>
      </c>
      <c r="I99" s="77">
        <v>1419460.1275517347</v>
      </c>
      <c r="J99" s="77">
        <v>1633180.7565672826</v>
      </c>
      <c r="K99" s="77">
        <v>1516273.9380183634</v>
      </c>
      <c r="L99" s="77">
        <v>1531463.3480567331</v>
      </c>
      <c r="M99" s="77">
        <v>1522865.9506405692</v>
      </c>
      <c r="N99" s="77">
        <v>1485762.3423638348</v>
      </c>
      <c r="O99" s="77">
        <v>1520053.6119877459</v>
      </c>
      <c r="P99" s="77">
        <v>1720349.5658530837</v>
      </c>
      <c r="Q99" s="77">
        <v>1621932.5625635546</v>
      </c>
      <c r="R99" s="77">
        <v>2933608.4128173613</v>
      </c>
      <c r="S99" s="101">
        <f t="shared" si="47"/>
        <v>18619082.02</v>
      </c>
      <c r="T99" s="436">
        <f t="shared" si="48"/>
        <v>0.26470119448393514</v>
      </c>
      <c r="V99" s="292"/>
    </row>
    <row r="100" spans="1:23">
      <c r="A100" s="105" t="str">
        <f t="shared" si="42"/>
        <v>713p</v>
      </c>
      <c r="B100" s="628" t="str">
        <f>+VLOOKUP(LEFT($A100,LEN(A100)-1)*1,Master!$D$30:$G$229,4,FALSE)</f>
        <v>Takse</v>
      </c>
      <c r="C100" s="629"/>
      <c r="D100" s="629"/>
      <c r="E100" s="629"/>
      <c r="F100" s="629"/>
      <c r="G100" s="510">
        <v>748860.49593329686</v>
      </c>
      <c r="H100" s="510">
        <v>953485.20987465465</v>
      </c>
      <c r="I100" s="510">
        <v>1089304.8526208741</v>
      </c>
      <c r="J100" s="510">
        <v>1026263.3154744842</v>
      </c>
      <c r="K100" s="510">
        <v>1352524.7555279485</v>
      </c>
      <c r="L100" s="510">
        <v>1432990.8665296927</v>
      </c>
      <c r="M100" s="510">
        <v>1590359.9048749318</v>
      </c>
      <c r="N100" s="510">
        <v>1811559.3329411284</v>
      </c>
      <c r="O100" s="510">
        <v>1526095.1346786334</v>
      </c>
      <c r="P100" s="510">
        <v>1507019.7783381043</v>
      </c>
      <c r="Q100" s="510">
        <v>1214632.6297800925</v>
      </c>
      <c r="R100" s="510">
        <v>1598448.2234261595</v>
      </c>
      <c r="S100" s="546">
        <f t="shared" si="47"/>
        <v>15851544.500000004</v>
      </c>
      <c r="T100" s="522">
        <f t="shared" si="48"/>
        <v>0.2253560491896503</v>
      </c>
      <c r="V100" s="292"/>
    </row>
    <row r="101" spans="1:23">
      <c r="A101" s="105" t="str">
        <f t="shared" si="42"/>
        <v>714p</v>
      </c>
      <c r="B101" s="628" t="str">
        <f>+VLOOKUP(LEFT($A101,LEN(A101)-1)*1,Master!$D$30:$G$229,4,FALSE)</f>
        <v>Naknade</v>
      </c>
      <c r="C101" s="629"/>
      <c r="D101" s="629"/>
      <c r="E101" s="629"/>
      <c r="F101" s="629"/>
      <c r="G101" s="510">
        <v>2682300.8007396669</v>
      </c>
      <c r="H101" s="510">
        <v>3068842.3901493941</v>
      </c>
      <c r="I101" s="510">
        <v>3887539.9432760077</v>
      </c>
      <c r="J101" s="510">
        <v>3944624.4181581014</v>
      </c>
      <c r="K101" s="510">
        <v>4975153.702935664</v>
      </c>
      <c r="L101" s="510">
        <v>5391338.4291397706</v>
      </c>
      <c r="M101" s="510">
        <v>4551170.0714253988</v>
      </c>
      <c r="N101" s="510">
        <v>6300259.5139867421</v>
      </c>
      <c r="O101" s="510">
        <v>4876357.2568455562</v>
      </c>
      <c r="P101" s="510">
        <v>7715065.1027632868</v>
      </c>
      <c r="Q101" s="510">
        <v>9181200.883062087</v>
      </c>
      <c r="R101" s="510">
        <v>6249228.1375183258</v>
      </c>
      <c r="S101" s="546">
        <f t="shared" si="47"/>
        <v>62823080.649999999</v>
      </c>
      <c r="T101" s="522">
        <f t="shared" si="48"/>
        <v>0.89313449886266705</v>
      </c>
      <c r="V101" s="292"/>
    </row>
    <row r="102" spans="1:23">
      <c r="A102" s="105" t="str">
        <f t="shared" si="42"/>
        <v>715p</v>
      </c>
      <c r="B102" s="628" t="str">
        <f>+VLOOKUP(LEFT($A102,LEN(A102)-1)*1,Master!$D$30:$G$229,4,FALSE)</f>
        <v>Ostali prihodi</v>
      </c>
      <c r="C102" s="629"/>
      <c r="D102" s="629"/>
      <c r="E102" s="629"/>
      <c r="F102" s="629"/>
      <c r="G102" s="510">
        <v>4850852.370284291</v>
      </c>
      <c r="H102" s="510">
        <v>4543893.9555307049</v>
      </c>
      <c r="I102" s="510">
        <v>5155108.6307039</v>
      </c>
      <c r="J102" s="510">
        <v>8577664.0265969969</v>
      </c>
      <c r="K102" s="510">
        <v>4181225.1038118028</v>
      </c>
      <c r="L102" s="510">
        <v>8484983.9839163478</v>
      </c>
      <c r="M102" s="510">
        <v>17098272.995156821</v>
      </c>
      <c r="N102" s="510">
        <v>20053662.995308049</v>
      </c>
      <c r="O102" s="510">
        <v>14711690.041677319</v>
      </c>
      <c r="P102" s="510">
        <v>10010521.839120742</v>
      </c>
      <c r="Q102" s="510">
        <v>4813954.3170404471</v>
      </c>
      <c r="R102" s="510">
        <v>5929313.0708526587</v>
      </c>
      <c r="S102" s="546">
        <f t="shared" si="47"/>
        <v>108411143.33000009</v>
      </c>
      <c r="T102" s="522">
        <f t="shared" si="48"/>
        <v>1.5412445739266434</v>
      </c>
      <c r="V102" s="292"/>
    </row>
    <row r="103" spans="1:23">
      <c r="A103" s="105" t="str">
        <f t="shared" si="42"/>
        <v>73p</v>
      </c>
      <c r="B103" s="628" t="str">
        <f>+VLOOKUP(LEFT($A103,LEN(A103)-1)*1,Master!$D$30:$G$229,4,FALSE)</f>
        <v>Primici od otplate kredita i sredstva prenesena iz prethodne godine</v>
      </c>
      <c r="C103" s="629"/>
      <c r="D103" s="629"/>
      <c r="E103" s="629"/>
      <c r="F103" s="629"/>
      <c r="G103" s="510">
        <v>0</v>
      </c>
      <c r="H103" s="510">
        <v>0</v>
      </c>
      <c r="I103" s="510">
        <v>0</v>
      </c>
      <c r="J103" s="510">
        <v>0</v>
      </c>
      <c r="K103" s="510">
        <v>0</v>
      </c>
      <c r="L103" s="510">
        <v>0</v>
      </c>
      <c r="M103" s="510">
        <v>0</v>
      </c>
      <c r="N103" s="510">
        <v>0</v>
      </c>
      <c r="O103" s="510">
        <v>0</v>
      </c>
      <c r="P103" s="510">
        <v>0</v>
      </c>
      <c r="Q103" s="510">
        <v>0</v>
      </c>
      <c r="R103" s="510">
        <v>0</v>
      </c>
      <c r="S103" s="546">
        <f t="shared" si="47"/>
        <v>0</v>
      </c>
      <c r="T103" s="522">
        <f t="shared" si="48"/>
        <v>0</v>
      </c>
      <c r="V103" s="292"/>
      <c r="W103" s="292"/>
    </row>
    <row r="104" spans="1:23" ht="13.5" thickBot="1">
      <c r="A104" s="105" t="str">
        <f t="shared" si="42"/>
        <v>74p</v>
      </c>
      <c r="B104" s="624" t="str">
        <f>+VLOOKUP(LEFT($A104,LEN(A104)-1)*1,Master!$D$30:$G$229,4,FALSE)</f>
        <v>Donacije i transferi</v>
      </c>
      <c r="C104" s="625"/>
      <c r="D104" s="625"/>
      <c r="E104" s="625"/>
      <c r="F104" s="625"/>
      <c r="G104" s="510">
        <v>4000000</v>
      </c>
      <c r="H104" s="510">
        <v>1850000</v>
      </c>
      <c r="I104" s="510">
        <v>1500000</v>
      </c>
      <c r="J104" s="510">
        <v>1250000</v>
      </c>
      <c r="K104" s="510">
        <v>2153709.39777778</v>
      </c>
      <c r="L104" s="510">
        <v>4349999.9977777796</v>
      </c>
      <c r="M104" s="510">
        <v>4361128.1955555324</v>
      </c>
      <c r="N104" s="510">
        <v>4003709.39777778</v>
      </c>
      <c r="O104" s="510">
        <v>4403709.39777778</v>
      </c>
      <c r="P104" s="510">
        <v>4453709.39777778</v>
      </c>
      <c r="Q104" s="510">
        <v>4523709.39777778</v>
      </c>
      <c r="R104" s="510">
        <v>4450324.8177777799</v>
      </c>
      <c r="S104" s="547">
        <f t="shared" si="47"/>
        <v>41300000</v>
      </c>
      <c r="T104" s="524">
        <f t="shared" si="48"/>
        <v>0.58714813761728746</v>
      </c>
      <c r="V104" s="292"/>
    </row>
    <row r="105" spans="1:23" ht="13.5" thickBot="1">
      <c r="A105" s="105" t="str">
        <f t="shared" si="42"/>
        <v>4p</v>
      </c>
      <c r="B105" s="606" t="str">
        <f>+VLOOKUP(LEFT($A105,LEN(A105)-1)*1,Master!$D$30:$G$229,4,FALSE)</f>
        <v>Izdaci budžeta</v>
      </c>
      <c r="C105" s="607"/>
      <c r="D105" s="607"/>
      <c r="E105" s="607"/>
      <c r="F105" s="607"/>
      <c r="G105" s="505">
        <f t="shared" ref="G105:L105" si="51">+G106+G116+G122+SUM(G123:G127)</f>
        <v>184919053.78499997</v>
      </c>
      <c r="H105" s="505">
        <f t="shared" si="51"/>
        <v>232561234.48499998</v>
      </c>
      <c r="I105" s="505">
        <f t="shared" si="51"/>
        <v>238081263.40500003</v>
      </c>
      <c r="J105" s="505">
        <f t="shared" si="51"/>
        <v>255682841.11500001</v>
      </c>
      <c r="K105" s="505">
        <f t="shared" si="51"/>
        <v>241962982.43500003</v>
      </c>
      <c r="L105" s="505">
        <f t="shared" si="51"/>
        <v>234003907.77500001</v>
      </c>
      <c r="M105" s="505">
        <f t="shared" ref="M105:R105" si="52">+M106+M116+M122+SUM(M123:M127)</f>
        <v>264700451.39499998</v>
      </c>
      <c r="N105" s="505">
        <f t="shared" si="52"/>
        <v>232010503.685</v>
      </c>
      <c r="O105" s="505">
        <f t="shared" si="52"/>
        <v>242368363.40499997</v>
      </c>
      <c r="P105" s="505">
        <f t="shared" si="52"/>
        <v>248749473.49499997</v>
      </c>
      <c r="Q105" s="505">
        <f t="shared" si="52"/>
        <v>263598346.51499999</v>
      </c>
      <c r="R105" s="505">
        <f t="shared" si="52"/>
        <v>314228950.07499999</v>
      </c>
      <c r="S105" s="548">
        <f>+SUM(G105:R105)</f>
        <v>2952867371.5699997</v>
      </c>
      <c r="T105" s="549">
        <f t="shared" si="48"/>
        <v>41.979917139181119</v>
      </c>
      <c r="V105" s="275"/>
    </row>
    <row r="106" spans="1:23">
      <c r="A106" s="105" t="str">
        <f t="shared" si="42"/>
        <v>41p</v>
      </c>
      <c r="B106" s="626" t="str">
        <f>+VLOOKUP(LEFT($A106,LEN(A106)-1)*1,Master!$D$30:$G$229,4,FALSE)</f>
        <v>Tekući izdaci</v>
      </c>
      <c r="C106" s="627"/>
      <c r="D106" s="627"/>
      <c r="E106" s="627"/>
      <c r="F106" s="627"/>
      <c r="G106" s="511">
        <f t="shared" ref="G106:L106" si="53">+SUM(G107:G115)</f>
        <v>87878650.644999996</v>
      </c>
      <c r="H106" s="511">
        <f t="shared" si="53"/>
        <v>86906152.424999982</v>
      </c>
      <c r="I106" s="511">
        <f t="shared" si="53"/>
        <v>95451885.045000017</v>
      </c>
      <c r="J106" s="511">
        <f t="shared" si="53"/>
        <v>106856668.84499998</v>
      </c>
      <c r="K106" s="511">
        <f t="shared" si="53"/>
        <v>97851421.115000039</v>
      </c>
      <c r="L106" s="511">
        <f t="shared" si="53"/>
        <v>89489132.13499999</v>
      </c>
      <c r="M106" s="511">
        <f t="shared" ref="M106:R106" si="54">+SUM(M107:M115)</f>
        <v>93027671.495000005</v>
      </c>
      <c r="N106" s="511">
        <f t="shared" si="54"/>
        <v>85997595.745000005</v>
      </c>
      <c r="O106" s="511">
        <f t="shared" si="54"/>
        <v>93577491.554999977</v>
      </c>
      <c r="P106" s="511">
        <f t="shared" si="54"/>
        <v>102706807.965</v>
      </c>
      <c r="Q106" s="511">
        <f t="shared" si="54"/>
        <v>96849062.034999996</v>
      </c>
      <c r="R106" s="512">
        <f t="shared" si="54"/>
        <v>129450330.31499998</v>
      </c>
      <c r="S106" s="542">
        <f t="shared" si="47"/>
        <v>1166042869.3199999</v>
      </c>
      <c r="T106" s="519">
        <f t="shared" si="48"/>
        <v>16.577237266420244</v>
      </c>
      <c r="V106" s="275"/>
      <c r="W106" s="275"/>
    </row>
    <row r="107" spans="1:23">
      <c r="A107" s="105" t="str">
        <f t="shared" si="42"/>
        <v>411p</v>
      </c>
      <c r="B107" s="622" t="str">
        <f>+VLOOKUP(LEFT($A107,LEN(A107)-1)*1,Master!$D$30:$G$229,4,FALSE)</f>
        <v>Bruto zarade i doprinosi na teret poslodavca</v>
      </c>
      <c r="C107" s="623"/>
      <c r="D107" s="623"/>
      <c r="E107" s="623"/>
      <c r="F107" s="623"/>
      <c r="G107" s="77">
        <v>57236559.594999999</v>
      </c>
      <c r="H107" s="77">
        <v>55816093.644999981</v>
      </c>
      <c r="I107" s="77">
        <v>56488796.335000001</v>
      </c>
      <c r="J107" s="77">
        <v>56489142.515000008</v>
      </c>
      <c r="K107" s="77">
        <v>56540382.745000005</v>
      </c>
      <c r="L107" s="77">
        <v>56491886.404999994</v>
      </c>
      <c r="M107" s="77">
        <v>56491988.854999997</v>
      </c>
      <c r="N107" s="77">
        <v>56492266.684999995</v>
      </c>
      <c r="O107" s="77">
        <v>56492339.675000004</v>
      </c>
      <c r="P107" s="77">
        <v>56496440.484999992</v>
      </c>
      <c r="Q107" s="77">
        <v>56495043.11500001</v>
      </c>
      <c r="R107" s="77">
        <v>56488380.25499998</v>
      </c>
      <c r="S107" s="101">
        <f t="shared" si="47"/>
        <v>678019320.31000006</v>
      </c>
      <c r="T107" s="436">
        <f t="shared" si="48"/>
        <v>9.6391714573500149</v>
      </c>
      <c r="V107" s="488"/>
    </row>
    <row r="108" spans="1:23">
      <c r="A108" s="105" t="str">
        <f t="shared" si="42"/>
        <v>412p</v>
      </c>
      <c r="B108" s="622" t="str">
        <f>+VLOOKUP(LEFT($A108,LEN(A108)-1)*1,Master!$D$30:$G$229,4,FALSE)</f>
        <v>Ostala lična primanja</v>
      </c>
      <c r="C108" s="623"/>
      <c r="D108" s="623"/>
      <c r="E108" s="623"/>
      <c r="F108" s="623"/>
      <c r="G108" s="77">
        <v>2100463.6400000006</v>
      </c>
      <c r="H108" s="77">
        <v>1740741.4700000007</v>
      </c>
      <c r="I108" s="77">
        <v>1753124.9700000007</v>
      </c>
      <c r="J108" s="77">
        <v>1673330.2600000009</v>
      </c>
      <c r="K108" s="77">
        <v>1703169.2100000009</v>
      </c>
      <c r="L108" s="77">
        <v>1690210.7300000009</v>
      </c>
      <c r="M108" s="77">
        <v>1580765.9100000006</v>
      </c>
      <c r="N108" s="77">
        <v>1509788.27</v>
      </c>
      <c r="O108" s="77">
        <v>1478140.4400000002</v>
      </c>
      <c r="P108" s="77">
        <v>1471283.5899999999</v>
      </c>
      <c r="Q108" s="77">
        <v>1474746.63</v>
      </c>
      <c r="R108" s="77">
        <v>1592508.5300000003</v>
      </c>
      <c r="S108" s="101">
        <f t="shared" si="47"/>
        <v>19768273.650000006</v>
      </c>
      <c r="T108" s="436">
        <f t="shared" si="48"/>
        <v>0.28103886337787892</v>
      </c>
      <c r="V108" s="488"/>
    </row>
    <row r="109" spans="1:23">
      <c r="A109" s="105" t="str">
        <f t="shared" si="42"/>
        <v>413p</v>
      </c>
      <c r="B109" s="622" t="str">
        <f>+VLOOKUP(LEFT($A109,LEN(A109)-1)*1,Master!$D$30:$G$229,4,FALSE)</f>
        <v>Rashodi za materijal</v>
      </c>
      <c r="C109" s="623"/>
      <c r="D109" s="623"/>
      <c r="E109" s="623"/>
      <c r="F109" s="623"/>
      <c r="G109" s="77">
        <v>2592981.6999999997</v>
      </c>
      <c r="H109" s="77">
        <v>4515110.08</v>
      </c>
      <c r="I109" s="77">
        <v>4746218.3499999987</v>
      </c>
      <c r="J109" s="77">
        <v>3300771.2399999998</v>
      </c>
      <c r="K109" s="77">
        <v>3656056.06</v>
      </c>
      <c r="L109" s="77">
        <v>3933495.0999999992</v>
      </c>
      <c r="M109" s="77">
        <v>3252425.830000001</v>
      </c>
      <c r="N109" s="77">
        <v>4247306.54</v>
      </c>
      <c r="O109" s="77">
        <v>4898294.7299999995</v>
      </c>
      <c r="P109" s="77">
        <v>4877488.2399999993</v>
      </c>
      <c r="Q109" s="77">
        <v>3741414.1999999993</v>
      </c>
      <c r="R109" s="77">
        <v>8382271.0100000016</v>
      </c>
      <c r="S109" s="101">
        <f t="shared" si="47"/>
        <v>52143833.079999998</v>
      </c>
      <c r="T109" s="436">
        <f t="shared" si="48"/>
        <v>0.74131124651691782</v>
      </c>
      <c r="V109" s="488"/>
    </row>
    <row r="110" spans="1:23">
      <c r="A110" s="105" t="str">
        <f t="shared" si="42"/>
        <v>414p</v>
      </c>
      <c r="B110" s="622" t="str">
        <f>+VLOOKUP(LEFT($A110,LEN(A110)-1)*1,Master!$D$30:$G$229,4,FALSE)</f>
        <v>Rashodi za usluge</v>
      </c>
      <c r="C110" s="623"/>
      <c r="D110" s="623"/>
      <c r="E110" s="623"/>
      <c r="F110" s="623"/>
      <c r="G110" s="77">
        <v>3340743.4700000011</v>
      </c>
      <c r="H110" s="77">
        <v>6097662.4100000001</v>
      </c>
      <c r="I110" s="77">
        <v>5978418.9100000011</v>
      </c>
      <c r="J110" s="77">
        <v>5854559.3200000003</v>
      </c>
      <c r="K110" s="77">
        <v>5703795.0300000012</v>
      </c>
      <c r="L110" s="77">
        <v>6644319.4900000021</v>
      </c>
      <c r="M110" s="77">
        <v>6131057.3700000001</v>
      </c>
      <c r="N110" s="77">
        <v>5400846.6300000008</v>
      </c>
      <c r="O110" s="77">
        <v>6228111.6400000025</v>
      </c>
      <c r="P110" s="77">
        <v>6383895.8200000003</v>
      </c>
      <c r="Q110" s="77">
        <v>5837864.5599999996</v>
      </c>
      <c r="R110" s="77">
        <v>9975968.3799999971</v>
      </c>
      <c r="S110" s="101">
        <f t="shared" si="47"/>
        <v>73577243.030000016</v>
      </c>
      <c r="T110" s="436">
        <f t="shared" si="48"/>
        <v>1.0460227897355703</v>
      </c>
      <c r="V110" s="488"/>
    </row>
    <row r="111" spans="1:23">
      <c r="A111" s="105" t="str">
        <f t="shared" si="42"/>
        <v>415p</v>
      </c>
      <c r="B111" s="622" t="str">
        <f>+VLOOKUP(LEFT($A111,LEN(A111)-1)*1,Master!$D$30:$G$229,4,FALSE)</f>
        <v>Rashodi za tekuće održavanje</v>
      </c>
      <c r="C111" s="623"/>
      <c r="D111" s="623"/>
      <c r="E111" s="623"/>
      <c r="F111" s="623"/>
      <c r="G111" s="77">
        <v>1533230.38</v>
      </c>
      <c r="H111" s="77">
        <v>2906620.62</v>
      </c>
      <c r="I111" s="77">
        <v>3471949</v>
      </c>
      <c r="J111" s="77">
        <v>2074494.46</v>
      </c>
      <c r="K111" s="77">
        <v>2536527.75</v>
      </c>
      <c r="L111" s="77">
        <v>2985743.0999999996</v>
      </c>
      <c r="M111" s="77">
        <v>3203540.1100000003</v>
      </c>
      <c r="N111" s="77">
        <v>3414396.59</v>
      </c>
      <c r="O111" s="77">
        <v>2851647.1499999985</v>
      </c>
      <c r="P111" s="77">
        <v>4359813.2799999993</v>
      </c>
      <c r="Q111" s="77">
        <v>3607336.46</v>
      </c>
      <c r="R111" s="77">
        <v>6711210.7199999997</v>
      </c>
      <c r="S111" s="101">
        <f t="shared" si="47"/>
        <v>39656509.619999997</v>
      </c>
      <c r="T111" s="436">
        <f t="shared" si="48"/>
        <v>0.56378319050326986</v>
      </c>
      <c r="V111" s="488"/>
    </row>
    <row r="112" spans="1:23">
      <c r="A112" s="105" t="str">
        <f t="shared" si="42"/>
        <v>416p</v>
      </c>
      <c r="B112" s="622" t="str">
        <f>+VLOOKUP(LEFT($A112,LEN(A112)-1)*1,Master!$D$30:$G$229,4,FALSE)</f>
        <v>Kamate</v>
      </c>
      <c r="C112" s="623"/>
      <c r="D112" s="623"/>
      <c r="E112" s="623"/>
      <c r="F112" s="623"/>
      <c r="G112" s="77">
        <v>7863506.3399999999</v>
      </c>
      <c r="H112" s="77">
        <v>3853520.3899999992</v>
      </c>
      <c r="I112" s="77">
        <v>7002612.4900000021</v>
      </c>
      <c r="J112" s="77">
        <v>25979515.719999999</v>
      </c>
      <c r="K112" s="77">
        <v>14697879.240000002</v>
      </c>
      <c r="L112" s="77">
        <v>5859746.7600000016</v>
      </c>
      <c r="M112" s="77">
        <v>7379836.4300000006</v>
      </c>
      <c r="N112" s="77">
        <v>3537784.6200000006</v>
      </c>
      <c r="O112" s="77">
        <v>5550692.9700000016</v>
      </c>
      <c r="P112" s="77">
        <v>17060783.899999999</v>
      </c>
      <c r="Q112" s="77">
        <v>12954508.439999999</v>
      </c>
      <c r="R112" s="77">
        <v>26653631.520000003</v>
      </c>
      <c r="S112" s="101">
        <f t="shared" si="47"/>
        <v>138394018.82000002</v>
      </c>
      <c r="T112" s="436">
        <f t="shared" si="48"/>
        <v>1.9675009783906743</v>
      </c>
      <c r="V112" s="488"/>
    </row>
    <row r="113" spans="1:22">
      <c r="A113" s="105" t="str">
        <f t="shared" si="42"/>
        <v>417p</v>
      </c>
      <c r="B113" s="622" t="str">
        <f>+VLOOKUP(LEFT($A113,LEN(A113)-1)*1,Master!$D$30:$G$229,4,FALSE)</f>
        <v>Renta</v>
      </c>
      <c r="C113" s="623"/>
      <c r="D113" s="623"/>
      <c r="E113" s="623"/>
      <c r="F113" s="623"/>
      <c r="G113" s="77">
        <v>1176076.0799999998</v>
      </c>
      <c r="H113" s="77">
        <v>1161701.6599999999</v>
      </c>
      <c r="I113" s="77">
        <v>1156431.0099999998</v>
      </c>
      <c r="J113" s="77">
        <v>1194352.0699999998</v>
      </c>
      <c r="K113" s="77">
        <v>1202203.7899999998</v>
      </c>
      <c r="L113" s="77">
        <v>1154047.0699999998</v>
      </c>
      <c r="M113" s="77">
        <v>1152607.0699999998</v>
      </c>
      <c r="N113" s="77">
        <v>1139907.0699999998</v>
      </c>
      <c r="O113" s="77">
        <v>1137807.0699999998</v>
      </c>
      <c r="P113" s="77">
        <v>1136957.1399999997</v>
      </c>
      <c r="Q113" s="77">
        <v>1144485.0599999998</v>
      </c>
      <c r="R113" s="77">
        <v>1103438.5100000002</v>
      </c>
      <c r="S113" s="101">
        <f t="shared" si="47"/>
        <v>13860013.600000001</v>
      </c>
      <c r="T113" s="436">
        <f t="shared" si="48"/>
        <v>0.19704312766562412</v>
      </c>
      <c r="V113" s="488"/>
    </row>
    <row r="114" spans="1:22">
      <c r="A114" s="105" t="str">
        <f t="shared" si="42"/>
        <v>418p</v>
      </c>
      <c r="B114" s="622" t="str">
        <f>+VLOOKUP(LEFT($A114,LEN(A114)-1)*1,Master!$D$30:$G$229,4,FALSE)</f>
        <v>Subvencije</v>
      </c>
      <c r="C114" s="623"/>
      <c r="D114" s="623"/>
      <c r="E114" s="623"/>
      <c r="F114" s="623"/>
      <c r="G114" s="77">
        <v>2842083.57</v>
      </c>
      <c r="H114" s="77">
        <v>3401967.33</v>
      </c>
      <c r="I114" s="77">
        <v>6003432.1100000013</v>
      </c>
      <c r="J114" s="77">
        <v>4923572.21</v>
      </c>
      <c r="K114" s="77">
        <v>6362355.2300000004</v>
      </c>
      <c r="L114" s="77">
        <v>4867109.51</v>
      </c>
      <c r="M114" s="77">
        <v>6273241.120000001</v>
      </c>
      <c r="N114" s="77">
        <v>5041530.7700000005</v>
      </c>
      <c r="O114" s="77">
        <v>7541341.7899999982</v>
      </c>
      <c r="P114" s="77">
        <v>4558113.120000001</v>
      </c>
      <c r="Q114" s="77">
        <v>6140335.8600000003</v>
      </c>
      <c r="R114" s="77">
        <v>9191186.3399999943</v>
      </c>
      <c r="S114" s="101">
        <f t="shared" si="47"/>
        <v>67146268.959999993</v>
      </c>
      <c r="T114" s="436">
        <f t="shared" si="48"/>
        <v>0.95459580551606471</v>
      </c>
      <c r="V114" s="488"/>
    </row>
    <row r="115" spans="1:22">
      <c r="A115" s="105" t="str">
        <f t="shared" si="42"/>
        <v>419p</v>
      </c>
      <c r="B115" s="622" t="str">
        <f>+VLOOKUP(LEFT($A115,LEN(A115)-1)*1,Master!$D$30:$G$229,4,FALSE)</f>
        <v>Ostali izdaci</v>
      </c>
      <c r="C115" s="623"/>
      <c r="D115" s="623"/>
      <c r="E115" s="623"/>
      <c r="F115" s="623"/>
      <c r="G115" s="77">
        <v>9193005.8699999992</v>
      </c>
      <c r="H115" s="77">
        <v>7412734.8200000003</v>
      </c>
      <c r="I115" s="77">
        <v>8850901.870000001</v>
      </c>
      <c r="J115" s="77">
        <v>5366931.0500000007</v>
      </c>
      <c r="K115" s="77">
        <v>5449052.0600000005</v>
      </c>
      <c r="L115" s="77">
        <v>5862573.9700000007</v>
      </c>
      <c r="M115" s="77">
        <v>7562208.8000000007</v>
      </c>
      <c r="N115" s="77">
        <v>5213768.57</v>
      </c>
      <c r="O115" s="77">
        <v>7399116.0900000017</v>
      </c>
      <c r="P115" s="77">
        <v>6362032.3899999997</v>
      </c>
      <c r="Q115" s="77">
        <v>5453327.71</v>
      </c>
      <c r="R115" s="77">
        <v>9351735.0500000026</v>
      </c>
      <c r="S115" s="101">
        <f t="shared" si="47"/>
        <v>83477388.249999985</v>
      </c>
      <c r="T115" s="436">
        <f t="shared" si="48"/>
        <v>1.1867698073642308</v>
      </c>
      <c r="V115" s="488"/>
    </row>
    <row r="116" spans="1:22">
      <c r="A116" s="105" t="str">
        <f t="shared" si="42"/>
        <v>42p</v>
      </c>
      <c r="B116" s="618" t="str">
        <f>+VLOOKUP(LEFT($A116,LEN(A116)-1)*1,Master!$D$30:$G$229,4,FALSE)</f>
        <v>Transferi za socijalnu zaštitu</v>
      </c>
      <c r="C116" s="619"/>
      <c r="D116" s="619"/>
      <c r="E116" s="619"/>
      <c r="F116" s="619"/>
      <c r="G116" s="507">
        <f t="shared" ref="G116:L116" si="55">+SUM(G117:G121)</f>
        <v>75443525</v>
      </c>
      <c r="H116" s="507">
        <f t="shared" si="55"/>
        <v>84394445.159999996</v>
      </c>
      <c r="I116" s="507">
        <f t="shared" si="55"/>
        <v>83399809.099999994</v>
      </c>
      <c r="J116" s="507">
        <f t="shared" si="55"/>
        <v>83769996.049999997</v>
      </c>
      <c r="K116" s="507">
        <f t="shared" si="55"/>
        <v>83769996.049999997</v>
      </c>
      <c r="L116" s="507">
        <f t="shared" si="55"/>
        <v>87049024.140000001</v>
      </c>
      <c r="M116" s="507">
        <f t="shared" ref="M116:R116" si="56">+SUM(M117:M121)</f>
        <v>85963012.349999994</v>
      </c>
      <c r="N116" s="507">
        <f t="shared" si="56"/>
        <v>86096697.659999996</v>
      </c>
      <c r="O116" s="507">
        <f t="shared" si="56"/>
        <v>86097697.659999996</v>
      </c>
      <c r="P116" s="507">
        <f t="shared" si="56"/>
        <v>86972569.239999995</v>
      </c>
      <c r="Q116" s="507">
        <f t="shared" si="56"/>
        <v>86972569.239999995</v>
      </c>
      <c r="R116" s="507">
        <f t="shared" si="56"/>
        <v>81090155.569999993</v>
      </c>
      <c r="S116" s="546">
        <f t="shared" si="47"/>
        <v>1011019497.22</v>
      </c>
      <c r="T116" s="522">
        <f t="shared" si="48"/>
        <v>14.373322394370202</v>
      </c>
      <c r="V116" s="292"/>
    </row>
    <row r="117" spans="1:22">
      <c r="A117" s="105" t="str">
        <f t="shared" si="42"/>
        <v>421p</v>
      </c>
      <c r="B117" s="622" t="str">
        <f>+VLOOKUP(LEFT($A117,LEN(A117)-1)*1,Master!$D$30:$G$229,4,FALSE)</f>
        <v>Prava iz oblasti socijalne zaštite</v>
      </c>
      <c r="C117" s="623"/>
      <c r="D117" s="623"/>
      <c r="E117" s="623"/>
      <c r="F117" s="623"/>
      <c r="G117" s="499">
        <v>18712760.859999999</v>
      </c>
      <c r="H117" s="499">
        <v>17947481.420000002</v>
      </c>
      <c r="I117" s="499">
        <v>17207107.52</v>
      </c>
      <c r="J117" s="499">
        <v>17577294.469999999</v>
      </c>
      <c r="K117" s="499">
        <v>17577294.469999999</v>
      </c>
      <c r="L117" s="499">
        <v>17577294.469999999</v>
      </c>
      <c r="M117" s="499">
        <v>17577294.469999999</v>
      </c>
      <c r="N117" s="499">
        <v>17577294.469999999</v>
      </c>
      <c r="O117" s="499">
        <v>17577294.469999999</v>
      </c>
      <c r="P117" s="499">
        <v>17577294.469999999</v>
      </c>
      <c r="Q117" s="499">
        <v>17577294.469999999</v>
      </c>
      <c r="R117" s="499">
        <v>17577294.440000001</v>
      </c>
      <c r="S117" s="101">
        <f t="shared" si="47"/>
        <v>212062999.99999997</v>
      </c>
      <c r="T117" s="436">
        <f t="shared" si="48"/>
        <v>3.0148279783906733</v>
      </c>
      <c r="V117" s="488"/>
    </row>
    <row r="118" spans="1:22">
      <c r="A118" s="105" t="str">
        <f t="shared" ref="A118:A134" si="57">+CONCATENATE(A42,"p")</f>
        <v>422p</v>
      </c>
      <c r="B118" s="622" t="str">
        <f>+VLOOKUP(LEFT($A118,LEN(A118)-1)*1,Master!$D$30:$G$229,4,FALSE)</f>
        <v>Sredstva za tehnološke viškove</v>
      </c>
      <c r="C118" s="623"/>
      <c r="D118" s="623"/>
      <c r="E118" s="623"/>
      <c r="F118" s="623"/>
      <c r="G118" s="499">
        <v>2092191.6600000001</v>
      </c>
      <c r="H118" s="499">
        <v>2092191.6600000001</v>
      </c>
      <c r="I118" s="499">
        <v>2092191.6600000001</v>
      </c>
      <c r="J118" s="499">
        <v>2092191.6600000001</v>
      </c>
      <c r="K118" s="499">
        <v>2092191.6600000001</v>
      </c>
      <c r="L118" s="499">
        <v>2092191.6600000001</v>
      </c>
      <c r="M118" s="499">
        <v>2092191.6600000001</v>
      </c>
      <c r="N118" s="499">
        <v>2092191.6600000001</v>
      </c>
      <c r="O118" s="499">
        <v>2092191.6600000001</v>
      </c>
      <c r="P118" s="499">
        <v>2092191.6600000001</v>
      </c>
      <c r="Q118" s="499">
        <v>2092191.6600000001</v>
      </c>
      <c r="R118" s="499">
        <v>2092191.7400000002</v>
      </c>
      <c r="S118" s="101">
        <f t="shared" si="47"/>
        <v>25106300</v>
      </c>
      <c r="T118" s="436">
        <f t="shared" si="48"/>
        <v>0.35692777935740688</v>
      </c>
      <c r="V118" s="488"/>
    </row>
    <row r="119" spans="1:22">
      <c r="A119" s="105" t="str">
        <f t="shared" si="57"/>
        <v>423p</v>
      </c>
      <c r="B119" s="622" t="str">
        <f>+VLOOKUP(LEFT($A119,LEN(A119)-1)*1,Master!$D$30:$G$229,4,FALSE)</f>
        <v>Prava iz oblasti penzijskog i invalidskog osiguranja</v>
      </c>
      <c r="C119" s="623"/>
      <c r="D119" s="623"/>
      <c r="E119" s="623"/>
      <c r="F119" s="623"/>
      <c r="G119" s="499">
        <v>51583572.480000004</v>
      </c>
      <c r="H119" s="499">
        <v>61299772.079999998</v>
      </c>
      <c r="I119" s="499">
        <v>61045509.920000002</v>
      </c>
      <c r="J119" s="499">
        <v>61045509.920000002</v>
      </c>
      <c r="K119" s="499">
        <v>61045509.920000002</v>
      </c>
      <c r="L119" s="499">
        <v>64324538.009999998</v>
      </c>
      <c r="M119" s="499">
        <v>63238526.219999999</v>
      </c>
      <c r="N119" s="499">
        <v>63372211.530000001</v>
      </c>
      <c r="O119" s="499">
        <v>63373211.530000001</v>
      </c>
      <c r="P119" s="499">
        <v>64248083.109999999</v>
      </c>
      <c r="Q119" s="499">
        <v>64248083.109999999</v>
      </c>
      <c r="R119" s="499">
        <v>58365669.389999993</v>
      </c>
      <c r="S119" s="101">
        <f t="shared" si="47"/>
        <v>737190197.22000003</v>
      </c>
      <c r="T119" s="436">
        <f t="shared" si="48"/>
        <v>10.48038381034973</v>
      </c>
      <c r="V119" s="488"/>
    </row>
    <row r="120" spans="1:22">
      <c r="A120" s="105" t="str">
        <f t="shared" si="57"/>
        <v>424p</v>
      </c>
      <c r="B120" s="622" t="str">
        <f>+VLOOKUP(LEFT($A120,LEN(A120)-1)*1,Master!$D$30:$G$229,4,FALSE)</f>
        <v>Ostala prava iz oblasti zdravstvene zaštite</v>
      </c>
      <c r="C120" s="623"/>
      <c r="D120" s="623"/>
      <c r="E120" s="623"/>
      <c r="F120" s="623"/>
      <c r="G120" s="499">
        <v>1755000</v>
      </c>
      <c r="H120" s="499">
        <v>1755000</v>
      </c>
      <c r="I120" s="499">
        <v>1755000</v>
      </c>
      <c r="J120" s="499">
        <v>1755000</v>
      </c>
      <c r="K120" s="499">
        <v>1755000</v>
      </c>
      <c r="L120" s="499">
        <v>1755000</v>
      </c>
      <c r="M120" s="499">
        <v>1755000</v>
      </c>
      <c r="N120" s="499">
        <v>1755000</v>
      </c>
      <c r="O120" s="499">
        <v>1755000</v>
      </c>
      <c r="P120" s="499">
        <v>1755000</v>
      </c>
      <c r="Q120" s="499">
        <v>1755000</v>
      </c>
      <c r="R120" s="499">
        <v>1755000</v>
      </c>
      <c r="S120" s="101">
        <f t="shared" si="47"/>
        <v>21060000</v>
      </c>
      <c r="T120" s="436">
        <f t="shared" si="48"/>
        <v>0.29940290019903326</v>
      </c>
      <c r="V120" s="488"/>
    </row>
    <row r="121" spans="1:22">
      <c r="A121" s="105" t="str">
        <f t="shared" si="57"/>
        <v>425p</v>
      </c>
      <c r="B121" s="622" t="str">
        <f>+VLOOKUP(LEFT($A121,LEN(A121)-1)*1,Master!$D$30:$G$229,4,FALSE)</f>
        <v>Ostala prava iz zdravstvenog osiguranja</v>
      </c>
      <c r="C121" s="623"/>
      <c r="D121" s="623"/>
      <c r="E121" s="623"/>
      <c r="F121" s="623"/>
      <c r="G121" s="499">
        <v>1300000</v>
      </c>
      <c r="H121" s="499">
        <v>1300000</v>
      </c>
      <c r="I121" s="499">
        <v>1300000</v>
      </c>
      <c r="J121" s="499">
        <v>1300000</v>
      </c>
      <c r="K121" s="499">
        <v>1300000</v>
      </c>
      <c r="L121" s="499">
        <v>1300000</v>
      </c>
      <c r="M121" s="499">
        <v>1300000</v>
      </c>
      <c r="N121" s="499">
        <v>1300000</v>
      </c>
      <c r="O121" s="499">
        <v>1300000</v>
      </c>
      <c r="P121" s="499">
        <v>1300000</v>
      </c>
      <c r="Q121" s="499">
        <v>1300000</v>
      </c>
      <c r="R121" s="499">
        <v>1300000</v>
      </c>
      <c r="S121" s="101">
        <f t="shared" si="47"/>
        <v>15600000</v>
      </c>
      <c r="T121" s="436">
        <f t="shared" si="48"/>
        <v>0.22177992607335795</v>
      </c>
      <c r="V121" s="488"/>
    </row>
    <row r="122" spans="1:22">
      <c r="A122" s="105" t="str">
        <f t="shared" si="57"/>
        <v>43p</v>
      </c>
      <c r="B122" s="620" t="str">
        <f>+VLOOKUP(LEFT($A122,LEN(A122)-1)*1,Master!$D$30:$G$229,4,FALSE)</f>
        <v xml:space="preserve">Transferi institucijama, pojedincima, nevladinom i javnom sektoru </v>
      </c>
      <c r="C122" s="621"/>
      <c r="D122" s="621"/>
      <c r="E122" s="621"/>
      <c r="F122" s="621"/>
      <c r="G122" s="510">
        <v>15240044.790000003</v>
      </c>
      <c r="H122" s="510">
        <v>42312688.720000006</v>
      </c>
      <c r="I122" s="510">
        <v>37042176.149999999</v>
      </c>
      <c r="J122" s="510">
        <v>34958741.610000007</v>
      </c>
      <c r="K122" s="510">
        <v>37678023.580000006</v>
      </c>
      <c r="L122" s="510">
        <v>34190161.800000004</v>
      </c>
      <c r="M122" s="510">
        <v>45619705.909999996</v>
      </c>
      <c r="N122" s="510">
        <v>34678448.779999994</v>
      </c>
      <c r="O122" s="510">
        <v>37482586.479999997</v>
      </c>
      <c r="P122" s="510">
        <v>33245009.419999998</v>
      </c>
      <c r="Q122" s="510">
        <v>32522248.050000001</v>
      </c>
      <c r="R122" s="510">
        <v>30088892.829999998</v>
      </c>
      <c r="S122" s="546">
        <f>+SUM(G122:R122)</f>
        <v>415058728.12000006</v>
      </c>
      <c r="T122" s="522">
        <f t="shared" si="48"/>
        <v>5.9007496178561283</v>
      </c>
      <c r="V122" s="488"/>
    </row>
    <row r="123" spans="1:22">
      <c r="A123" s="105" t="str">
        <f t="shared" si="57"/>
        <v>44p</v>
      </c>
      <c r="B123" s="620" t="str">
        <f>+VLOOKUP(LEFT($A123,LEN(A123)-1)*1,Master!$D$30:$G$229,4,FALSE)</f>
        <v>Kapitalni izdaci</v>
      </c>
      <c r="C123" s="621"/>
      <c r="D123" s="621"/>
      <c r="E123" s="621"/>
      <c r="F123" s="621"/>
      <c r="G123" s="510">
        <v>4245371.3800000018</v>
      </c>
      <c r="H123" s="510">
        <v>15541125.270000001</v>
      </c>
      <c r="I123" s="510">
        <v>15136141.080000002</v>
      </c>
      <c r="J123" s="510">
        <v>17196664.280000001</v>
      </c>
      <c r="K123" s="510">
        <v>17164187.290000007</v>
      </c>
      <c r="L123" s="510">
        <v>19765724.190000005</v>
      </c>
      <c r="M123" s="510">
        <v>23529457.550000001</v>
      </c>
      <c r="N123" s="510">
        <v>19891820.990000002</v>
      </c>
      <c r="O123" s="510">
        <v>23471698.850000001</v>
      </c>
      <c r="P123" s="510">
        <v>21978883.32</v>
      </c>
      <c r="Q123" s="510">
        <v>43693719.969999999</v>
      </c>
      <c r="R123" s="510">
        <v>52895384.790000007</v>
      </c>
      <c r="S123" s="546">
        <f>+SUM(G123:R123)</f>
        <v>274510178.95999998</v>
      </c>
      <c r="T123" s="522">
        <f t="shared" si="48"/>
        <v>3.9026184100085302</v>
      </c>
      <c r="U123" s="292"/>
      <c r="V123" s="488"/>
    </row>
    <row r="124" spans="1:22">
      <c r="A124" s="105" t="str">
        <f t="shared" si="57"/>
        <v>451p</v>
      </c>
      <c r="B124" s="612" t="str">
        <f>+VLOOKUP(LEFT($A124,LEN(A124)-1)*1,Master!$D$30:$G$229,4,FALSE)</f>
        <v>Pozajmice i krediti</v>
      </c>
      <c r="C124" s="613"/>
      <c r="D124" s="613"/>
      <c r="E124" s="613"/>
      <c r="F124" s="613"/>
      <c r="G124" s="499">
        <v>0</v>
      </c>
      <c r="H124" s="499">
        <v>0</v>
      </c>
      <c r="I124" s="499">
        <v>0</v>
      </c>
      <c r="J124" s="499">
        <v>0</v>
      </c>
      <c r="K124" s="499">
        <v>0</v>
      </c>
      <c r="L124" s="499">
        <v>0</v>
      </c>
      <c r="M124" s="499">
        <v>0</v>
      </c>
      <c r="N124" s="499">
        <v>0</v>
      </c>
      <c r="O124" s="499">
        <v>0</v>
      </c>
      <c r="P124" s="499">
        <v>0</v>
      </c>
      <c r="Q124" s="499">
        <v>0</v>
      </c>
      <c r="R124" s="499">
        <v>0</v>
      </c>
      <c r="S124" s="101">
        <f t="shared" si="47"/>
        <v>0</v>
      </c>
      <c r="T124" s="436">
        <f t="shared" si="48"/>
        <v>0</v>
      </c>
      <c r="U124" s="292"/>
      <c r="V124" s="488"/>
    </row>
    <row r="125" spans="1:22">
      <c r="A125" s="105" t="str">
        <f t="shared" si="57"/>
        <v>47p</v>
      </c>
      <c r="B125" s="612" t="str">
        <f>+VLOOKUP(LEFT($A125,LEN(A125)-1)*1,Master!$D$30:$G$229,4,FALSE)</f>
        <v>Rezerve</v>
      </c>
      <c r="C125" s="613"/>
      <c r="D125" s="613"/>
      <c r="E125" s="613"/>
      <c r="F125" s="613"/>
      <c r="G125" s="501">
        <v>0</v>
      </c>
      <c r="H125" s="501">
        <v>661809.78</v>
      </c>
      <c r="I125" s="501">
        <v>5125404.93</v>
      </c>
      <c r="J125" s="501">
        <v>11177691.52</v>
      </c>
      <c r="K125" s="501">
        <v>3559533.49</v>
      </c>
      <c r="L125" s="501">
        <v>1492299.3</v>
      </c>
      <c r="M125" s="501">
        <v>14834317.01</v>
      </c>
      <c r="N125" s="501">
        <v>3648971.46</v>
      </c>
      <c r="O125" s="501">
        <v>33326.18</v>
      </c>
      <c r="P125" s="501">
        <v>2096508.51</v>
      </c>
      <c r="Q125" s="501">
        <v>224133.9</v>
      </c>
      <c r="R125" s="501">
        <v>18026003.920000002</v>
      </c>
      <c r="S125" s="101">
        <f t="shared" si="47"/>
        <v>60880000</v>
      </c>
      <c r="T125" s="436">
        <f t="shared" si="48"/>
        <v>0.86551037816320719</v>
      </c>
      <c r="U125" s="292"/>
      <c r="V125" s="488"/>
    </row>
    <row r="126" spans="1:22">
      <c r="A126" s="105" t="str">
        <f t="shared" si="57"/>
        <v>462p</v>
      </c>
      <c r="B126" s="612" t="str">
        <f>+VLOOKUP(LEFT($A126,LEN(A126)-1)*1,Master!$D$30:$G$229,4,FALSE)</f>
        <v>Otplata garancija</v>
      </c>
      <c r="C126" s="613"/>
      <c r="D126" s="613"/>
      <c r="E126" s="613"/>
      <c r="F126" s="613"/>
      <c r="G126" s="499">
        <v>2</v>
      </c>
      <c r="H126" s="499">
        <v>0</v>
      </c>
      <c r="I126" s="499">
        <v>0</v>
      </c>
      <c r="J126" s="499">
        <v>0</v>
      </c>
      <c r="K126" s="499">
        <v>0</v>
      </c>
      <c r="L126" s="499">
        <v>0</v>
      </c>
      <c r="M126" s="499">
        <v>0</v>
      </c>
      <c r="N126" s="499">
        <v>0</v>
      </c>
      <c r="O126" s="499">
        <v>0</v>
      </c>
      <c r="P126" s="499">
        <v>0</v>
      </c>
      <c r="Q126" s="499">
        <v>0</v>
      </c>
      <c r="R126" s="499">
        <v>0</v>
      </c>
      <c r="S126" s="101">
        <f t="shared" si="47"/>
        <v>2</v>
      </c>
      <c r="T126" s="436">
        <f t="shared" si="48"/>
        <v>2.8433323855558715E-8</v>
      </c>
      <c r="U126" s="292"/>
      <c r="V126" s="488"/>
    </row>
    <row r="127" spans="1:22">
      <c r="A127" s="106" t="str">
        <f t="shared" si="57"/>
        <v>4630p</v>
      </c>
      <c r="B127" s="612" t="str">
        <f>+VLOOKUP(LEFT($A127,LEN(A127)-1)*1,Master!$D$30:$G$229,4,FALSE)</f>
        <v>Otplata obaveza iz prethodnog perioda</v>
      </c>
      <c r="C127" s="613"/>
      <c r="D127" s="613"/>
      <c r="E127" s="613"/>
      <c r="F127" s="613"/>
      <c r="G127" s="502">
        <v>2111459.9700000007</v>
      </c>
      <c r="H127" s="501">
        <v>2745013.1300000013</v>
      </c>
      <c r="I127" s="501">
        <v>1925847.0999999996</v>
      </c>
      <c r="J127" s="501">
        <v>1723078.81</v>
      </c>
      <c r="K127" s="501">
        <v>1939820.9100000001</v>
      </c>
      <c r="L127" s="501">
        <v>2017566.2100000002</v>
      </c>
      <c r="M127" s="501">
        <v>1726287.08</v>
      </c>
      <c r="N127" s="501">
        <v>1696969.05</v>
      </c>
      <c r="O127" s="501">
        <v>1705562.68</v>
      </c>
      <c r="P127" s="501">
        <v>1749695.04</v>
      </c>
      <c r="Q127" s="501">
        <v>3336613.3200000012</v>
      </c>
      <c r="R127" s="501">
        <v>2678182.65</v>
      </c>
      <c r="S127" s="92">
        <f>+SUM(G127:R127)</f>
        <v>25356095.950000003</v>
      </c>
      <c r="T127" s="444">
        <f t="shared" si="48"/>
        <v>0.36047904392948538</v>
      </c>
      <c r="U127" s="292"/>
      <c r="V127" s="488"/>
    </row>
    <row r="128" spans="1:22" ht="13.5" thickBot="1">
      <c r="A128" s="105" t="str">
        <f t="shared" si="57"/>
        <v>1005p</v>
      </c>
      <c r="B128" s="612" t="str">
        <f>+VLOOKUP(LEFT($A128,LEN(A128)-1)*1,Master!$D$30:$G$229,4,FALSE)</f>
        <v>Neto povećanje obaveza</v>
      </c>
      <c r="C128" s="613"/>
      <c r="D128" s="613"/>
      <c r="E128" s="613"/>
      <c r="F128" s="613"/>
      <c r="G128" s="501">
        <v>0</v>
      </c>
      <c r="H128" s="501">
        <v>0</v>
      </c>
      <c r="I128" s="501">
        <v>0</v>
      </c>
      <c r="J128" s="501">
        <v>0</v>
      </c>
      <c r="K128" s="501">
        <v>0</v>
      </c>
      <c r="L128" s="501">
        <v>0</v>
      </c>
      <c r="M128" s="501">
        <v>0</v>
      </c>
      <c r="N128" s="501">
        <v>0</v>
      </c>
      <c r="O128" s="501">
        <v>0</v>
      </c>
      <c r="P128" s="501">
        <v>0</v>
      </c>
      <c r="Q128" s="501">
        <v>0</v>
      </c>
      <c r="R128" s="501">
        <v>0</v>
      </c>
      <c r="S128" s="104">
        <f>SUM(G128:R128)</f>
        <v>0</v>
      </c>
      <c r="T128" s="441">
        <f t="shared" si="48"/>
        <v>0</v>
      </c>
      <c r="U128" s="292"/>
      <c r="V128" s="292"/>
    </row>
    <row r="129" spans="1:22" ht="13.5" thickBot="1">
      <c r="A129" s="106" t="str">
        <f t="shared" si="57"/>
        <v>1000p</v>
      </c>
      <c r="B129" s="614" t="str">
        <f>+VLOOKUP(LEFT($A129,LEN(A129)-1)*1,Master!$D$30:$G$226,4,FALSE)</f>
        <v>Suficit / deficit</v>
      </c>
      <c r="C129" s="615"/>
      <c r="D129" s="615"/>
      <c r="E129" s="615"/>
      <c r="F129" s="615"/>
      <c r="G129" s="504">
        <f t="shared" ref="G129:L129" si="58">+G86-G105</f>
        <v>-36146557.659956276</v>
      </c>
      <c r="H129" s="505">
        <f t="shared" si="58"/>
        <v>-74447676.311863124</v>
      </c>
      <c r="I129" s="504">
        <f t="shared" si="58"/>
        <v>-12068757.688402921</v>
      </c>
      <c r="J129" s="504">
        <f t="shared" si="58"/>
        <v>20893081.239711642</v>
      </c>
      <c r="K129" s="504">
        <f t="shared" si="58"/>
        <v>-39592021.676653296</v>
      </c>
      <c r="L129" s="504">
        <f t="shared" si="58"/>
        <v>-12072350.58492884</v>
      </c>
      <c r="M129" s="504">
        <f t="shared" ref="M129:R129" si="59">+M86-M105</f>
        <v>-24860342.259742588</v>
      </c>
      <c r="N129" s="504">
        <f t="shared" si="59"/>
        <v>40038775.337930918</v>
      </c>
      <c r="O129" s="504">
        <f t="shared" si="59"/>
        <v>8458346.606847465</v>
      </c>
      <c r="P129" s="504">
        <f t="shared" si="59"/>
        <v>-5543353.6915084124</v>
      </c>
      <c r="Q129" s="504">
        <f t="shared" si="59"/>
        <v>-54197919.639137417</v>
      </c>
      <c r="R129" s="504">
        <f t="shared" si="59"/>
        <v>-46074827.252296984</v>
      </c>
      <c r="S129" s="550">
        <f t="shared" si="47"/>
        <v>-235613603.57999983</v>
      </c>
      <c r="T129" s="531">
        <f t="shared" si="48"/>
        <v>-3.3496389476826813</v>
      </c>
      <c r="U129" s="292"/>
      <c r="V129" s="292"/>
    </row>
    <row r="130" spans="1:22" ht="13.5" thickBot="1">
      <c r="A130" s="106" t="str">
        <f t="shared" si="57"/>
        <v>1001p</v>
      </c>
      <c r="B130" s="616" t="str">
        <f>+VLOOKUP(LEFT($A130,LEN(A130)-1)*1,Master!$D$30:$G$226,4,FALSE)</f>
        <v>Primarni suficit/deficit</v>
      </c>
      <c r="C130" s="617"/>
      <c r="D130" s="617"/>
      <c r="E130" s="617"/>
      <c r="F130" s="617"/>
      <c r="G130" s="506">
        <f>+G129+G112</f>
        <v>-28283051.319956277</v>
      </c>
      <c r="H130" s="506">
        <f t="shared" ref="H130:L130" si="60">+H129+H112</f>
        <v>-70594155.921863124</v>
      </c>
      <c r="I130" s="506">
        <f t="shared" si="60"/>
        <v>-5066145.1984029189</v>
      </c>
      <c r="J130" s="506">
        <f t="shared" si="60"/>
        <v>46872596.959711641</v>
      </c>
      <c r="K130" s="506">
        <f t="shared" si="60"/>
        <v>-24894142.436653294</v>
      </c>
      <c r="L130" s="506">
        <f t="shared" si="60"/>
        <v>-6212603.8249288388</v>
      </c>
      <c r="M130" s="506">
        <f t="shared" ref="M130:R130" si="61">+M129+M112</f>
        <v>-17480505.829742588</v>
      </c>
      <c r="N130" s="506">
        <f t="shared" si="61"/>
        <v>43576559.957930915</v>
      </c>
      <c r="O130" s="506">
        <f t="shared" si="61"/>
        <v>14009039.576847468</v>
      </c>
      <c r="P130" s="506">
        <f t="shared" si="61"/>
        <v>11517430.208491586</v>
      </c>
      <c r="Q130" s="506">
        <f t="shared" si="61"/>
        <v>-41243411.199137419</v>
      </c>
      <c r="R130" s="506">
        <f t="shared" si="61"/>
        <v>-19421195.732296981</v>
      </c>
      <c r="S130" s="550">
        <f t="shared" si="47"/>
        <v>-97219584.759999812</v>
      </c>
      <c r="T130" s="531">
        <f t="shared" si="48"/>
        <v>-1.3821379692920075</v>
      </c>
      <c r="U130" s="292"/>
      <c r="V130" s="292"/>
    </row>
    <row r="131" spans="1:22">
      <c r="A131" s="106" t="str">
        <f t="shared" si="57"/>
        <v>46p</v>
      </c>
      <c r="B131" s="618" t="str">
        <f>+VLOOKUP(LEFT($A131,LEN(A131)-1)*1,Master!$D$30:$G$226,4,FALSE)</f>
        <v>Otplata dugova</v>
      </c>
      <c r="C131" s="619"/>
      <c r="D131" s="619"/>
      <c r="E131" s="619"/>
      <c r="F131" s="619"/>
      <c r="G131" s="507">
        <f>+SUM(G132:G133)</f>
        <v>35630564.469999999</v>
      </c>
      <c r="H131" s="507">
        <f t="shared" ref="H131:L131" si="62">+SUM(H132:H133)</f>
        <v>7154150.5</v>
      </c>
      <c r="I131" s="507">
        <f t="shared" si="62"/>
        <v>60631846.180000007</v>
      </c>
      <c r="J131" s="507">
        <f t="shared" si="62"/>
        <v>108888546.09</v>
      </c>
      <c r="K131" s="507">
        <f t="shared" si="62"/>
        <v>55363179.799999997</v>
      </c>
      <c r="L131" s="507">
        <f t="shared" si="62"/>
        <v>53121043.689999998</v>
      </c>
      <c r="M131" s="508">
        <f t="shared" ref="M131" si="63">+SUM(M132:M133)</f>
        <v>36154424.719999999</v>
      </c>
      <c r="N131" s="507">
        <f t="shared" ref="N131:R131" si="64">+SUM(N132:N133)</f>
        <v>7862619.1600000001</v>
      </c>
      <c r="O131" s="507">
        <f t="shared" si="64"/>
        <v>45456209.350000001</v>
      </c>
      <c r="P131" s="507">
        <f t="shared" si="64"/>
        <v>15064801.279999999</v>
      </c>
      <c r="Q131" s="507">
        <f t="shared" si="64"/>
        <v>55442433.469999999</v>
      </c>
      <c r="R131" s="507">
        <f t="shared" si="64"/>
        <v>37949577.590000004</v>
      </c>
      <c r="S131" s="551">
        <f t="shared" si="47"/>
        <v>518719396.30000007</v>
      </c>
      <c r="T131" s="533">
        <f t="shared" si="48"/>
        <v>7.3744582925789031</v>
      </c>
      <c r="U131" s="292"/>
      <c r="V131" s="292"/>
    </row>
    <row r="132" spans="1:22">
      <c r="A132" s="106" t="str">
        <f t="shared" si="57"/>
        <v>4611p</v>
      </c>
      <c r="B132" s="610" t="str">
        <f>+VLOOKUP(LEFT($A132,LEN(A132)-1)*1,Master!$D$30:$G$226,4,FALSE)</f>
        <v>Otplata hartija od vrijednosti i kredita rezidentima</v>
      </c>
      <c r="C132" s="611"/>
      <c r="D132" s="611"/>
      <c r="E132" s="611"/>
      <c r="F132" s="611"/>
      <c r="G132" s="502">
        <v>2501123.7999999998</v>
      </c>
      <c r="H132" s="502">
        <v>2954258.2399999998</v>
      </c>
      <c r="I132" s="502">
        <v>23478199.010000002</v>
      </c>
      <c r="J132" s="502">
        <v>94983890.560000002</v>
      </c>
      <c r="K132" s="502">
        <v>9862224.459999999</v>
      </c>
      <c r="L132" s="502">
        <v>30959521.580000002</v>
      </c>
      <c r="M132" s="503">
        <v>2591776.0299999998</v>
      </c>
      <c r="N132" s="503">
        <v>3040506.12</v>
      </c>
      <c r="O132" s="503">
        <v>13592239.709999999</v>
      </c>
      <c r="P132" s="503">
        <v>2636972.52</v>
      </c>
      <c r="Q132" s="503">
        <v>9977461.7899999991</v>
      </c>
      <c r="R132" s="503">
        <v>16241222.48</v>
      </c>
      <c r="S132" s="92">
        <f t="shared" si="47"/>
        <v>212819396.30000001</v>
      </c>
      <c r="T132" s="444">
        <f t="shared" si="48"/>
        <v>3.0255814088711972</v>
      </c>
      <c r="U132" s="292"/>
      <c r="V132" s="292"/>
    </row>
    <row r="133" spans="1:22" ht="13.5" thickBot="1">
      <c r="A133" s="106" t="str">
        <f t="shared" si="57"/>
        <v>4612p</v>
      </c>
      <c r="B133" s="612" t="str">
        <f>+VLOOKUP(LEFT($A133,LEN(A133)-1)*1,Master!$D$30:$G$226,4,FALSE)</f>
        <v>Otplata hartija od vrijednosti i kredita nerezidentima</v>
      </c>
      <c r="C133" s="613"/>
      <c r="D133" s="613"/>
      <c r="E133" s="613"/>
      <c r="F133" s="613"/>
      <c r="G133" s="502">
        <v>33129440.670000002</v>
      </c>
      <c r="H133" s="502">
        <v>4199892.26</v>
      </c>
      <c r="I133" s="502">
        <v>37153647.170000002</v>
      </c>
      <c r="J133" s="502">
        <v>13904655.529999999</v>
      </c>
      <c r="K133" s="502">
        <v>45500955.339999996</v>
      </c>
      <c r="L133" s="502">
        <v>22161522.109999999</v>
      </c>
      <c r="M133" s="503">
        <v>33562648.689999998</v>
      </c>
      <c r="N133" s="503">
        <v>4822113.04</v>
      </c>
      <c r="O133" s="503">
        <v>31863969.640000001</v>
      </c>
      <c r="P133" s="503">
        <v>12427828.76</v>
      </c>
      <c r="Q133" s="503">
        <v>45464971.68</v>
      </c>
      <c r="R133" s="503">
        <v>21708355.109999999</v>
      </c>
      <c r="S133" s="92">
        <f t="shared" si="47"/>
        <v>305900000</v>
      </c>
      <c r="T133" s="444">
        <f t="shared" si="48"/>
        <v>4.3488768837077059</v>
      </c>
      <c r="U133" s="292"/>
      <c r="V133" s="292"/>
    </row>
    <row r="134" spans="1:22" ht="13.5" thickBot="1">
      <c r="A134" s="106" t="str">
        <f t="shared" si="57"/>
        <v>4418p</v>
      </c>
      <c r="B134" s="606" t="str">
        <f>+VLOOKUP(LEFT($A134,LEN(A134)-1)*1,Master!$D$30:$G$226,4,FALSE)</f>
        <v>Izdaci za kupovinu hartija od vrijednosti</v>
      </c>
      <c r="C134" s="607"/>
      <c r="D134" s="607"/>
      <c r="E134" s="607"/>
      <c r="F134" s="607"/>
      <c r="G134" s="504">
        <v>0.16</v>
      </c>
      <c r="H134" s="504">
        <v>0.16</v>
      </c>
      <c r="I134" s="504">
        <v>0.16</v>
      </c>
      <c r="J134" s="504">
        <v>1200000.1599999999</v>
      </c>
      <c r="K134" s="504">
        <v>0.16</v>
      </c>
      <c r="L134" s="504">
        <v>1000000.16</v>
      </c>
      <c r="M134" s="504">
        <v>0.16</v>
      </c>
      <c r="N134" s="504">
        <v>0.16</v>
      </c>
      <c r="O134" s="504">
        <v>0.16</v>
      </c>
      <c r="P134" s="504">
        <v>0.16</v>
      </c>
      <c r="Q134" s="504">
        <v>0.16</v>
      </c>
      <c r="R134" s="504">
        <v>79000.239999999991</v>
      </c>
      <c r="S134" s="550">
        <f t="shared" si="47"/>
        <v>2279002.0000000009</v>
      </c>
      <c r="T134" s="531">
        <f t="shared" si="48"/>
        <v>3.2399800966733026E-2</v>
      </c>
      <c r="U134" s="292"/>
      <c r="V134" s="292"/>
    </row>
    <row r="135" spans="1:22" ht="13.5" thickBot="1">
      <c r="A135" s="106" t="s">
        <v>856</v>
      </c>
      <c r="B135" s="606" t="s">
        <v>113</v>
      </c>
      <c r="C135" s="607"/>
      <c r="D135" s="607"/>
      <c r="E135" s="607"/>
      <c r="F135" s="607"/>
      <c r="G135" s="500">
        <v>6.24</v>
      </c>
      <c r="H135" s="500">
        <v>1111649.98</v>
      </c>
      <c r="I135" s="500">
        <v>0.24</v>
      </c>
      <c r="J135" s="500">
        <v>491625.72</v>
      </c>
      <c r="K135" s="500">
        <v>524490.84</v>
      </c>
      <c r="L135" s="500">
        <v>453253.16</v>
      </c>
      <c r="M135" s="500">
        <v>460435.14</v>
      </c>
      <c r="N135" s="500">
        <v>0.24</v>
      </c>
      <c r="O135" s="500">
        <v>497757.56</v>
      </c>
      <c r="P135" s="500">
        <v>446294.08999999997</v>
      </c>
      <c r="Q135" s="500">
        <v>0.24</v>
      </c>
      <c r="R135" s="500">
        <v>514495.55</v>
      </c>
      <c r="S135" s="550">
        <f t="shared" si="47"/>
        <v>4500009.0000000009</v>
      </c>
      <c r="T135" s="531">
        <f t="shared" si="48"/>
        <v>6.3975106624964473E-2</v>
      </c>
      <c r="U135" s="292"/>
      <c r="V135" s="292"/>
    </row>
    <row r="136" spans="1:22" ht="13.5" thickBot="1">
      <c r="A136" s="106" t="str">
        <f>+CONCATENATE(A60,"p")</f>
        <v>1002p</v>
      </c>
      <c r="B136" s="608" t="str">
        <f>+VLOOKUP(LEFT($A136,LEN(A136)-1)*1,Master!$D$30:$G$226,4,FALSE)</f>
        <v>Nedostajuća sredstva</v>
      </c>
      <c r="C136" s="609"/>
      <c r="D136" s="609"/>
      <c r="E136" s="609"/>
      <c r="F136" s="609"/>
      <c r="G136" s="509">
        <f>+G129-G131-G134-G135</f>
        <v>-71777128.529956266</v>
      </c>
      <c r="H136" s="509">
        <f t="shared" ref="H136:R136" si="65">+H129-H131-H134-H135</f>
        <v>-82713476.951863125</v>
      </c>
      <c r="I136" s="509">
        <f t="shared" si="65"/>
        <v>-72700604.268402919</v>
      </c>
      <c r="J136" s="509">
        <f t="shared" si="65"/>
        <v>-89687090.730288357</v>
      </c>
      <c r="K136" s="509">
        <f t="shared" si="65"/>
        <v>-95479692.476653293</v>
      </c>
      <c r="L136" s="509">
        <f t="shared" si="65"/>
        <v>-66646647.594928831</v>
      </c>
      <c r="M136" s="509">
        <f t="shared" si="65"/>
        <v>-61475202.279742584</v>
      </c>
      <c r="N136" s="509">
        <f t="shared" si="65"/>
        <v>32176155.777930919</v>
      </c>
      <c r="O136" s="509">
        <f t="shared" si="65"/>
        <v>-37495620.463152535</v>
      </c>
      <c r="P136" s="509">
        <f t="shared" si="65"/>
        <v>-21054449.221508414</v>
      </c>
      <c r="Q136" s="509">
        <f t="shared" si="65"/>
        <v>-109640353.50913741</v>
      </c>
      <c r="R136" s="509">
        <f t="shared" si="65"/>
        <v>-84617900.632296979</v>
      </c>
      <c r="S136" s="552">
        <f t="shared" si="47"/>
        <v>-761112010.87999988</v>
      </c>
      <c r="T136" s="535">
        <f t="shared" si="48"/>
        <v>-10.820472147853282</v>
      </c>
      <c r="U136" s="292"/>
      <c r="V136" s="292"/>
    </row>
    <row r="137" spans="1:22" ht="13.5" thickBot="1">
      <c r="A137" s="106" t="str">
        <f>+CONCATENATE(A61,"p")</f>
        <v>1003p</v>
      </c>
      <c r="B137" s="606" t="str">
        <f>+VLOOKUP(LEFT($A137,LEN(A137)-1)*1,Master!$D$30:$G$226,4,FALSE)</f>
        <v>Finansiranje</v>
      </c>
      <c r="C137" s="607"/>
      <c r="D137" s="607"/>
      <c r="E137" s="607"/>
      <c r="F137" s="607"/>
      <c r="G137" s="504">
        <f t="shared" ref="G137:L137" si="66">+SUM(G138:G142)</f>
        <v>71777128.529956266</v>
      </c>
      <c r="H137" s="504">
        <f t="shared" si="66"/>
        <v>82713476.951863125</v>
      </c>
      <c r="I137" s="504">
        <f t="shared" si="66"/>
        <v>72700604.268402934</v>
      </c>
      <c r="J137" s="504">
        <f t="shared" si="66"/>
        <v>89687090.730288357</v>
      </c>
      <c r="K137" s="504">
        <f t="shared" si="66"/>
        <v>95479692.476653293</v>
      </c>
      <c r="L137" s="504">
        <f t="shared" si="66"/>
        <v>66646647.594928831</v>
      </c>
      <c r="M137" s="504">
        <f t="shared" ref="M137:R137" si="67">+SUM(M138:M142)</f>
        <v>61475202.279742584</v>
      </c>
      <c r="N137" s="504">
        <f t="shared" si="67"/>
        <v>-32176155.777930923</v>
      </c>
      <c r="O137" s="504">
        <f t="shared" si="67"/>
        <v>37495620.463152535</v>
      </c>
      <c r="P137" s="504">
        <f t="shared" si="67"/>
        <v>21054449.221508414</v>
      </c>
      <c r="Q137" s="504">
        <f t="shared" si="67"/>
        <v>109640353.50913741</v>
      </c>
      <c r="R137" s="504">
        <f t="shared" si="67"/>
        <v>84617900.632296979</v>
      </c>
      <c r="S137" s="553">
        <f t="shared" si="47"/>
        <v>761112010.87999988</v>
      </c>
      <c r="T137" s="537">
        <f t="shared" si="48"/>
        <v>10.820472147853282</v>
      </c>
      <c r="U137" s="292"/>
      <c r="V137" s="292"/>
    </row>
    <row r="138" spans="1:22">
      <c r="A138" s="106" t="str">
        <f>+CONCATENATE(A62,"p")</f>
        <v>7511p</v>
      </c>
      <c r="B138" s="610" t="str">
        <f>+VLOOKUP(LEFT($A138,LEN(A138)-1)*1,Master!$D$30:$G$226,4,FALSE)</f>
        <v>Pozajmice i krediti od domaćih izvora</v>
      </c>
      <c r="C138" s="611"/>
      <c r="D138" s="611"/>
      <c r="E138" s="611"/>
      <c r="F138" s="611"/>
      <c r="G138" s="502">
        <v>0</v>
      </c>
      <c r="H138" s="502">
        <v>0</v>
      </c>
      <c r="I138" s="502">
        <v>0</v>
      </c>
      <c r="J138" s="502">
        <v>0</v>
      </c>
      <c r="K138" s="502">
        <v>0</v>
      </c>
      <c r="L138" s="502">
        <v>0</v>
      </c>
      <c r="M138" s="502">
        <v>0</v>
      </c>
      <c r="N138" s="502">
        <v>0</v>
      </c>
      <c r="O138" s="502">
        <v>0</v>
      </c>
      <c r="P138" s="502">
        <v>0</v>
      </c>
      <c r="Q138" s="502">
        <v>0</v>
      </c>
      <c r="R138" s="502">
        <v>0</v>
      </c>
      <c r="S138" s="92">
        <f t="shared" si="47"/>
        <v>0</v>
      </c>
      <c r="T138" s="444">
        <f t="shared" si="48"/>
        <v>0</v>
      </c>
      <c r="U138" s="292"/>
      <c r="V138" s="292"/>
    </row>
    <row r="139" spans="1:22">
      <c r="A139" s="106" t="str">
        <f>+CONCATENATE(A63,"p")</f>
        <v>7512p</v>
      </c>
      <c r="B139" s="612" t="str">
        <f>+VLOOKUP(LEFT($A139,LEN(A139)-1)*1,Master!$D$30:$G$226,4,FALSE)</f>
        <v>Pozajmice i krediti od inostranih izvora</v>
      </c>
      <c r="C139" s="613"/>
      <c r="D139" s="613"/>
      <c r="E139" s="613"/>
      <c r="F139" s="613"/>
      <c r="G139" s="502">
        <v>0</v>
      </c>
      <c r="H139" s="502">
        <v>0</v>
      </c>
      <c r="I139" s="502">
        <v>687000000</v>
      </c>
      <c r="J139" s="502">
        <v>0</v>
      </c>
      <c r="K139" s="502">
        <v>0</v>
      </c>
      <c r="L139" s="502">
        <v>0</v>
      </c>
      <c r="M139" s="502">
        <v>180000000</v>
      </c>
      <c r="N139" s="502">
        <v>0</v>
      </c>
      <c r="O139" s="502">
        <v>0</v>
      </c>
      <c r="P139" s="502">
        <v>0</v>
      </c>
      <c r="Q139" s="502">
        <v>0</v>
      </c>
      <c r="R139" s="502">
        <v>0</v>
      </c>
      <c r="S139" s="92">
        <f t="shared" si="47"/>
        <v>867000000</v>
      </c>
      <c r="T139" s="444">
        <f t="shared" si="48"/>
        <v>12.325845891384702</v>
      </c>
      <c r="U139" s="292"/>
      <c r="V139" s="292"/>
    </row>
    <row r="140" spans="1:22">
      <c r="A140" s="106" t="str">
        <f>+CONCATENATE(A64,"p")</f>
        <v>72p</v>
      </c>
      <c r="B140" s="612" t="str">
        <f>+VLOOKUP(LEFT($A140,LEN(A140)-1)*1,Master!$D$30:$G$226,4,FALSE)</f>
        <v>Primici od prodaje imovine</v>
      </c>
      <c r="C140" s="613"/>
      <c r="D140" s="613"/>
      <c r="E140" s="613"/>
      <c r="F140" s="613"/>
      <c r="G140" s="502">
        <v>500000</v>
      </c>
      <c r="H140" s="502">
        <v>500000</v>
      </c>
      <c r="I140" s="502">
        <v>500000</v>
      </c>
      <c r="J140" s="502">
        <v>500000</v>
      </c>
      <c r="K140" s="502">
        <v>500000</v>
      </c>
      <c r="L140" s="502">
        <v>500000</v>
      </c>
      <c r="M140" s="502">
        <v>500000</v>
      </c>
      <c r="N140" s="502">
        <v>500000</v>
      </c>
      <c r="O140" s="502">
        <v>500000</v>
      </c>
      <c r="P140" s="502">
        <v>500000</v>
      </c>
      <c r="Q140" s="502">
        <v>500000</v>
      </c>
      <c r="R140" s="502">
        <v>500000</v>
      </c>
      <c r="S140" s="92">
        <f t="shared" si="47"/>
        <v>6000000</v>
      </c>
      <c r="T140" s="444">
        <f t="shared" si="48"/>
        <v>8.5299971566676139E-2</v>
      </c>
      <c r="U140" s="292"/>
      <c r="V140" s="292"/>
    </row>
    <row r="141" spans="1:22">
      <c r="A141" s="106" t="s">
        <v>855</v>
      </c>
      <c r="B141" s="491" t="s">
        <v>101</v>
      </c>
      <c r="C141" s="492"/>
      <c r="D141" s="492"/>
      <c r="E141" s="492"/>
      <c r="F141" s="492"/>
      <c r="G141" s="502">
        <v>81522.336514710114</v>
      </c>
      <c r="H141" s="502">
        <v>445973.11311571056</v>
      </c>
      <c r="I141" s="502">
        <v>303147.50930105889</v>
      </c>
      <c r="J141" s="502">
        <v>411671.2919196891</v>
      </c>
      <c r="K141" s="502">
        <v>953218.81017704192</v>
      </c>
      <c r="L141" s="502">
        <v>1530930.5926958604</v>
      </c>
      <c r="M141" s="502">
        <v>158719.86425742233</v>
      </c>
      <c r="N141" s="502">
        <v>1527452.9651282593</v>
      </c>
      <c r="O141" s="502">
        <v>216436.80971001115</v>
      </c>
      <c r="P141" s="502">
        <v>263186.6897599264</v>
      </c>
      <c r="Q141" s="502">
        <v>1703592.4757162347</v>
      </c>
      <c r="R141" s="502">
        <v>2152051.5417040759</v>
      </c>
      <c r="S141" s="92">
        <f t="shared" si="47"/>
        <v>9747904</v>
      </c>
      <c r="T141" s="444">
        <f t="shared" si="48"/>
        <v>0.13858265567244812</v>
      </c>
      <c r="U141" s="292"/>
      <c r="V141" s="292"/>
    </row>
    <row r="142" spans="1:22" ht="13.5" thickBot="1">
      <c r="A142" s="106" t="str">
        <f t="shared" ref="A142" si="68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-G136-SUM(G138:G141)</f>
        <v>71195606.193441555</v>
      </c>
      <c r="H142" s="86">
        <f t="shared" ref="H142:R142" si="69">-H136-SUM(H138:H141)</f>
        <v>81767503.838747412</v>
      </c>
      <c r="I142" s="86">
        <f t="shared" si="69"/>
        <v>-615102543.24089813</v>
      </c>
      <c r="J142" s="86">
        <f t="shared" si="69"/>
        <v>88775419.438368663</v>
      </c>
      <c r="K142" s="86">
        <f t="shared" si="69"/>
        <v>94026473.66647625</v>
      </c>
      <c r="L142" s="86">
        <f t="shared" si="69"/>
        <v>64615717.002232969</v>
      </c>
      <c r="M142" s="86">
        <f t="shared" si="69"/>
        <v>-119183517.58451484</v>
      </c>
      <c r="N142" s="86">
        <f t="shared" si="69"/>
        <v>-34203608.743059181</v>
      </c>
      <c r="O142" s="86">
        <f t="shared" si="69"/>
        <v>36779183.653442524</v>
      </c>
      <c r="P142" s="86">
        <f t="shared" si="69"/>
        <v>20291262.531748489</v>
      </c>
      <c r="Q142" s="86">
        <f t="shared" si="69"/>
        <v>107436761.03342117</v>
      </c>
      <c r="R142" s="86">
        <f t="shared" si="69"/>
        <v>81965849.090592906</v>
      </c>
      <c r="S142" s="94">
        <f>+SUM(G142:R142)</f>
        <v>-121635893.12000026</v>
      </c>
      <c r="T142" s="448">
        <f t="shared" si="48"/>
        <v>-1.7292563707705468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2iV4X+ZtsPW4xHF1eiVMvltRWtnjgx5i3lw89PAuRO1eHvVNjz0tH+UObRohAaq9InbhjaKXQABPDHybq+cktg==" saltValue="RlNaGqxBJ15uLIyVwPs7tg==" spinCount="100000" sheet="1" objects="1" scenarios="1"/>
  <mergeCells count="117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</mergeCells>
  <pageMargins left="0" right="0" top="0" bottom="0" header="0.31496062992125984" footer="0.31496062992125984"/>
  <pageSetup paperSize="9" scale="31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50"/>
  <sheetViews>
    <sheetView zoomScale="90" zoomScaleNormal="90" workbookViewId="0">
      <pane ySplit="1" topLeftCell="A2" activePane="bottomLeft" state="frozen"/>
      <selection pane="bottomLeft" activeCell="I19" sqref="I19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2023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6847118000</v>
      </c>
    </row>
    <row r="8" spans="1:24" ht="16.5" customHeight="1">
      <c r="A8" s="129"/>
      <c r="B8" s="588"/>
      <c r="C8" s="589"/>
      <c r="D8" s="589"/>
      <c r="E8" s="589"/>
      <c r="F8" s="590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4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36">
        <f>+G11+G19+SUM(G24:G28)</f>
        <v>167639562.44999999</v>
      </c>
      <c r="H10" s="136">
        <f t="shared" ref="H10:L10" si="1">+H11+H19+SUM(H24:H28)</f>
        <v>142406833.72</v>
      </c>
      <c r="I10" s="136">
        <f t="shared" si="1"/>
        <v>232411249.90999997</v>
      </c>
      <c r="J10" s="136">
        <f t="shared" si="1"/>
        <v>254923419.54000002</v>
      </c>
      <c r="K10" s="136">
        <f t="shared" si="1"/>
        <v>186627846.51000002</v>
      </c>
      <c r="L10" s="136">
        <f t="shared" si="1"/>
        <v>252458486.69999999</v>
      </c>
      <c r="M10" s="136">
        <f t="shared" ref="M10:R10" si="2">+M11+M19+SUM(M24:M28)</f>
        <v>207966597.42000002</v>
      </c>
      <c r="N10" s="136">
        <f t="shared" si="2"/>
        <v>243418911.19</v>
      </c>
      <c r="O10" s="136">
        <f t="shared" si="2"/>
        <v>215896743.77000004</v>
      </c>
      <c r="P10" s="136">
        <f t="shared" si="2"/>
        <v>220012875.28999999</v>
      </c>
      <c r="Q10" s="136">
        <f t="shared" si="2"/>
        <v>188891736.35999998</v>
      </c>
      <c r="R10" s="136">
        <f t="shared" si="2"/>
        <v>253804047.09000003</v>
      </c>
      <c r="S10" s="224">
        <f>+SUM(G10:R10)</f>
        <v>2566458309.9500003</v>
      </c>
      <c r="T10" s="434">
        <f>+S10/$T$7*100</f>
        <v>37.482314602289613</v>
      </c>
      <c r="V10" s="493"/>
    </row>
    <row r="11" spans="1:24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I11" si="3">+SUM(G12:G18)</f>
        <v>103490146.19</v>
      </c>
      <c r="H11" s="142">
        <f t="shared" si="3"/>
        <v>91059566.450000003</v>
      </c>
      <c r="I11" s="142">
        <f t="shared" si="3"/>
        <v>151829456.91999999</v>
      </c>
      <c r="J11" s="142">
        <f>+SUM(J12:J18)</f>
        <v>191461569.71000001</v>
      </c>
      <c r="K11" s="142">
        <f>+SUM(K12:K18)</f>
        <v>130851714.41000001</v>
      </c>
      <c r="L11" s="142">
        <f>+SUM(L12:L18)</f>
        <v>131511620.45999998</v>
      </c>
      <c r="M11" s="142">
        <f t="shared" ref="M11:R11" si="4">+SUM(M12:M18)</f>
        <v>143616587.01000002</v>
      </c>
      <c r="N11" s="142">
        <f t="shared" si="4"/>
        <v>165353455.13</v>
      </c>
      <c r="O11" s="142">
        <f t="shared" si="4"/>
        <v>156517964.88000003</v>
      </c>
      <c r="P11" s="142">
        <f t="shared" si="4"/>
        <v>146031901.31</v>
      </c>
      <c r="Q11" s="142">
        <f t="shared" si="4"/>
        <v>117280381.45999999</v>
      </c>
      <c r="R11" s="225">
        <f t="shared" si="4"/>
        <v>137012115.60000002</v>
      </c>
      <c r="S11" s="226">
        <f>+SUM(G11:R11)</f>
        <v>1666016479.5299997</v>
      </c>
      <c r="T11" s="435">
        <f t="shared" ref="T11:T66" si="5">+S11/$T$7*100</f>
        <v>24.331645511732088</v>
      </c>
      <c r="V11" s="276"/>
    </row>
    <row r="12" spans="1:24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1481487.87</v>
      </c>
      <c r="H12" s="148">
        <v>3944575.24</v>
      </c>
      <c r="I12" s="148">
        <v>4159428.24</v>
      </c>
      <c r="J12" s="148">
        <v>5386591.0599999996</v>
      </c>
      <c r="K12" s="148">
        <v>5224793.55</v>
      </c>
      <c r="L12" s="148">
        <v>5249731.58</v>
      </c>
      <c r="M12" s="148">
        <v>6015555</v>
      </c>
      <c r="N12" s="148">
        <v>5967013.5800000001</v>
      </c>
      <c r="O12" s="148">
        <v>5893920.4299999997</v>
      </c>
      <c r="P12" s="148">
        <v>6808747.9500000002</v>
      </c>
      <c r="Q12" s="148">
        <v>5681629.2400000002</v>
      </c>
      <c r="R12" s="148">
        <v>10598117.26</v>
      </c>
      <c r="S12" s="227">
        <f>+SUM(G12:R12)</f>
        <v>66411591</v>
      </c>
      <c r="T12" s="436">
        <f t="shared" si="5"/>
        <v>0.96992035189111681</v>
      </c>
    </row>
    <row r="13" spans="1:24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1258566.3799999999</v>
      </c>
      <c r="H13" s="148">
        <v>3765090.36</v>
      </c>
      <c r="I13" s="148">
        <v>37663055.619999997</v>
      </c>
      <c r="J13" s="148">
        <v>77247366.689999998</v>
      </c>
      <c r="K13" s="148">
        <v>6981694.2800000003</v>
      </c>
      <c r="L13" s="148">
        <v>4688222.96</v>
      </c>
      <c r="M13" s="148">
        <v>4152071.33</v>
      </c>
      <c r="N13" s="148">
        <v>3369699.56</v>
      </c>
      <c r="O13" s="148">
        <v>1866160.69</v>
      </c>
      <c r="P13" s="148">
        <v>2296101.2799999998</v>
      </c>
      <c r="Q13" s="148">
        <v>3538790.81</v>
      </c>
      <c r="R13" s="148">
        <v>4457656.51</v>
      </c>
      <c r="S13" s="227">
        <f t="shared" ref="S13:S65" si="6">+SUM(G13:R13)</f>
        <v>151284476.47</v>
      </c>
      <c r="T13" s="436">
        <f t="shared" si="5"/>
        <v>2.2094620900355451</v>
      </c>
      <c r="V13" s="276"/>
      <c r="W13" s="276"/>
      <c r="X13" s="494"/>
    </row>
    <row r="14" spans="1:24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6"/>
        <v>0</v>
      </c>
      <c r="T14" s="436">
        <f t="shared" si="5"/>
        <v>0</v>
      </c>
      <c r="V14" s="276"/>
      <c r="W14" s="276"/>
      <c r="X14" s="494"/>
    </row>
    <row r="15" spans="1:24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79816016.629999995</v>
      </c>
      <c r="H15" s="148">
        <v>61023809.460000001</v>
      </c>
      <c r="I15" s="148">
        <v>80926297.079999998</v>
      </c>
      <c r="J15" s="148">
        <v>79500899.439999998</v>
      </c>
      <c r="K15" s="148">
        <v>87195794</v>
      </c>
      <c r="L15" s="148">
        <v>87124881.439999998</v>
      </c>
      <c r="M15" s="148">
        <v>92697116.170000002</v>
      </c>
      <c r="N15" s="148">
        <v>112001434.97</v>
      </c>
      <c r="O15" s="148">
        <v>109706758.48999999</v>
      </c>
      <c r="P15" s="148">
        <v>102950012.68000001</v>
      </c>
      <c r="Q15" s="148">
        <v>78394633.030000001</v>
      </c>
      <c r="R15" s="148">
        <v>87929424.079999998</v>
      </c>
      <c r="S15" s="227">
        <f t="shared" si="6"/>
        <v>1059267077.4700001</v>
      </c>
      <c r="T15" s="436">
        <f t="shared" si="5"/>
        <v>15.470261757866597</v>
      </c>
      <c r="V15" s="276"/>
      <c r="W15" s="276"/>
      <c r="X15" s="494"/>
    </row>
    <row r="16" spans="1:24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17494328.440000001</v>
      </c>
      <c r="H16" s="148">
        <v>18190262.670000002</v>
      </c>
      <c r="I16" s="148">
        <v>22619973.850000001</v>
      </c>
      <c r="J16" s="148">
        <v>24163018.859999999</v>
      </c>
      <c r="K16" s="148">
        <v>25793019.07</v>
      </c>
      <c r="L16" s="148">
        <v>28449742.41</v>
      </c>
      <c r="M16" s="148">
        <v>34815701.960000001</v>
      </c>
      <c r="N16" s="148">
        <v>37644944.32</v>
      </c>
      <c r="O16" s="148">
        <v>33046282.23</v>
      </c>
      <c r="P16" s="148">
        <v>28234460.510000002</v>
      </c>
      <c r="Q16" s="148">
        <v>24175706.739999998</v>
      </c>
      <c r="R16" s="148">
        <v>28494203.899999999</v>
      </c>
      <c r="S16" s="227">
        <f t="shared" si="6"/>
        <v>323121644.95999998</v>
      </c>
      <c r="T16" s="436">
        <f t="shared" si="5"/>
        <v>4.7190897682791499</v>
      </c>
      <c r="V16" s="276"/>
      <c r="W16" s="276"/>
      <c r="X16" s="494"/>
    </row>
    <row r="17" spans="1:24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2467588.1800000002</v>
      </c>
      <c r="H17" s="148">
        <v>3220443.49</v>
      </c>
      <c r="I17" s="148">
        <v>5443960.21</v>
      </c>
      <c r="J17" s="148">
        <v>4088105.68</v>
      </c>
      <c r="K17" s="148">
        <v>4535373.51</v>
      </c>
      <c r="L17" s="148">
        <v>4729381.13</v>
      </c>
      <c r="M17" s="148">
        <v>4795015.53</v>
      </c>
      <c r="N17" s="148">
        <v>5109171.41</v>
      </c>
      <c r="O17" s="148">
        <v>4643119.99</v>
      </c>
      <c r="P17" s="148">
        <v>4489829.42</v>
      </c>
      <c r="Q17" s="148">
        <v>4266242.05</v>
      </c>
      <c r="R17" s="148">
        <v>4403080.1100000003</v>
      </c>
      <c r="S17" s="227">
        <f t="shared" si="6"/>
        <v>52191310.710000001</v>
      </c>
      <c r="T17" s="436">
        <f t="shared" si="5"/>
        <v>0.76223764085853352</v>
      </c>
      <c r="V17" s="276"/>
      <c r="W17" s="276"/>
      <c r="X17" s="494"/>
    </row>
    <row r="18" spans="1:24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972158.69</v>
      </c>
      <c r="H18" s="148">
        <v>915385.23</v>
      </c>
      <c r="I18" s="148">
        <v>1016741.92</v>
      </c>
      <c r="J18" s="148">
        <v>1075587.98</v>
      </c>
      <c r="K18" s="148">
        <v>1121040</v>
      </c>
      <c r="L18" s="148">
        <v>1269660.94</v>
      </c>
      <c r="M18" s="148">
        <v>1141127.02</v>
      </c>
      <c r="N18" s="148">
        <v>1261191.29</v>
      </c>
      <c r="O18" s="148">
        <v>1361723.05</v>
      </c>
      <c r="P18" s="148">
        <v>1252749.47</v>
      </c>
      <c r="Q18" s="148">
        <v>1223379.5900000001</v>
      </c>
      <c r="R18" s="148">
        <v>1129633.74</v>
      </c>
      <c r="S18" s="227">
        <f t="shared" si="6"/>
        <v>13740378.920000002</v>
      </c>
      <c r="T18" s="436">
        <f t="shared" si="5"/>
        <v>0.20067390280114938</v>
      </c>
      <c r="V18" s="276"/>
      <c r="W18" s="276"/>
      <c r="X18" s="494"/>
    </row>
    <row r="19" spans="1:24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154">
        <v>15617329.630000003</v>
      </c>
      <c r="H19" s="154">
        <v>41494879.25999999</v>
      </c>
      <c r="I19" s="154">
        <v>42670635.130000003</v>
      </c>
      <c r="J19" s="154">
        <f t="shared" ref="J19:R19" si="7">SUM(J20:J23)</f>
        <v>47597807.860000007</v>
      </c>
      <c r="K19" s="154">
        <f t="shared" si="7"/>
        <v>45975315.240000002</v>
      </c>
      <c r="L19" s="154">
        <f t="shared" si="7"/>
        <v>48052163.109999999</v>
      </c>
      <c r="M19" s="154">
        <f t="shared" si="7"/>
        <v>48400583.619999997</v>
      </c>
      <c r="N19" s="154">
        <f t="shared" si="7"/>
        <v>49792973.810000002</v>
      </c>
      <c r="O19" s="154">
        <f t="shared" si="7"/>
        <v>48149305.770000003</v>
      </c>
      <c r="P19" s="154">
        <f t="shared" si="7"/>
        <v>51603762.280000001</v>
      </c>
      <c r="Q19" s="154">
        <f t="shared" si="7"/>
        <v>47289989.949999996</v>
      </c>
      <c r="R19" s="154">
        <f t="shared" si="7"/>
        <v>89085844.590000004</v>
      </c>
      <c r="S19" s="228">
        <f t="shared" si="6"/>
        <v>575730590.25</v>
      </c>
      <c r="T19" s="437">
        <f t="shared" si="5"/>
        <v>8.4083637853181443</v>
      </c>
      <c r="V19" s="276"/>
      <c r="W19" s="276"/>
      <c r="X19" s="494"/>
    </row>
    <row r="20" spans="1:24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14209639.380000001</v>
      </c>
      <c r="H20" s="148">
        <v>37909924.049999997</v>
      </c>
      <c r="I20" s="148">
        <v>39108292.090000004</v>
      </c>
      <c r="J20" s="148">
        <v>43483738.68</v>
      </c>
      <c r="K20" s="148">
        <v>41997766.549999997</v>
      </c>
      <c r="L20" s="148">
        <v>44039789.280000001</v>
      </c>
      <c r="M20" s="148">
        <v>44449178.460000001</v>
      </c>
      <c r="N20" s="148">
        <v>45814075.689999998</v>
      </c>
      <c r="O20" s="148">
        <v>43602487.670000002</v>
      </c>
      <c r="P20" s="148">
        <v>47259866.420000002</v>
      </c>
      <c r="Q20" s="148">
        <v>43114463.939999998</v>
      </c>
      <c r="R20" s="148">
        <v>81523024.159999996</v>
      </c>
      <c r="S20" s="227">
        <f>+SUM(G20:R20)</f>
        <v>526512246.37</v>
      </c>
      <c r="T20" s="436">
        <f t="shared" si="5"/>
        <v>7.6895453878551523</v>
      </c>
      <c r="V20" s="276"/>
      <c r="W20" s="276"/>
      <c r="X20" s="494"/>
    </row>
    <row r="21" spans="1:24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302309.90000000002</v>
      </c>
      <c r="H21" s="148">
        <v>645770.62</v>
      </c>
      <c r="I21" s="148">
        <v>422256.94</v>
      </c>
      <c r="J21" s="148">
        <v>537238.13</v>
      </c>
      <c r="K21" s="148">
        <v>599016.13</v>
      </c>
      <c r="L21" s="148">
        <v>555487.37</v>
      </c>
      <c r="M21" s="148">
        <v>488484.82</v>
      </c>
      <c r="N21" s="148">
        <v>429326.82</v>
      </c>
      <c r="O21" s="148">
        <v>1028891.14</v>
      </c>
      <c r="P21" s="148">
        <v>464431.04</v>
      </c>
      <c r="Q21" s="148">
        <v>591360.93000000005</v>
      </c>
      <c r="R21" s="148">
        <v>965969</v>
      </c>
      <c r="S21" s="227">
        <f t="shared" si="6"/>
        <v>7030542.8399999989</v>
      </c>
      <c r="T21" s="436">
        <f t="shared" si="5"/>
        <v>0.10267886196791115</v>
      </c>
      <c r="V21" s="276"/>
      <c r="W21" s="276"/>
      <c r="X21" s="494"/>
    </row>
    <row r="22" spans="1:24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658854.47</v>
      </c>
      <c r="H22" s="148">
        <v>1731553.43</v>
      </c>
      <c r="I22" s="148">
        <v>1770290.32</v>
      </c>
      <c r="J22" s="148">
        <v>2000792.34</v>
      </c>
      <c r="K22" s="148">
        <v>1915310.31</v>
      </c>
      <c r="L22" s="148">
        <v>1979006.25</v>
      </c>
      <c r="M22" s="148">
        <v>1993336.72</v>
      </c>
      <c r="N22" s="148">
        <v>2115793.1</v>
      </c>
      <c r="O22" s="148">
        <v>2051057.28</v>
      </c>
      <c r="P22" s="148">
        <v>2219307.1800000002</v>
      </c>
      <c r="Q22" s="148">
        <v>2018981.01</v>
      </c>
      <c r="R22" s="148">
        <v>3765884.68</v>
      </c>
      <c r="S22" s="227">
        <f t="shared" si="6"/>
        <v>24220167.09</v>
      </c>
      <c r="T22" s="436">
        <f t="shared" si="5"/>
        <v>0.35372790552171002</v>
      </c>
    </row>
    <row r="23" spans="1:24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446525.88</v>
      </c>
      <c r="H23" s="148">
        <v>1207631.1599999999</v>
      </c>
      <c r="I23" s="148">
        <v>1369795.78</v>
      </c>
      <c r="J23" s="148">
        <v>1576038.71</v>
      </c>
      <c r="K23" s="148">
        <v>1463222.25</v>
      </c>
      <c r="L23" s="148">
        <v>1477880.21</v>
      </c>
      <c r="M23" s="148">
        <v>1469583.62</v>
      </c>
      <c r="N23" s="148">
        <v>1433778.2</v>
      </c>
      <c r="O23" s="148">
        <v>1466869.68</v>
      </c>
      <c r="P23" s="148">
        <v>1660157.64</v>
      </c>
      <c r="Q23" s="148">
        <v>1565184.07</v>
      </c>
      <c r="R23" s="148">
        <v>2830966.75</v>
      </c>
      <c r="S23" s="227">
        <f t="shared" si="6"/>
        <v>17967633.949999999</v>
      </c>
      <c r="T23" s="436">
        <f t="shared" si="5"/>
        <v>0.26241162997336981</v>
      </c>
      <c r="V23" s="495"/>
      <c r="W23" s="495"/>
      <c r="X23" s="494"/>
    </row>
    <row r="24" spans="1:24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v>747597.87999999989</v>
      </c>
      <c r="H24" s="160">
        <v>957673.57000000007</v>
      </c>
      <c r="I24" s="160">
        <v>1088989.1199999999</v>
      </c>
      <c r="J24" s="160">
        <v>1037186.5499999999</v>
      </c>
      <c r="K24" s="160">
        <v>1360645.21</v>
      </c>
      <c r="L24" s="160">
        <v>1440002.8800000001</v>
      </c>
      <c r="M24" s="160">
        <v>1576889.58</v>
      </c>
      <c r="N24" s="160">
        <v>1784267.63</v>
      </c>
      <c r="O24" s="160">
        <v>1532937.43</v>
      </c>
      <c r="P24" s="160">
        <v>1531116.13</v>
      </c>
      <c r="Q24" s="160">
        <v>1288575.6000000001</v>
      </c>
      <c r="R24" s="160">
        <v>1671271.48</v>
      </c>
      <c r="S24" s="228">
        <f t="shared" si="6"/>
        <v>16017153.060000001</v>
      </c>
      <c r="T24" s="437">
        <f t="shared" si="5"/>
        <v>0.23392547141731748</v>
      </c>
    </row>
    <row r="25" spans="1:24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v>11787074.770000001</v>
      </c>
      <c r="H25" s="160">
        <v>3748417.33</v>
      </c>
      <c r="I25" s="160">
        <v>3332694.04</v>
      </c>
      <c r="J25" s="160">
        <v>3365130.83</v>
      </c>
      <c r="K25" s="160">
        <v>4607961.24</v>
      </c>
      <c r="L25" s="160">
        <v>4411415.8800000008</v>
      </c>
      <c r="M25" s="160">
        <v>4145262.4</v>
      </c>
      <c r="N25" s="160">
        <v>3786345.67</v>
      </c>
      <c r="O25" s="160">
        <v>3252285.31</v>
      </c>
      <c r="P25" s="160">
        <v>3955363.51</v>
      </c>
      <c r="Q25" s="160">
        <v>5546279.5099999998</v>
      </c>
      <c r="R25" s="160">
        <v>3779355.2300000004</v>
      </c>
      <c r="S25" s="228">
        <f t="shared" si="6"/>
        <v>55717585.719999999</v>
      </c>
      <c r="T25" s="437">
        <f t="shared" si="5"/>
        <v>0.81373777580582074</v>
      </c>
    </row>
    <row r="26" spans="1:24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v>34581504.68</v>
      </c>
      <c r="H26" s="160">
        <v>2085915.62</v>
      </c>
      <c r="I26" s="160">
        <v>3225147.62</v>
      </c>
      <c r="J26" s="160">
        <v>7985467.3899999997</v>
      </c>
      <c r="K26" s="160">
        <v>2083663.61</v>
      </c>
      <c r="L26" s="160">
        <v>62831828.380000003</v>
      </c>
      <c r="M26" s="160">
        <v>7395159.46</v>
      </c>
      <c r="N26" s="160">
        <v>20718448.5</v>
      </c>
      <c r="O26" s="160">
        <v>2202381.48</v>
      </c>
      <c r="P26" s="160">
        <v>14370883.219999999</v>
      </c>
      <c r="Q26" s="160">
        <v>15509901.460000001</v>
      </c>
      <c r="R26" s="160">
        <v>8722052.1400000006</v>
      </c>
      <c r="S26" s="228">
        <f t="shared" si="6"/>
        <v>181712353.56</v>
      </c>
      <c r="T26" s="437">
        <f t="shared" si="5"/>
        <v>2.653851643275317</v>
      </c>
    </row>
    <row r="27" spans="1:24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6"/>
        <v>0</v>
      </c>
      <c r="T27" s="437">
        <f t="shared" si="5"/>
        <v>0</v>
      </c>
    </row>
    <row r="28" spans="1:24" ht="13.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v>1415909.3</v>
      </c>
      <c r="H28" s="160">
        <v>3060381.49</v>
      </c>
      <c r="I28" s="160">
        <v>30264327.079999998</v>
      </c>
      <c r="J28" s="160">
        <v>3476257.2</v>
      </c>
      <c r="K28" s="160">
        <v>1748546.8</v>
      </c>
      <c r="L28" s="160">
        <v>4211455.99</v>
      </c>
      <c r="M28" s="160">
        <v>2832115.35</v>
      </c>
      <c r="N28" s="160">
        <v>1983420.45</v>
      </c>
      <c r="O28" s="160">
        <v>4241868.9000000004</v>
      </c>
      <c r="P28" s="160">
        <v>2519848.84</v>
      </c>
      <c r="Q28" s="160">
        <v>1976608.38</v>
      </c>
      <c r="R28" s="160">
        <v>13533408.050000001</v>
      </c>
      <c r="S28" s="228">
        <f t="shared" si="6"/>
        <v>71264147.830000013</v>
      </c>
      <c r="T28" s="438">
        <f t="shared" si="5"/>
        <v>1.0407904147409175</v>
      </c>
    </row>
    <row r="29" spans="1:24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114994087.69</v>
      </c>
      <c r="H29" s="136">
        <f t="shared" ref="H29:L29" si="8">+H30+H40+H46+SUM(H47:H51)</f>
        <v>170548361.65999997</v>
      </c>
      <c r="I29" s="136">
        <f t="shared" si="8"/>
        <v>193714169.75999993</v>
      </c>
      <c r="J29" s="136">
        <f t="shared" si="8"/>
        <v>205901011.36999997</v>
      </c>
      <c r="K29" s="136">
        <f t="shared" si="8"/>
        <v>189878174.31999999</v>
      </c>
      <c r="L29" s="136">
        <f t="shared" si="8"/>
        <v>196451004.60999995</v>
      </c>
      <c r="M29" s="136">
        <f t="shared" ref="M29:R29" si="9">+M30+M40+M46+SUM(M47:M51)</f>
        <v>223724427.04999998</v>
      </c>
      <c r="N29" s="136">
        <f t="shared" si="9"/>
        <v>200311830.40000001</v>
      </c>
      <c r="O29" s="136">
        <f t="shared" si="9"/>
        <v>231561744.96999997</v>
      </c>
      <c r="P29" s="136">
        <f t="shared" si="9"/>
        <v>213080411.16999999</v>
      </c>
      <c r="Q29" s="136">
        <f t="shared" si="9"/>
        <v>215248581.94</v>
      </c>
      <c r="R29" s="136">
        <f t="shared" si="9"/>
        <v>400109213.88999999</v>
      </c>
      <c r="S29" s="230">
        <f t="shared" si="6"/>
        <v>2555523018.8299999</v>
      </c>
      <c r="T29" s="439">
        <f t="shared" si="5"/>
        <v>37.322608122570692</v>
      </c>
    </row>
    <row r="30" spans="1:24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L30" si="10">+SUM(G31:G39)</f>
        <v>53320798.629999995</v>
      </c>
      <c r="H30" s="172">
        <f t="shared" si="10"/>
        <v>71583540.930000007</v>
      </c>
      <c r="I30" s="172">
        <f t="shared" si="10"/>
        <v>83323034.12999998</v>
      </c>
      <c r="J30" s="172">
        <f t="shared" si="10"/>
        <v>95217473.649999991</v>
      </c>
      <c r="K30" s="172">
        <f t="shared" si="10"/>
        <v>92282783.609999999</v>
      </c>
      <c r="L30" s="172">
        <f t="shared" si="10"/>
        <v>78005206.320000023</v>
      </c>
      <c r="M30" s="172">
        <f t="shared" ref="M30:R30" si="11">+SUM(M31:M39)</f>
        <v>89291081.400000006</v>
      </c>
      <c r="N30" s="172">
        <f t="shared" si="11"/>
        <v>73763582.889999986</v>
      </c>
      <c r="O30" s="172">
        <f t="shared" si="11"/>
        <v>97193476.169999987</v>
      </c>
      <c r="P30" s="172">
        <f t="shared" si="11"/>
        <v>82133761.140000001</v>
      </c>
      <c r="Q30" s="172">
        <f t="shared" si="11"/>
        <v>92909057.409999996</v>
      </c>
      <c r="R30" s="231">
        <f t="shared" si="11"/>
        <v>164155229.80999997</v>
      </c>
      <c r="S30" s="397">
        <f t="shared" si="6"/>
        <v>1073179026.0899998</v>
      </c>
      <c r="T30" s="435">
        <f t="shared" si="5"/>
        <v>15.673441382053003</v>
      </c>
      <c r="U30" s="472"/>
    </row>
    <row r="31" spans="1:24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45778601.380000003</v>
      </c>
      <c r="H31" s="148">
        <v>54859279.479999997</v>
      </c>
      <c r="I31" s="148">
        <v>52148208.229999997</v>
      </c>
      <c r="J31" s="148">
        <v>53967761.119999982</v>
      </c>
      <c r="K31" s="148">
        <v>54201006.710000001</v>
      </c>
      <c r="L31" s="148">
        <v>53631381.200000003</v>
      </c>
      <c r="M31" s="148">
        <v>54042257.670000002</v>
      </c>
      <c r="N31" s="148">
        <v>51900966.359999999</v>
      </c>
      <c r="O31" s="148">
        <v>52967490.280000001</v>
      </c>
      <c r="P31" s="498">
        <v>52607962.630000003</v>
      </c>
      <c r="Q31" s="148">
        <v>53262059.859999999</v>
      </c>
      <c r="R31" s="148">
        <v>63771763.909999996</v>
      </c>
      <c r="S31" s="227">
        <f t="shared" si="6"/>
        <v>643138738.83000004</v>
      </c>
      <c r="T31" s="436">
        <f t="shared" si="5"/>
        <v>9.3928385465242457</v>
      </c>
      <c r="U31" s="472"/>
    </row>
    <row r="32" spans="1:24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299493.63000000006</v>
      </c>
      <c r="H32" s="148">
        <v>1011550.84</v>
      </c>
      <c r="I32" s="148">
        <v>2090344.1199999999</v>
      </c>
      <c r="J32" s="148">
        <v>1457765.0599999991</v>
      </c>
      <c r="K32" s="148">
        <v>1372359.7699999993</v>
      </c>
      <c r="L32" s="148">
        <v>1509812.18</v>
      </c>
      <c r="M32" s="148">
        <v>1584706.25</v>
      </c>
      <c r="N32" s="148">
        <v>1451954.5899999994</v>
      </c>
      <c r="O32" s="148">
        <v>1491031.94</v>
      </c>
      <c r="P32" s="148">
        <v>1738182.76</v>
      </c>
      <c r="Q32" s="148">
        <v>1512560.25</v>
      </c>
      <c r="R32" s="148">
        <v>2898398.44</v>
      </c>
      <c r="S32" s="227">
        <f t="shared" si="6"/>
        <v>18418159.829999998</v>
      </c>
      <c r="T32" s="436">
        <f t="shared" si="5"/>
        <v>0.26899141843327362</v>
      </c>
      <c r="U32" s="472"/>
      <c r="V32" s="275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94282.16</v>
      </c>
      <c r="H33" s="148">
        <v>2773833.27</v>
      </c>
      <c r="I33" s="148">
        <v>5143114.03</v>
      </c>
      <c r="J33" s="148">
        <v>1985561.6999999997</v>
      </c>
      <c r="K33" s="148">
        <v>3182782.03</v>
      </c>
      <c r="L33" s="148">
        <v>3141733.13</v>
      </c>
      <c r="M33" s="148">
        <v>5440332.5299999993</v>
      </c>
      <c r="N33" s="148">
        <v>3657357.97</v>
      </c>
      <c r="O33" s="148">
        <v>2712249.46</v>
      </c>
      <c r="P33" s="148">
        <v>2980903.44</v>
      </c>
      <c r="Q33" s="148">
        <v>3119936.27</v>
      </c>
      <c r="R33" s="148">
        <v>11505508.789999999</v>
      </c>
      <c r="S33" s="227">
        <f t="shared" si="6"/>
        <v>45737594.780000001</v>
      </c>
      <c r="T33" s="436">
        <f t="shared" si="5"/>
        <v>0.66798315408030062</v>
      </c>
      <c r="U33" s="472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877592.34</v>
      </c>
      <c r="H34" s="148">
        <v>3752919.1</v>
      </c>
      <c r="I34" s="148">
        <v>6999568.0099999998</v>
      </c>
      <c r="J34" s="148">
        <v>5102568.46</v>
      </c>
      <c r="K34" s="148">
        <v>5116679.2600000007</v>
      </c>
      <c r="L34" s="148">
        <v>5830436.9199999999</v>
      </c>
      <c r="M34" s="148">
        <v>6718533.9000000004</v>
      </c>
      <c r="N34" s="148">
        <v>3653259.46</v>
      </c>
      <c r="O34" s="148">
        <v>5416254.2699999996</v>
      </c>
      <c r="P34" s="148">
        <v>7914517.2699999996</v>
      </c>
      <c r="Q34" s="148">
        <v>4538639.66</v>
      </c>
      <c r="R34" s="148">
        <v>16484846.84</v>
      </c>
      <c r="S34" s="227">
        <f t="shared" si="6"/>
        <v>72405815.489999995</v>
      </c>
      <c r="T34" s="436">
        <f t="shared" si="5"/>
        <v>1.0574641110318239</v>
      </c>
      <c r="U34" s="472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4072.0400000000004</v>
      </c>
      <c r="H35" s="148">
        <v>554177.94999999995</v>
      </c>
      <c r="I35" s="148">
        <v>3339189.7600000007</v>
      </c>
      <c r="J35" s="148">
        <v>1157173.79</v>
      </c>
      <c r="K35" s="148">
        <v>1740589.3100000003</v>
      </c>
      <c r="L35" s="148">
        <v>2282051.2600000002</v>
      </c>
      <c r="M35" s="148">
        <v>2332626.6800000002</v>
      </c>
      <c r="N35" s="148">
        <v>2092555.9400000002</v>
      </c>
      <c r="O35" s="148">
        <v>2849519.48</v>
      </c>
      <c r="P35" s="148">
        <v>4021885.51</v>
      </c>
      <c r="Q35" s="148">
        <v>1422107.55</v>
      </c>
      <c r="R35" s="148">
        <v>8369217.7199999997</v>
      </c>
      <c r="S35" s="227">
        <f t="shared" si="6"/>
        <v>30165166.989999998</v>
      </c>
      <c r="T35" s="436">
        <f t="shared" si="5"/>
        <v>0.44055275504234043</v>
      </c>
      <c r="U35" s="472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3966895.7600000002</v>
      </c>
      <c r="H36" s="148">
        <v>2431066.79</v>
      </c>
      <c r="I36" s="148">
        <v>1735632.8099999998</v>
      </c>
      <c r="J36" s="148">
        <v>23140004.240000002</v>
      </c>
      <c r="K36" s="148">
        <v>14675383.51</v>
      </c>
      <c r="L36" s="148">
        <v>2918464.11</v>
      </c>
      <c r="M36" s="148">
        <v>7564242.8499999996</v>
      </c>
      <c r="N36" s="148">
        <v>3788551.1</v>
      </c>
      <c r="O36" s="148">
        <v>19220007.579999998</v>
      </c>
      <c r="P36" s="148">
        <v>2174027.4</v>
      </c>
      <c r="Q36" s="148">
        <v>16506464.789999999</v>
      </c>
      <c r="R36" s="148">
        <v>26422235.300000001</v>
      </c>
      <c r="S36" s="227">
        <f>+SUM(G36:R36)</f>
        <v>124542976.23999999</v>
      </c>
      <c r="T36" s="436">
        <f t="shared" si="5"/>
        <v>1.8189109087940354</v>
      </c>
      <c r="U36" s="472"/>
      <c r="V36" s="275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2378.37</v>
      </c>
      <c r="H37" s="148">
        <v>930382.83999999985</v>
      </c>
      <c r="I37" s="148">
        <v>862022.10999999987</v>
      </c>
      <c r="J37" s="148">
        <v>1148346.6500000004</v>
      </c>
      <c r="K37" s="148">
        <v>781961.4600000002</v>
      </c>
      <c r="L37" s="148">
        <v>1115410.2900000003</v>
      </c>
      <c r="M37" s="148">
        <v>855063.86</v>
      </c>
      <c r="N37" s="148">
        <v>945550.4600000002</v>
      </c>
      <c r="O37" s="148">
        <v>592418.56999999995</v>
      </c>
      <c r="P37" s="148">
        <v>1474426.95</v>
      </c>
      <c r="Q37" s="148">
        <v>625555.81000000006</v>
      </c>
      <c r="R37" s="148">
        <v>2362235.2200000002</v>
      </c>
      <c r="S37" s="227">
        <f t="shared" si="6"/>
        <v>11695752.590000002</v>
      </c>
      <c r="T37" s="436">
        <f t="shared" si="5"/>
        <v>0.17081277977099271</v>
      </c>
      <c r="U37" s="472"/>
      <c r="V37" s="275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1880948.3</v>
      </c>
      <c r="H38" s="148">
        <v>2045866.6400000001</v>
      </c>
      <c r="I38" s="148">
        <v>5710797.709999999</v>
      </c>
      <c r="J38" s="148">
        <v>3990567.1799999997</v>
      </c>
      <c r="K38" s="148">
        <v>5567662.9800000004</v>
      </c>
      <c r="L38" s="148">
        <v>4067863.5399999996</v>
      </c>
      <c r="M38" s="148">
        <v>5321623.71</v>
      </c>
      <c r="N38" s="148">
        <v>3321549.46</v>
      </c>
      <c r="O38" s="148">
        <v>8105489.0900000008</v>
      </c>
      <c r="P38" s="148">
        <v>4531530.57</v>
      </c>
      <c r="Q38" s="148">
        <v>8099742.5</v>
      </c>
      <c r="R38" s="148">
        <v>21736324.34</v>
      </c>
      <c r="S38" s="227">
        <f t="shared" si="6"/>
        <v>74379966.019999996</v>
      </c>
      <c r="T38" s="436">
        <f t="shared" si="5"/>
        <v>1.0862959572187889</v>
      </c>
      <c r="U38" s="472"/>
    </row>
    <row r="39" spans="1:24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v>416534.65</v>
      </c>
      <c r="H39" s="148">
        <v>3224464.02</v>
      </c>
      <c r="I39" s="148">
        <v>5294157.3499999987</v>
      </c>
      <c r="J39" s="148">
        <v>3267725.4499999988</v>
      </c>
      <c r="K39" s="148">
        <v>5644358.5800000001</v>
      </c>
      <c r="L39" s="148">
        <v>3508053.69</v>
      </c>
      <c r="M39" s="148">
        <v>5431693.9500000002</v>
      </c>
      <c r="N39" s="148">
        <v>2951837.55</v>
      </c>
      <c r="O39" s="148">
        <v>3839015.5</v>
      </c>
      <c r="P39" s="148">
        <v>4690324.6100000003</v>
      </c>
      <c r="Q39" s="148">
        <v>3821990.72</v>
      </c>
      <c r="R39" s="148">
        <v>10604699.25</v>
      </c>
      <c r="S39" s="227">
        <f t="shared" si="6"/>
        <v>52694855.319999993</v>
      </c>
      <c r="T39" s="436">
        <f t="shared" si="5"/>
        <v>0.76959175115720213</v>
      </c>
      <c r="U39" s="472"/>
      <c r="V39" s="275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58447908.409999996</v>
      </c>
      <c r="H40" s="178">
        <f t="shared" ref="H40:L40" si="12">+SUM(H41:H45)</f>
        <v>66349683.089999989</v>
      </c>
      <c r="I40" s="178">
        <f t="shared" si="12"/>
        <v>68141527.619999975</v>
      </c>
      <c r="J40" s="178">
        <f t="shared" si="12"/>
        <v>65511040.719999991</v>
      </c>
      <c r="K40" s="178">
        <f t="shared" si="12"/>
        <v>64802740.460000001</v>
      </c>
      <c r="L40" s="178">
        <f t="shared" si="12"/>
        <v>68662273.439999968</v>
      </c>
      <c r="M40" s="178">
        <f t="shared" ref="M40:R40" si="13">+SUM(M41:M45)</f>
        <v>68456466.98999998</v>
      </c>
      <c r="N40" s="178">
        <f t="shared" si="13"/>
        <v>69385673.090000004</v>
      </c>
      <c r="O40" s="178">
        <f t="shared" si="13"/>
        <v>69024963.099999994</v>
      </c>
      <c r="P40" s="178">
        <f t="shared" si="13"/>
        <v>74279759.519999996</v>
      </c>
      <c r="Q40" s="178">
        <f t="shared" si="13"/>
        <v>73220935.459999993</v>
      </c>
      <c r="R40" s="178">
        <f t="shared" si="13"/>
        <v>78274560.48999998</v>
      </c>
      <c r="S40" s="458">
        <f t="shared" si="6"/>
        <v>824557532.38999999</v>
      </c>
      <c r="T40" s="459">
        <f t="shared" si="5"/>
        <v>12.042402838537324</v>
      </c>
      <c r="U40" s="472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15193246.93</v>
      </c>
      <c r="H41" s="148">
        <v>18599658.189999998</v>
      </c>
      <c r="I41" s="148">
        <v>18659851.780000001</v>
      </c>
      <c r="J41" s="148">
        <v>16981103.48</v>
      </c>
      <c r="K41" s="148">
        <v>16251190.1</v>
      </c>
      <c r="L41" s="148">
        <v>17123077.960000001</v>
      </c>
      <c r="M41" s="148">
        <v>17264195.690000001</v>
      </c>
      <c r="N41" s="148">
        <v>17458330.419999998</v>
      </c>
      <c r="O41" s="148">
        <v>17224133.52</v>
      </c>
      <c r="P41" s="148">
        <v>18298777.300000001</v>
      </c>
      <c r="Q41" s="148">
        <v>18265292.149999999</v>
      </c>
      <c r="R41" s="148">
        <v>18568343.829999998</v>
      </c>
      <c r="S41" s="227">
        <f t="shared" si="6"/>
        <v>209887201.35000002</v>
      </c>
      <c r="T41" s="436">
        <f t="shared" si="5"/>
        <v>3.0653364138021284</v>
      </c>
      <c r="U41" s="472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0</v>
      </c>
      <c r="H42" s="148">
        <v>2161292.37</v>
      </c>
      <c r="I42" s="148">
        <v>2136078.06</v>
      </c>
      <c r="J42" s="148">
        <v>2131572.67</v>
      </c>
      <c r="K42" s="148">
        <v>2059702.3699999999</v>
      </c>
      <c r="L42" s="148">
        <v>2014179.75</v>
      </c>
      <c r="M42" s="148">
        <v>1987831.61</v>
      </c>
      <c r="N42" s="148">
        <v>1996083.34</v>
      </c>
      <c r="O42" s="148">
        <v>1966211.21</v>
      </c>
      <c r="P42" s="148">
        <v>1935600.9300000002</v>
      </c>
      <c r="Q42" s="148">
        <v>1952446.41</v>
      </c>
      <c r="R42" s="148">
        <v>3362791.1</v>
      </c>
      <c r="S42" s="227">
        <f t="shared" si="6"/>
        <v>23703789.82</v>
      </c>
      <c r="T42" s="436">
        <f t="shared" si="5"/>
        <v>0.34618637826893006</v>
      </c>
      <c r="U42" s="472"/>
      <c r="V42" s="275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42310100.469999999</v>
      </c>
      <c r="H43" s="148">
        <v>43436982.68</v>
      </c>
      <c r="I43" s="148">
        <v>43546253.729999982</v>
      </c>
      <c r="J43" s="148">
        <v>43640005.299999997</v>
      </c>
      <c r="K43" s="148">
        <v>43423554.060000002</v>
      </c>
      <c r="L43" s="148">
        <v>46909923.619999975</v>
      </c>
      <c r="M43" s="486">
        <v>47073242.11999999</v>
      </c>
      <c r="N43" s="148">
        <v>47269857.899999999</v>
      </c>
      <c r="O43" s="148">
        <v>47134576.520000003</v>
      </c>
      <c r="P43" s="148">
        <v>49444502.93</v>
      </c>
      <c r="Q43" s="148">
        <v>49638526.68</v>
      </c>
      <c r="R43" s="148">
        <v>49983172.299999997</v>
      </c>
      <c r="S43" s="227">
        <f t="shared" si="6"/>
        <v>553810698.30999994</v>
      </c>
      <c r="T43" s="436">
        <f t="shared" si="5"/>
        <v>8.0882306732555218</v>
      </c>
      <c r="U43" s="472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944561.01</v>
      </c>
      <c r="H44" s="148">
        <v>1204935.98</v>
      </c>
      <c r="I44" s="148">
        <v>2523574.06</v>
      </c>
      <c r="J44" s="148">
        <v>1805827.9000000001</v>
      </c>
      <c r="K44" s="148">
        <v>1743976.95</v>
      </c>
      <c r="L44" s="148">
        <v>1880360.3900000001</v>
      </c>
      <c r="M44" s="148">
        <v>1043937.75</v>
      </c>
      <c r="N44" s="148">
        <v>1574190.5899999999</v>
      </c>
      <c r="O44" s="148">
        <v>996710.96</v>
      </c>
      <c r="P44" s="148">
        <v>2181527.52</v>
      </c>
      <c r="Q44" s="148">
        <v>1297199.3</v>
      </c>
      <c r="R44" s="148">
        <v>3362791.1</v>
      </c>
      <c r="S44" s="227">
        <f t="shared" si="6"/>
        <v>20559593.510000002</v>
      </c>
      <c r="T44" s="436">
        <f t="shared" si="5"/>
        <v>0.30026638229398123</v>
      </c>
      <c r="U44" s="472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0</v>
      </c>
      <c r="H45" s="148">
        <v>946813.87</v>
      </c>
      <c r="I45" s="148">
        <v>1275769.99</v>
      </c>
      <c r="J45" s="148">
        <v>952531.37</v>
      </c>
      <c r="K45" s="148">
        <v>1324316.98</v>
      </c>
      <c r="L45" s="148">
        <v>734731.72000000009</v>
      </c>
      <c r="M45" s="148">
        <v>1087259.82</v>
      </c>
      <c r="N45" s="148">
        <v>1087210.8400000001</v>
      </c>
      <c r="O45" s="148">
        <v>1703330.8900000001</v>
      </c>
      <c r="P45" s="148">
        <v>2419350.8400000003</v>
      </c>
      <c r="Q45" s="148">
        <v>2067470.92</v>
      </c>
      <c r="R45" s="148">
        <v>2997462.16</v>
      </c>
      <c r="S45" s="227">
        <f t="shared" si="6"/>
        <v>16596249.4</v>
      </c>
      <c r="T45" s="436">
        <f t="shared" si="5"/>
        <v>0.24238299091676238</v>
      </c>
      <c r="U45" s="472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1844828.6800000002</v>
      </c>
      <c r="H46" s="160">
        <v>24913818.260000002</v>
      </c>
      <c r="I46" s="160">
        <v>29326859.449999999</v>
      </c>
      <c r="J46" s="160">
        <v>33935011.719999999</v>
      </c>
      <c r="K46" s="160">
        <v>22605169.219999999</v>
      </c>
      <c r="L46" s="160">
        <v>32396931.329999998</v>
      </c>
      <c r="M46" s="160">
        <v>42596767.619999997</v>
      </c>
      <c r="N46" s="160">
        <v>30808862.149999999</v>
      </c>
      <c r="O46" s="160">
        <v>36649454.560000002</v>
      </c>
      <c r="P46" s="160">
        <v>29874334.260000002</v>
      </c>
      <c r="Q46" s="160">
        <v>24735752.079999998</v>
      </c>
      <c r="R46" s="160">
        <v>71009194.980000004</v>
      </c>
      <c r="S46" s="228">
        <f t="shared" si="6"/>
        <v>380696984.31</v>
      </c>
      <c r="T46" s="437">
        <f t="shared" si="5"/>
        <v>5.5599594502387717</v>
      </c>
      <c r="U46" s="472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420202.33999999997</v>
      </c>
      <c r="H47" s="160">
        <v>4450440.01</v>
      </c>
      <c r="I47" s="160">
        <v>10096779.050000001</v>
      </c>
      <c r="J47" s="160">
        <v>7075145.9400000004</v>
      </c>
      <c r="K47" s="160">
        <v>8044220.4300000006</v>
      </c>
      <c r="L47" s="160">
        <v>15100691.119999997</v>
      </c>
      <c r="M47" s="160">
        <v>16132994.560000004</v>
      </c>
      <c r="N47" s="160">
        <v>24259028.359999999</v>
      </c>
      <c r="O47" s="160">
        <v>28174115.569999997</v>
      </c>
      <c r="P47" s="160">
        <v>25086640.27</v>
      </c>
      <c r="Q47" s="160">
        <v>21000623.91</v>
      </c>
      <c r="R47" s="160">
        <v>78800869.299999997</v>
      </c>
      <c r="S47" s="228">
        <f t="shared" si="6"/>
        <v>238641750.86000001</v>
      </c>
      <c r="T47" s="437">
        <f t="shared" si="5"/>
        <v>3.485287545212453</v>
      </c>
      <c r="U47" s="472"/>
      <c r="V47" s="275"/>
      <c r="W47" s="292"/>
      <c r="X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6"/>
        <v>0</v>
      </c>
      <c r="T48" s="436">
        <f t="shared" si="5"/>
        <v>0</v>
      </c>
      <c r="U48" s="472"/>
      <c r="V48" s="292"/>
    </row>
    <row r="49" spans="1:21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0</v>
      </c>
      <c r="H49" s="148">
        <v>198585.54</v>
      </c>
      <c r="I49" s="148">
        <v>1537951.44</v>
      </c>
      <c r="J49" s="148">
        <v>3354027.05</v>
      </c>
      <c r="K49" s="148">
        <v>1068089.2</v>
      </c>
      <c r="L49" s="148">
        <v>447785.86</v>
      </c>
      <c r="M49" s="148">
        <v>4451250.0999999996</v>
      </c>
      <c r="N49" s="148">
        <v>1094926.3500000001</v>
      </c>
      <c r="O49" s="148">
        <v>10000</v>
      </c>
      <c r="P49" s="148">
        <v>629087.52</v>
      </c>
      <c r="Q49" s="148">
        <v>67254.600000000006</v>
      </c>
      <c r="R49" s="148">
        <v>5408961.6500000004</v>
      </c>
      <c r="S49" s="227">
        <f t="shared" si="6"/>
        <v>18267919.309999999</v>
      </c>
      <c r="T49" s="436">
        <f t="shared" si="5"/>
        <v>0.26679720299840015</v>
      </c>
      <c r="U49" s="472"/>
    </row>
    <row r="50" spans="1:21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0</v>
      </c>
      <c r="H50" s="148">
        <v>1168915.48</v>
      </c>
      <c r="I50" s="148">
        <v>0</v>
      </c>
      <c r="J50" s="148">
        <v>0</v>
      </c>
      <c r="K50" s="148">
        <v>0</v>
      </c>
      <c r="L50" s="148">
        <v>0</v>
      </c>
      <c r="M50" s="148">
        <v>1644656.68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6"/>
        <v>2813572.16</v>
      </c>
      <c r="T50" s="436">
        <f t="shared" si="5"/>
        <v>4.1091334485545597E-2</v>
      </c>
      <c r="U50" s="472"/>
    </row>
    <row r="51" spans="1:21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960349.63</v>
      </c>
      <c r="H51" s="430">
        <v>1883378.3499999994</v>
      </c>
      <c r="I51" s="430">
        <v>1288018.07</v>
      </c>
      <c r="J51" s="430">
        <v>808312.29</v>
      </c>
      <c r="K51" s="430">
        <v>1075171.3999999999</v>
      </c>
      <c r="L51" s="430">
        <v>1838116.54</v>
      </c>
      <c r="M51" s="430">
        <v>1151209.7</v>
      </c>
      <c r="N51" s="430">
        <v>999757.56</v>
      </c>
      <c r="O51" s="430">
        <v>509735.57</v>
      </c>
      <c r="P51" s="430">
        <v>1076828.46</v>
      </c>
      <c r="Q51" s="430">
        <v>3314958.48</v>
      </c>
      <c r="R51" s="430">
        <v>2460397.66</v>
      </c>
      <c r="S51" s="398">
        <f>+SUM(G51:R51)</f>
        <v>17366233.710000001</v>
      </c>
      <c r="T51" s="440">
        <f t="shared" si="5"/>
        <v>0.25362836904519537</v>
      </c>
      <c r="U51" s="472"/>
    </row>
    <row r="52" spans="1:21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5"/>
        <v>0</v>
      </c>
    </row>
    <row r="53" spans="1:21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14">+G10-G29</f>
        <v>52645474.75999999</v>
      </c>
      <c r="H53" s="136">
        <f t="shared" si="14"/>
        <v>-28141527.939999968</v>
      </c>
      <c r="I53" s="136">
        <f t="shared" si="14"/>
        <v>38697080.150000036</v>
      </c>
      <c r="J53" s="136">
        <f t="shared" si="14"/>
        <v>49022408.170000046</v>
      </c>
      <c r="K53" s="136">
        <f t="shared" si="14"/>
        <v>-3250327.8099999726</v>
      </c>
      <c r="L53" s="136">
        <f t="shared" si="14"/>
        <v>56007482.090000033</v>
      </c>
      <c r="M53" s="136">
        <f t="shared" si="14"/>
        <v>-15757829.629999965</v>
      </c>
      <c r="N53" s="136">
        <f t="shared" si="14"/>
        <v>43107080.789999992</v>
      </c>
      <c r="O53" s="136">
        <f t="shared" si="14"/>
        <v>-15665001.199999928</v>
      </c>
      <c r="P53" s="136">
        <f t="shared" si="14"/>
        <v>6932464.1200000048</v>
      </c>
      <c r="Q53" s="136">
        <f t="shared" si="14"/>
        <v>-26356845.580000013</v>
      </c>
      <c r="R53" s="136">
        <f t="shared" si="14"/>
        <v>-146305166.79999995</v>
      </c>
      <c r="S53" s="233">
        <f>SUM(G53:R53)</f>
        <v>10935291.120000303</v>
      </c>
      <c r="T53" s="442">
        <f t="shared" si="5"/>
        <v>0.15970647971891683</v>
      </c>
    </row>
    <row r="54" spans="1:21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15">+G53+G36</f>
        <v>56612370.519999988</v>
      </c>
      <c r="H54" s="190">
        <f t="shared" si="15"/>
        <v>-25710461.149999969</v>
      </c>
      <c r="I54" s="190">
        <f t="shared" si="15"/>
        <v>40432712.960000038</v>
      </c>
      <c r="J54" s="190">
        <f t="shared" si="15"/>
        <v>72162412.410000056</v>
      </c>
      <c r="K54" s="190">
        <f t="shared" si="15"/>
        <v>11425055.700000027</v>
      </c>
      <c r="L54" s="190">
        <f t="shared" si="15"/>
        <v>58925946.200000033</v>
      </c>
      <c r="M54" s="190">
        <f t="shared" si="15"/>
        <v>-8193586.7799999658</v>
      </c>
      <c r="N54" s="190">
        <f t="shared" si="15"/>
        <v>46895631.889999993</v>
      </c>
      <c r="O54" s="190">
        <f t="shared" si="15"/>
        <v>3555006.3800000697</v>
      </c>
      <c r="P54" s="190">
        <f t="shared" si="15"/>
        <v>9106491.5200000051</v>
      </c>
      <c r="Q54" s="190">
        <f t="shared" si="15"/>
        <v>-9850380.790000014</v>
      </c>
      <c r="R54" s="190">
        <f t="shared" si="15"/>
        <v>-119882931.49999996</v>
      </c>
      <c r="S54" s="233">
        <f t="shared" si="6"/>
        <v>135478267.36000025</v>
      </c>
      <c r="T54" s="442">
        <f t="shared" si="5"/>
        <v>1.9786173885129519</v>
      </c>
    </row>
    <row r="55" spans="1:21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L55" si="16">+SUM(G56:G57)</f>
        <v>29896704.300000001</v>
      </c>
      <c r="H55" s="178">
        <f t="shared" si="16"/>
        <v>5811024.9299999997</v>
      </c>
      <c r="I55" s="178">
        <f t="shared" si="16"/>
        <v>8077109.9900000002</v>
      </c>
      <c r="J55" s="160">
        <f t="shared" si="16"/>
        <v>7902599.2300000004</v>
      </c>
      <c r="K55" s="178">
        <f t="shared" si="16"/>
        <v>91927760.939999998</v>
      </c>
      <c r="L55" s="178">
        <f t="shared" si="16"/>
        <v>16027590.799999999</v>
      </c>
      <c r="M55" s="178">
        <f t="shared" ref="M55:R55" si="17">+SUM(M56:M57)</f>
        <v>31852596.969999999</v>
      </c>
      <c r="N55" s="178">
        <f t="shared" si="17"/>
        <v>6400171.3600000003</v>
      </c>
      <c r="O55" s="178">
        <f t="shared" si="17"/>
        <v>16517635.09</v>
      </c>
      <c r="P55" s="178">
        <f t="shared" si="17"/>
        <v>8209323.5700000003</v>
      </c>
      <c r="Q55" s="178">
        <f t="shared" si="17"/>
        <v>53661950.479999997</v>
      </c>
      <c r="R55" s="178">
        <f t="shared" si="17"/>
        <v>24921546.210000001</v>
      </c>
      <c r="S55" s="234">
        <f t="shared" si="6"/>
        <v>301206013.87</v>
      </c>
      <c r="T55" s="443">
        <f t="shared" si="5"/>
        <v>4.3990188845876474</v>
      </c>
    </row>
    <row r="56" spans="1:21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1871833.35</v>
      </c>
      <c r="H56" s="196">
        <v>2400192.8200000003</v>
      </c>
      <c r="I56" s="196">
        <v>1348967.54</v>
      </c>
      <c r="J56" s="196">
        <v>2419307.02</v>
      </c>
      <c r="K56" s="196">
        <v>44621033.690000005</v>
      </c>
      <c r="L56" s="196">
        <v>3730449.0100000002</v>
      </c>
      <c r="M56" s="196">
        <v>2461406.0100000002</v>
      </c>
      <c r="N56" s="196">
        <v>2439964.73</v>
      </c>
      <c r="O56" s="196">
        <v>738279.52</v>
      </c>
      <c r="P56" s="196">
        <v>3094863.43</v>
      </c>
      <c r="Q56" s="196">
        <v>8658506.2599999998</v>
      </c>
      <c r="R56" s="196">
        <v>750761.52</v>
      </c>
      <c r="S56" s="235">
        <f t="shared" si="6"/>
        <v>74535564.899999991</v>
      </c>
      <c r="T56" s="444">
        <f t="shared" si="5"/>
        <v>1.0885684298123677</v>
      </c>
    </row>
    <row r="57" spans="1:21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28024870.949999999</v>
      </c>
      <c r="H57" s="196">
        <v>3410832.11</v>
      </c>
      <c r="I57" s="196">
        <v>6728142.4500000002</v>
      </c>
      <c r="J57" s="196">
        <v>5483292.21</v>
      </c>
      <c r="K57" s="196">
        <v>47306727.25</v>
      </c>
      <c r="L57" s="196">
        <v>12297141.789999999</v>
      </c>
      <c r="M57" s="196">
        <v>29391190.959999997</v>
      </c>
      <c r="N57" s="196">
        <v>3960206.6300000004</v>
      </c>
      <c r="O57" s="196">
        <v>15779355.57</v>
      </c>
      <c r="P57" s="196">
        <v>5114460.1399999997</v>
      </c>
      <c r="Q57" s="196">
        <v>45003444.219999999</v>
      </c>
      <c r="R57" s="196">
        <v>24170784.690000001</v>
      </c>
      <c r="S57" s="235">
        <f t="shared" si="6"/>
        <v>226670448.96999997</v>
      </c>
      <c r="T57" s="444">
        <f t="shared" si="5"/>
        <v>3.3104504547752787</v>
      </c>
    </row>
    <row r="58" spans="1:21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496372.98</v>
      </c>
      <c r="I58" s="432">
        <v>0</v>
      </c>
      <c r="J58" s="432">
        <v>0</v>
      </c>
      <c r="K58" s="432">
        <v>118566.42</v>
      </c>
      <c r="L58" s="432">
        <v>0</v>
      </c>
      <c r="M58" s="432">
        <v>105927.36</v>
      </c>
      <c r="N58" s="432">
        <v>0</v>
      </c>
      <c r="O58" s="432">
        <v>0</v>
      </c>
      <c r="P58" s="432">
        <v>0</v>
      </c>
      <c r="Q58" s="432">
        <v>0</v>
      </c>
      <c r="R58" s="432">
        <v>138179.85999999999</v>
      </c>
      <c r="S58" s="234">
        <f>SUM(G58:R58)</f>
        <v>859046.62</v>
      </c>
      <c r="T58" s="445">
        <f t="shared" si="5"/>
        <v>1.2546105091222321E-2</v>
      </c>
    </row>
    <row r="59" spans="1:21" ht="13.5" thickBot="1">
      <c r="A59" s="135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432">
        <v>261400.02</v>
      </c>
      <c r="H59" s="432">
        <v>1079076.3400000001</v>
      </c>
      <c r="I59" s="432">
        <v>383792.67</v>
      </c>
      <c r="J59" s="432">
        <v>3534657.89</v>
      </c>
      <c r="K59" s="432">
        <v>510581.47</v>
      </c>
      <c r="L59" s="432">
        <v>1213521.05</v>
      </c>
      <c r="M59" s="432">
        <v>435818</v>
      </c>
      <c r="N59" s="432">
        <v>428660.4</v>
      </c>
      <c r="O59" s="432">
        <v>929669.85</v>
      </c>
      <c r="P59" s="432">
        <v>512417.52</v>
      </c>
      <c r="Q59" s="432">
        <v>0</v>
      </c>
      <c r="R59" s="432">
        <v>822000.46</v>
      </c>
      <c r="S59" s="234">
        <f>SUM(G59:R59)</f>
        <v>10111595.669999998</v>
      </c>
      <c r="T59" s="445">
        <f t="shared" si="5"/>
        <v>0.14767666732193016</v>
      </c>
    </row>
    <row r="60" spans="1:21" ht="13.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02">
        <f>+G53-G55-G58-G59</f>
        <v>22487370.43999999</v>
      </c>
      <c r="H60" s="202">
        <f t="shared" ref="H60:S60" si="18">+H53-H55-H58-H59</f>
        <v>-35528002.189999968</v>
      </c>
      <c r="I60" s="202">
        <f t="shared" si="18"/>
        <v>30236177.490000032</v>
      </c>
      <c r="J60" s="202">
        <f t="shared" si="18"/>
        <v>37585151.050000042</v>
      </c>
      <c r="K60" s="202">
        <f t="shared" si="18"/>
        <v>-95807236.639999971</v>
      </c>
      <c r="L60" s="202">
        <f t="shared" si="18"/>
        <v>38766370.240000039</v>
      </c>
      <c r="M60" s="202">
        <f t="shared" si="18"/>
        <v>-48152171.959999964</v>
      </c>
      <c r="N60" s="202">
        <f t="shared" si="18"/>
        <v>36278249.029999994</v>
      </c>
      <c r="O60" s="202">
        <f t="shared" si="18"/>
        <v>-33112306.13999993</v>
      </c>
      <c r="P60" s="202">
        <f t="shared" si="18"/>
        <v>-1789276.9699999955</v>
      </c>
      <c r="Q60" s="202">
        <f t="shared" si="18"/>
        <v>-80018796.060000002</v>
      </c>
      <c r="R60" s="202">
        <f t="shared" si="18"/>
        <v>-172186893.32999998</v>
      </c>
      <c r="S60" s="234">
        <f t="shared" si="18"/>
        <v>-301241365.03999972</v>
      </c>
      <c r="T60" s="446">
        <f t="shared" si="5"/>
        <v>-4.3995351772818836</v>
      </c>
    </row>
    <row r="61" spans="1:21" ht="13.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+SUM(G62:G66)</f>
        <v>-22487370.43999999</v>
      </c>
      <c r="H61" s="136">
        <f t="shared" ref="H61:L61" si="19">+SUM(H62:H66)</f>
        <v>35528002.189999968</v>
      </c>
      <c r="I61" s="136">
        <f t="shared" si="19"/>
        <v>-30236177.490000024</v>
      </c>
      <c r="J61" s="136">
        <f t="shared" si="19"/>
        <v>-37585151.050000042</v>
      </c>
      <c r="K61" s="136">
        <f t="shared" si="19"/>
        <v>95807236.639999971</v>
      </c>
      <c r="L61" s="136">
        <f t="shared" si="19"/>
        <v>-38766370.240000039</v>
      </c>
      <c r="M61" s="136">
        <f t="shared" ref="M61:R61" si="20">+SUM(M62:M66)</f>
        <v>48152171.959999964</v>
      </c>
      <c r="N61" s="136">
        <f t="shared" si="20"/>
        <v>-36278249.029999994</v>
      </c>
      <c r="O61" s="136">
        <f t="shared" si="20"/>
        <v>33112306.139999934</v>
      </c>
      <c r="P61" s="136">
        <f t="shared" si="20"/>
        <v>1789276.9699999955</v>
      </c>
      <c r="Q61" s="136">
        <f t="shared" si="20"/>
        <v>80018796.060000002</v>
      </c>
      <c r="R61" s="136">
        <f t="shared" si="20"/>
        <v>172186893.32999998</v>
      </c>
      <c r="S61" s="237">
        <f t="shared" si="6"/>
        <v>301241365.03999972</v>
      </c>
      <c r="T61" s="447">
        <f t="shared" si="5"/>
        <v>4.3995351772818836</v>
      </c>
    </row>
    <row r="62" spans="1:21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159000000</v>
      </c>
      <c r="S62" s="235">
        <f t="shared" si="6"/>
        <v>159000000</v>
      </c>
      <c r="T62" s="444">
        <f t="shared" si="5"/>
        <v>2.3221448790571451</v>
      </c>
    </row>
    <row r="63" spans="1:21">
      <c r="A63" s="129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196">
        <v>552374.85</v>
      </c>
      <c r="H63" s="196">
        <v>1145846.25</v>
      </c>
      <c r="I63" s="196">
        <v>101672892.59999999</v>
      </c>
      <c r="J63" s="196">
        <v>3774255.5799999996</v>
      </c>
      <c r="K63" s="196">
        <v>1498639.75</v>
      </c>
      <c r="L63" s="196">
        <v>6593805.25</v>
      </c>
      <c r="M63" s="196">
        <v>944562.51</v>
      </c>
      <c r="N63" s="196">
        <v>360304.63</v>
      </c>
      <c r="O63" s="196">
        <v>4619241.13</v>
      </c>
      <c r="P63" s="196">
        <v>4602266.9400000004</v>
      </c>
      <c r="Q63" s="196">
        <v>3301590.39</v>
      </c>
      <c r="R63" s="196">
        <v>30166242.690000001</v>
      </c>
      <c r="S63" s="235">
        <f t="shared" si="6"/>
        <v>159232022.56999999</v>
      </c>
      <c r="T63" s="444">
        <f t="shared" si="5"/>
        <v>2.3255334955524352</v>
      </c>
    </row>
    <row r="64" spans="1:21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96">
        <v>664808.06000000006</v>
      </c>
      <c r="H64" s="196">
        <v>77041.679999999993</v>
      </c>
      <c r="I64" s="196">
        <v>167618.51</v>
      </c>
      <c r="J64" s="196">
        <v>155425.62000000002</v>
      </c>
      <c r="K64" s="196">
        <v>634641.06000000006</v>
      </c>
      <c r="L64" s="196">
        <v>183706.77000000002</v>
      </c>
      <c r="M64" s="196">
        <v>178782.18</v>
      </c>
      <c r="N64" s="196">
        <v>287660.99</v>
      </c>
      <c r="O64" s="196">
        <v>67504.680000000008</v>
      </c>
      <c r="P64" s="196">
        <v>61500.47</v>
      </c>
      <c r="Q64" s="196">
        <v>29821.41</v>
      </c>
      <c r="R64" s="196">
        <v>209358.1</v>
      </c>
      <c r="S64" s="235">
        <f t="shared" si="6"/>
        <v>2717869.5300000007</v>
      </c>
      <c r="T64" s="444">
        <f t="shared" si="5"/>
        <v>3.9693627742358177E-2</v>
      </c>
    </row>
    <row r="65" spans="1:20">
      <c r="A65" s="129">
        <v>73</v>
      </c>
      <c r="B65" s="576" t="s">
        <v>101</v>
      </c>
      <c r="C65" s="577"/>
      <c r="D65" s="577"/>
      <c r="E65" s="577"/>
      <c r="F65" s="577"/>
      <c r="G65" s="196">
        <v>157428.76999999999</v>
      </c>
      <c r="H65" s="196">
        <v>2017853.4</v>
      </c>
      <c r="I65" s="196">
        <v>1080976.0299999998</v>
      </c>
      <c r="J65" s="196">
        <v>1004336.8499999999</v>
      </c>
      <c r="K65" s="196">
        <v>1142213.31</v>
      </c>
      <c r="L65" s="196">
        <v>2980226.31</v>
      </c>
      <c r="M65" s="196">
        <v>323305.51</v>
      </c>
      <c r="N65" s="196">
        <v>580066.93999999994</v>
      </c>
      <c r="O65" s="196">
        <v>819934.54</v>
      </c>
      <c r="P65" s="196">
        <v>714145.76</v>
      </c>
      <c r="Q65" s="196">
        <v>829356.05</v>
      </c>
      <c r="R65" s="196">
        <v>2208210.4</v>
      </c>
      <c r="S65" s="235">
        <f t="shared" si="6"/>
        <v>13858053.870000001</v>
      </c>
      <c r="T65" s="444">
        <f t="shared" si="5"/>
        <v>0.20239250835168901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-23861982.11999999</v>
      </c>
      <c r="H66" s="210">
        <f t="shared" ref="H66:L66" si="21">-H60-SUM(H62:H65)</f>
        <v>32287260.85999997</v>
      </c>
      <c r="I66" s="210">
        <f t="shared" si="21"/>
        <v>-133157664.63000003</v>
      </c>
      <c r="J66" s="210">
        <f t="shared" si="21"/>
        <v>-42519169.100000039</v>
      </c>
      <c r="K66" s="210">
        <f t="shared" si="21"/>
        <v>92531742.519999966</v>
      </c>
      <c r="L66" s="210">
        <f t="shared" si="21"/>
        <v>-48524108.570000038</v>
      </c>
      <c r="M66" s="210">
        <f t="shared" ref="M66:S66" si="22">-M60-SUM(M62:M65)</f>
        <v>46705521.759999961</v>
      </c>
      <c r="N66" s="210">
        <f t="shared" si="22"/>
        <v>-37506281.589999996</v>
      </c>
      <c r="O66" s="210">
        <f t="shared" si="22"/>
        <v>27605625.789999932</v>
      </c>
      <c r="P66" s="210">
        <f t="shared" si="22"/>
        <v>-3588636.2000000044</v>
      </c>
      <c r="Q66" s="210">
        <f t="shared" si="22"/>
        <v>75858028.210000008</v>
      </c>
      <c r="R66" s="210">
        <f t="shared" si="22"/>
        <v>-19396917.860000014</v>
      </c>
      <c r="S66" s="490">
        <f t="shared" si="22"/>
        <v>-33566580.930000246</v>
      </c>
      <c r="T66" s="448">
        <f t="shared" si="5"/>
        <v>-0.49022933342174396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23">+CONCATENATE(G6,"p")</f>
        <v>2023-01p</v>
      </c>
      <c r="H82" s="59" t="str">
        <f t="shared" si="23"/>
        <v>2023-02p</v>
      </c>
      <c r="I82" s="59" t="str">
        <f t="shared" si="23"/>
        <v>2023-03p</v>
      </c>
      <c r="J82" s="59" t="str">
        <f t="shared" si="23"/>
        <v>2023-04p</v>
      </c>
      <c r="K82" s="59" t="str">
        <f t="shared" si="23"/>
        <v>2023-05p</v>
      </c>
      <c r="L82" s="59" t="str">
        <f t="shared" si="23"/>
        <v>2023-06p</v>
      </c>
      <c r="M82" s="59" t="str">
        <f t="shared" si="23"/>
        <v>2023-07p</v>
      </c>
      <c r="N82" s="59" t="str">
        <f t="shared" si="23"/>
        <v>2023-08p</v>
      </c>
      <c r="O82" s="59" t="str">
        <f t="shared" si="23"/>
        <v>2023-09p</v>
      </c>
      <c r="P82" s="59" t="str">
        <f t="shared" si="23"/>
        <v>2023-10p</v>
      </c>
      <c r="Q82" s="59" t="str">
        <f t="shared" si="23"/>
        <v>2023-11p</v>
      </c>
      <c r="R82" s="59" t="str">
        <f t="shared" si="23"/>
        <v>2023-12p</v>
      </c>
    </row>
    <row r="83" spans="1:26" ht="15.75" customHeight="1" thickBot="1">
      <c r="B83" s="632" t="str">
        <f>+Master!G253</f>
        <v>Plan ostvarenja budžeta</v>
      </c>
      <c r="C83" s="633"/>
      <c r="D83" s="633"/>
      <c r="E83" s="633"/>
      <c r="F83" s="633"/>
      <c r="G83" s="640">
        <v>2023</v>
      </c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96" t="str">
        <f>+S7</f>
        <v>BDP</v>
      </c>
      <c r="T83" s="97">
        <v>6624340418</v>
      </c>
    </row>
    <row r="84" spans="1:26" ht="15.75" customHeight="1">
      <c r="B84" s="634"/>
      <c r="C84" s="635"/>
      <c r="D84" s="635"/>
      <c r="E84" s="635"/>
      <c r="F84" s="636"/>
      <c r="G84" s="62" t="str">
        <f t="shared" ref="G84:R84" si="24">+G8</f>
        <v>Januar</v>
      </c>
      <c r="H84" s="62" t="str">
        <f t="shared" si="24"/>
        <v>Februar</v>
      </c>
      <c r="I84" s="62" t="str">
        <f t="shared" si="24"/>
        <v>Mart</v>
      </c>
      <c r="J84" s="62" t="str">
        <f t="shared" si="24"/>
        <v>April</v>
      </c>
      <c r="K84" s="62" t="str">
        <f t="shared" si="24"/>
        <v>Maj</v>
      </c>
      <c r="L84" s="62" t="str">
        <f t="shared" si="24"/>
        <v>Jun</v>
      </c>
      <c r="M84" s="62" t="str">
        <f t="shared" si="24"/>
        <v>Jul</v>
      </c>
      <c r="N84" s="62" t="str">
        <f t="shared" si="24"/>
        <v>Avgust</v>
      </c>
      <c r="O84" s="62" t="str">
        <f t="shared" si="24"/>
        <v>Septembar</v>
      </c>
      <c r="P84" s="62" t="str">
        <f t="shared" si="24"/>
        <v>Oktobar</v>
      </c>
      <c r="Q84" s="62" t="str">
        <f t="shared" si="24"/>
        <v>Novembar</v>
      </c>
      <c r="R84" s="62" t="str">
        <f t="shared" si="24"/>
        <v>Decembar</v>
      </c>
      <c r="S84" s="640" t="str">
        <f>+Master!G247</f>
        <v>Jan - Dec</v>
      </c>
      <c r="T84" s="642">
        <f>+T8</f>
        <v>0</v>
      </c>
    </row>
    <row r="85" spans="1:26" ht="13.5" thickBot="1">
      <c r="B85" s="637"/>
      <c r="C85" s="638"/>
      <c r="D85" s="638"/>
      <c r="E85" s="638"/>
      <c r="F85" s="639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34" si="25">+CONCATENATE(A10,"p")</f>
        <v>7p</v>
      </c>
      <c r="B86" s="606" t="str">
        <f>+VLOOKUP(LEFT($A86,LEN(A86)-1)*1,Master!$D$30:$G$226,4,FALSE)</f>
        <v>Prihodi budžeta</v>
      </c>
      <c r="C86" s="607"/>
      <c r="D86" s="607"/>
      <c r="E86" s="607"/>
      <c r="F86" s="607"/>
      <c r="G86" s="82">
        <f t="shared" ref="G86:L86" si="26">+G87+G95+SUM(G100:G104)</f>
        <v>153112731.45240748</v>
      </c>
      <c r="H86" s="82">
        <f t="shared" si="26"/>
        <v>127832756.55548061</v>
      </c>
      <c r="I86" s="82">
        <f t="shared" si="26"/>
        <v>201740232.63025409</v>
      </c>
      <c r="J86" s="82">
        <f t="shared" si="26"/>
        <v>197163981.770235</v>
      </c>
      <c r="K86" s="82">
        <f t="shared" si="26"/>
        <v>158296327.97128749</v>
      </c>
      <c r="L86" s="82">
        <f t="shared" si="26"/>
        <v>167200464.48127508</v>
      </c>
      <c r="M86" s="82">
        <f t="shared" ref="M86:Q86" si="27">+M87+M95+SUM(M100:M104)</f>
        <v>181861975.69392896</v>
      </c>
      <c r="N86" s="82">
        <f t="shared" si="27"/>
        <v>202109513.21302867</v>
      </c>
      <c r="O86" s="82">
        <f t="shared" si="27"/>
        <v>185021882.2158348</v>
      </c>
      <c r="P86" s="82">
        <f t="shared" si="27"/>
        <v>177565269.2391125</v>
      </c>
      <c r="Q86" s="82">
        <f t="shared" si="27"/>
        <v>168967337.33964974</v>
      </c>
      <c r="R86" s="82">
        <f>+R87+R95+SUM(R100:R104)</f>
        <v>226593742.01140162</v>
      </c>
      <c r="S86" s="425">
        <f>+SUM(G86:R86)</f>
        <v>2147466214.5738959</v>
      </c>
      <c r="T86" s="449">
        <f>+S86/$T$83*100</f>
        <v>32.417811873597103</v>
      </c>
      <c r="U86" s="243"/>
    </row>
    <row r="87" spans="1:26">
      <c r="A87" s="105" t="str">
        <f t="shared" si="25"/>
        <v>711p</v>
      </c>
      <c r="B87" s="630" t="str">
        <f>+VLOOKUP(LEFT($A87,LEN(A87)-1)*1,Master!$D$30:$G$226,4,FALSE)</f>
        <v>Porezi</v>
      </c>
      <c r="C87" s="631"/>
      <c r="D87" s="631"/>
      <c r="E87" s="631"/>
      <c r="F87" s="631"/>
      <c r="G87" s="69">
        <f t="shared" ref="G87:L87" si="28">+SUM(G88:G94)</f>
        <v>89053259.19649069</v>
      </c>
      <c r="H87" s="69">
        <f t="shared" si="28"/>
        <v>86133720.726993382</v>
      </c>
      <c r="I87" s="69">
        <f t="shared" si="28"/>
        <v>151611174.865978</v>
      </c>
      <c r="J87" s="69">
        <f t="shared" si="28"/>
        <v>145526098.37503338</v>
      </c>
      <c r="K87" s="69">
        <f t="shared" si="28"/>
        <v>114721167.87287787</v>
      </c>
      <c r="L87" s="69">
        <f t="shared" si="28"/>
        <v>116649816.05907366</v>
      </c>
      <c r="M87" s="69">
        <f t="shared" ref="M87:R87" si="29">+SUM(M88:M94)</f>
        <v>123219445.94451815</v>
      </c>
      <c r="N87" s="69">
        <f t="shared" si="29"/>
        <v>144506632.21078962</v>
      </c>
      <c r="O87" s="69">
        <f t="shared" si="29"/>
        <v>130700085.51141171</v>
      </c>
      <c r="P87" s="69">
        <f t="shared" si="29"/>
        <v>120588265.76124729</v>
      </c>
      <c r="Q87" s="69">
        <f t="shared" si="29"/>
        <v>112197774.08556552</v>
      </c>
      <c r="R87" s="70">
        <f t="shared" si="29"/>
        <v>130556572.94447696</v>
      </c>
      <c r="S87" s="100">
        <f t="shared" ref="S87:S140" si="30">+SUM(G87:R87)</f>
        <v>1465464013.5544562</v>
      </c>
      <c r="T87" s="435">
        <f t="shared" ref="T87:T142" si="31">+S87/$T$83*100</f>
        <v>22.122414022872704</v>
      </c>
      <c r="V87" s="292"/>
    </row>
    <row r="88" spans="1:26">
      <c r="A88" s="105" t="str">
        <f t="shared" si="25"/>
        <v>7111p</v>
      </c>
      <c r="B88" s="622" t="str">
        <f>+VLOOKUP(LEFT($A88,LEN(A88)-1)*1,Master!$D$30:$G$229,4,FALSE)</f>
        <v>Porez na dohodak fizičkih lica</v>
      </c>
      <c r="C88" s="623"/>
      <c r="D88" s="623"/>
      <c r="E88" s="623"/>
      <c r="F88" s="623"/>
      <c r="G88" s="77">
        <v>2070902.7064199252</v>
      </c>
      <c r="H88" s="77">
        <v>4571441.5054620681</v>
      </c>
      <c r="I88" s="77">
        <v>4416792.289274618</v>
      </c>
      <c r="J88" s="77">
        <v>5257739.5478638252</v>
      </c>
      <c r="K88" s="77">
        <v>4986046.1475269934</v>
      </c>
      <c r="L88" s="77">
        <v>4944578.7228755346</v>
      </c>
      <c r="M88" s="77">
        <v>5364995.4780979399</v>
      </c>
      <c r="N88" s="77">
        <v>5116178.4586187964</v>
      </c>
      <c r="O88" s="77">
        <v>5045281.5655734073</v>
      </c>
      <c r="P88" s="77">
        <v>5285963.732247252</v>
      </c>
      <c r="Q88" s="77">
        <v>4877225.8311620513</v>
      </c>
      <c r="R88" s="77">
        <v>9102707.6780775897</v>
      </c>
      <c r="S88" s="101">
        <f t="shared" si="30"/>
        <v>61039853.663200006</v>
      </c>
      <c r="T88" s="436">
        <f t="shared" si="31"/>
        <v>0.92144802065635634</v>
      </c>
      <c r="V88" s="292"/>
    </row>
    <row r="89" spans="1:26">
      <c r="A89" s="105" t="str">
        <f t="shared" si="25"/>
        <v>7112p</v>
      </c>
      <c r="B89" s="622" t="str">
        <f>+VLOOKUP(LEFT($A89,LEN(A89)-1)*1,Master!$D$30:$G$229,4,FALSE)</f>
        <v>Porez na dobit pravnih lica</v>
      </c>
      <c r="C89" s="623"/>
      <c r="D89" s="623"/>
      <c r="E89" s="623"/>
      <c r="F89" s="623"/>
      <c r="G89" s="77">
        <v>534161.88979689125</v>
      </c>
      <c r="H89" s="77">
        <v>2931735.7925026831</v>
      </c>
      <c r="I89" s="77">
        <v>52182708.518122546</v>
      </c>
      <c r="J89" s="77">
        <v>38816261.383036874</v>
      </c>
      <c r="K89" s="77">
        <v>2899918.0051999893</v>
      </c>
      <c r="L89" s="77">
        <v>4080555.7993856557</v>
      </c>
      <c r="M89" s="77">
        <v>2527233.3334094649</v>
      </c>
      <c r="N89" s="77">
        <v>3169336.8152234615</v>
      </c>
      <c r="O89" s="77">
        <v>3538278.3583860644</v>
      </c>
      <c r="P89" s="77">
        <v>1664293.4786487306</v>
      </c>
      <c r="Q89" s="77">
        <v>2887333.7182166665</v>
      </c>
      <c r="R89" s="77">
        <v>6416604.0733927749</v>
      </c>
      <c r="S89" s="101">
        <f t="shared" si="30"/>
        <v>121648421.1653218</v>
      </c>
      <c r="T89" s="436">
        <f t="shared" si="31"/>
        <v>1.8363854133276791</v>
      </c>
      <c r="V89" s="292"/>
    </row>
    <row r="90" spans="1:26">
      <c r="A90" s="105" t="str">
        <f t="shared" si="25"/>
        <v>7113p</v>
      </c>
      <c r="B90" s="622" t="str">
        <f>+VLOOKUP(LEFT($A90,LEN(A90)-1)*1,Master!$D$30:$G$229,4,FALSE)</f>
        <v>Porez na promet nepokretnosti</v>
      </c>
      <c r="C90" s="623"/>
      <c r="D90" s="623"/>
      <c r="E90" s="623"/>
      <c r="F90" s="623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30"/>
        <v>0</v>
      </c>
      <c r="T90" s="436">
        <f t="shared" si="31"/>
        <v>0</v>
      </c>
      <c r="V90" s="292"/>
    </row>
    <row r="91" spans="1:26">
      <c r="A91" s="105" t="str">
        <f t="shared" si="25"/>
        <v>7114p</v>
      </c>
      <c r="B91" s="622" t="str">
        <f>+VLOOKUP(LEFT($A91,LEN(A91)-1)*1,Master!$D$30:$G$229,4,FALSE)</f>
        <v>Porez na dodatu vrijednost</v>
      </c>
      <c r="C91" s="623"/>
      <c r="D91" s="623"/>
      <c r="E91" s="623"/>
      <c r="F91" s="623"/>
      <c r="G91" s="77">
        <v>65000000</v>
      </c>
      <c r="H91" s="77">
        <v>59157257.036181271</v>
      </c>
      <c r="I91" s="77">
        <v>70779064.900745258</v>
      </c>
      <c r="J91" s="77">
        <v>77609564.108106285</v>
      </c>
      <c r="K91" s="77">
        <v>80764321.173744261</v>
      </c>
      <c r="L91" s="77">
        <v>82000000</v>
      </c>
      <c r="M91" s="77">
        <v>86587361.219999999</v>
      </c>
      <c r="N91" s="77">
        <v>99000000</v>
      </c>
      <c r="O91" s="77">
        <v>89355645.696232229</v>
      </c>
      <c r="P91" s="77">
        <v>85000000</v>
      </c>
      <c r="Q91" s="77">
        <v>80002523.512198836</v>
      </c>
      <c r="R91" s="77">
        <v>83726072.568305194</v>
      </c>
      <c r="S91" s="101">
        <f t="shared" si="30"/>
        <v>958981810.21551323</v>
      </c>
      <c r="T91" s="436">
        <f t="shared" si="31"/>
        <v>14.476638422894425</v>
      </c>
      <c r="V91" s="292"/>
    </row>
    <row r="92" spans="1:26">
      <c r="A92" s="105" t="str">
        <f t="shared" si="25"/>
        <v>7115p</v>
      </c>
      <c r="B92" s="622" t="str">
        <f>+VLOOKUP(LEFT($A92,LEN(A92)-1)*1,Master!$D$30:$G$229,4,FALSE)</f>
        <v>Akcize</v>
      </c>
      <c r="C92" s="623"/>
      <c r="D92" s="623"/>
      <c r="E92" s="623"/>
      <c r="F92" s="623"/>
      <c r="G92" s="77">
        <v>18950000</v>
      </c>
      <c r="H92" s="77">
        <v>16468285.819688315</v>
      </c>
      <c r="I92" s="77">
        <v>20008845.7876136</v>
      </c>
      <c r="J92" s="77">
        <v>19694697.412667502</v>
      </c>
      <c r="K92" s="77">
        <v>21753669.00624115</v>
      </c>
      <c r="L92" s="77">
        <v>20861971.060195781</v>
      </c>
      <c r="M92" s="77">
        <v>23890190.547238827</v>
      </c>
      <c r="N92" s="77">
        <v>31837007.557229187</v>
      </c>
      <c r="O92" s="77">
        <v>27952742.360335764</v>
      </c>
      <c r="P92" s="77">
        <v>24243081.612867884</v>
      </c>
      <c r="Q92" s="77">
        <v>19387116.28225591</v>
      </c>
      <c r="R92" s="77">
        <v>26404567.592340976</v>
      </c>
      <c r="S92" s="101">
        <f t="shared" si="30"/>
        <v>271452175.03867495</v>
      </c>
      <c r="T92" s="436">
        <f t="shared" si="31"/>
        <v>4.0977992963808303</v>
      </c>
      <c r="V92" s="292"/>
      <c r="X92" s="242"/>
      <c r="Y92" s="242"/>
      <c r="Z92" s="242"/>
    </row>
    <row r="93" spans="1:26">
      <c r="A93" s="105" t="str">
        <f t="shared" si="25"/>
        <v>7116p</v>
      </c>
      <c r="B93" s="622" t="str">
        <f>+VLOOKUP(LEFT($A93,LEN(A93)-1)*1,Master!$D$30:$G$229,4,FALSE)</f>
        <v>Porez na međunarodnu trgovinu i transakcije</v>
      </c>
      <c r="C93" s="623"/>
      <c r="D93" s="623"/>
      <c r="E93" s="623"/>
      <c r="F93" s="623"/>
      <c r="G93" s="77">
        <v>1690050.6290672496</v>
      </c>
      <c r="H93" s="77">
        <v>2149690.2071043747</v>
      </c>
      <c r="I93" s="77">
        <v>3285503.6338270181</v>
      </c>
      <c r="J93" s="77">
        <v>3112309.3959054868</v>
      </c>
      <c r="K93" s="77">
        <v>3395864.9730360894</v>
      </c>
      <c r="L93" s="77">
        <v>3721386.9341526693</v>
      </c>
      <c r="M93" s="77">
        <v>3649795.5179858184</v>
      </c>
      <c r="N93" s="77">
        <v>4254913.4315361446</v>
      </c>
      <c r="O93" s="77">
        <v>3771141.3156107357</v>
      </c>
      <c r="P93" s="77">
        <v>3431995.0529172528</v>
      </c>
      <c r="Q93" s="77">
        <v>3902366.8888178305</v>
      </c>
      <c r="R93" s="77">
        <v>3887332.176758409</v>
      </c>
      <c r="S93" s="101">
        <f t="shared" si="30"/>
        <v>40252350.156719081</v>
      </c>
      <c r="T93" s="436">
        <f t="shared" si="31"/>
        <v>0.60764314055091906</v>
      </c>
      <c r="V93" s="292"/>
    </row>
    <row r="94" spans="1:26">
      <c r="A94" s="105" t="str">
        <f t="shared" si="25"/>
        <v>7118p</v>
      </c>
      <c r="B94" s="622" t="str">
        <f>+VLOOKUP(LEFT($A94,LEN(A94)-1)*1,Master!$D$30:$G$229,4,FALSE)</f>
        <v>Ostali državni porezi</v>
      </c>
      <c r="C94" s="623"/>
      <c r="D94" s="623"/>
      <c r="E94" s="623"/>
      <c r="F94" s="623"/>
      <c r="G94" s="77">
        <v>808143.97120662592</v>
      </c>
      <c r="H94" s="77">
        <v>855310.36605466809</v>
      </c>
      <c r="I94" s="77">
        <v>938259.73639494251</v>
      </c>
      <c r="J94" s="77">
        <v>1035526.5274533973</v>
      </c>
      <c r="K94" s="77">
        <v>921348.56712938857</v>
      </c>
      <c r="L94" s="77">
        <v>1041323.5424640164</v>
      </c>
      <c r="M94" s="77">
        <v>1199869.8477860999</v>
      </c>
      <c r="N94" s="77">
        <v>1129195.9481820336</v>
      </c>
      <c r="O94" s="77">
        <v>1036996.2152735114</v>
      </c>
      <c r="P94" s="77">
        <v>962931.88456615142</v>
      </c>
      <c r="Q94" s="77">
        <v>1141207.8529142153</v>
      </c>
      <c r="R94" s="77">
        <v>1019288.8556020237</v>
      </c>
      <c r="S94" s="101">
        <f t="shared" si="30"/>
        <v>12089403.315027073</v>
      </c>
      <c r="T94" s="436">
        <f t="shared" si="31"/>
        <v>0.18249972906249085</v>
      </c>
      <c r="V94" s="292"/>
    </row>
    <row r="95" spans="1:26">
      <c r="A95" s="105" t="str">
        <f t="shared" si="25"/>
        <v>712p</v>
      </c>
      <c r="B95" s="628" t="str">
        <f>+VLOOKUP(LEFT($A95,LEN(A95)-1)*1,Master!$D$30:$G$229,4,FALSE)</f>
        <v>Doprinosi</v>
      </c>
      <c r="C95" s="629"/>
      <c r="D95" s="629"/>
      <c r="E95" s="629"/>
      <c r="F95" s="629"/>
      <c r="G95" s="71">
        <f>+SUM(G96:G99)</f>
        <v>14028547.954861166</v>
      </c>
      <c r="H95" s="71">
        <f t="shared" ref="H95:L95" si="32">+SUM(H96:H99)</f>
        <v>35494684.891336001</v>
      </c>
      <c r="I95" s="452">
        <f t="shared" si="32"/>
        <v>34746900.973094396</v>
      </c>
      <c r="J95" s="71">
        <f t="shared" si="32"/>
        <v>42833596.089660697</v>
      </c>
      <c r="K95" s="71">
        <f t="shared" si="32"/>
        <v>31865136.166640289</v>
      </c>
      <c r="L95" s="71">
        <f t="shared" si="32"/>
        <v>38887014.54653661</v>
      </c>
      <c r="M95" s="71">
        <f t="shared" ref="M95:R95" si="33">+SUM(M96:M99)</f>
        <v>41674957.146424204</v>
      </c>
      <c r="N95" s="71">
        <f t="shared" si="33"/>
        <v>39623582.115929469</v>
      </c>
      <c r="O95" s="71">
        <f t="shared" si="33"/>
        <v>38556106.773443051</v>
      </c>
      <c r="P95" s="71">
        <f t="shared" si="33"/>
        <v>41225764.80063308</v>
      </c>
      <c r="Q95" s="71">
        <f t="shared" si="33"/>
        <v>39258499.915648282</v>
      </c>
      <c r="R95" s="72">
        <f t="shared" si="33"/>
        <v>76561513.993556961</v>
      </c>
      <c r="S95" s="102">
        <f t="shared" si="30"/>
        <v>474756305.36776417</v>
      </c>
      <c r="T95" s="437">
        <f t="shared" si="31"/>
        <v>7.1668464391976565</v>
      </c>
      <c r="V95" s="292"/>
    </row>
    <row r="96" spans="1:26">
      <c r="A96" s="105" t="str">
        <f t="shared" si="25"/>
        <v>7121p</v>
      </c>
      <c r="B96" s="622" t="str">
        <f>+VLOOKUP(LEFT($A96,LEN(A96)-1)*1,Master!$D$30:$G$229,4,FALSE)</f>
        <v>Doprinosi za penzijsko i invalidsko osiguranje</v>
      </c>
      <c r="C96" s="623"/>
      <c r="D96" s="623"/>
      <c r="E96" s="623"/>
      <c r="F96" s="623"/>
      <c r="G96" s="77">
        <v>12922296.768241206</v>
      </c>
      <c r="H96" s="77">
        <v>32778046.640397433</v>
      </c>
      <c r="I96" s="77">
        <v>31885035.782585178</v>
      </c>
      <c r="J96" s="77">
        <v>39517642.627177365</v>
      </c>
      <c r="K96" s="77">
        <v>29460956.519365169</v>
      </c>
      <c r="L96" s="77">
        <v>35997729.315968178</v>
      </c>
      <c r="M96" s="77">
        <v>38602836.994617537</v>
      </c>
      <c r="N96" s="77">
        <v>36676993.713693559</v>
      </c>
      <c r="O96" s="77">
        <v>35626366.833726309</v>
      </c>
      <c r="P96" s="77">
        <v>38068802.692633055</v>
      </c>
      <c r="Q96" s="77">
        <v>36305288.307839207</v>
      </c>
      <c r="R96" s="77">
        <v>70883550.649357751</v>
      </c>
      <c r="S96" s="101">
        <f t="shared" si="30"/>
        <v>438725546.84560192</v>
      </c>
      <c r="T96" s="436">
        <f t="shared" si="31"/>
        <v>6.6229317813057156</v>
      </c>
      <c r="V96" s="292"/>
      <c r="W96" s="292"/>
    </row>
    <row r="97" spans="1:23">
      <c r="A97" s="105" t="str">
        <f t="shared" si="25"/>
        <v>7122p</v>
      </c>
      <c r="B97" s="622" t="str">
        <f>+VLOOKUP(LEFT($A97,LEN(A97)-1)*1,Master!$D$30:$G$229,4,FALSE)</f>
        <v>Doprinosi za zdravstveno osiguranje</v>
      </c>
      <c r="C97" s="623"/>
      <c r="D97" s="623"/>
      <c r="E97" s="623"/>
      <c r="F97" s="623"/>
      <c r="G97" s="77">
        <v>100023.86869410829</v>
      </c>
      <c r="H97" s="77">
        <v>100023.86869410829</v>
      </c>
      <c r="I97" s="77">
        <v>100023.86869410829</v>
      </c>
      <c r="J97" s="77">
        <v>100023.86869410829</v>
      </c>
      <c r="K97" s="77">
        <v>100023.86869410829</v>
      </c>
      <c r="L97" s="77">
        <v>100023.86869410829</v>
      </c>
      <c r="M97" s="77">
        <v>100023.86869410829</v>
      </c>
      <c r="N97" s="77">
        <v>100023.86869410829</v>
      </c>
      <c r="O97" s="77">
        <v>100023.86869410829</v>
      </c>
      <c r="P97" s="77">
        <v>100023.86869410829</v>
      </c>
      <c r="Q97" s="77">
        <v>100023.86869410829</v>
      </c>
      <c r="R97" s="77">
        <v>100023.86869410829</v>
      </c>
      <c r="S97" s="101">
        <f t="shared" si="30"/>
        <v>1200286.4243292995</v>
      </c>
      <c r="T97" s="436">
        <f t="shared" si="31"/>
        <v>1.8119334886048718E-2</v>
      </c>
      <c r="V97" s="292"/>
    </row>
    <row r="98" spans="1:23">
      <c r="A98" s="105" t="str">
        <f t="shared" si="25"/>
        <v>7123p</v>
      </c>
      <c r="B98" s="622" t="str">
        <f>+VLOOKUP(LEFT($A98,LEN(A98)-1)*1,Master!$D$30:$G$229,4,FALSE)</f>
        <v>Doprinosi za osiguranje od nezaposlenosti</v>
      </c>
      <c r="C98" s="623"/>
      <c r="D98" s="623"/>
      <c r="E98" s="623"/>
      <c r="F98" s="623"/>
      <c r="G98" s="77">
        <v>619197.91655976803</v>
      </c>
      <c r="H98" s="77">
        <v>1562283.5053246473</v>
      </c>
      <c r="I98" s="77">
        <v>1529231.4074864856</v>
      </c>
      <c r="J98" s="77">
        <v>1852310.804590398</v>
      </c>
      <c r="K98" s="77">
        <v>1381579.4426863664</v>
      </c>
      <c r="L98" s="77">
        <v>1646351.3865687051</v>
      </c>
      <c r="M98" s="77">
        <v>1773247.4402761667</v>
      </c>
      <c r="N98" s="77">
        <v>1691805.2177619261</v>
      </c>
      <c r="O98" s="77">
        <v>1673177.7559083714</v>
      </c>
      <c r="P98" s="77">
        <v>1765599.6533184864</v>
      </c>
      <c r="Q98" s="77">
        <v>1660050.5394028926</v>
      </c>
      <c r="R98" s="77">
        <v>3206078.6416049507</v>
      </c>
      <c r="S98" s="101">
        <f t="shared" si="30"/>
        <v>20360913.711489163</v>
      </c>
      <c r="T98" s="436">
        <f t="shared" si="31"/>
        <v>0.30736514772343881</v>
      </c>
      <c r="V98" s="292"/>
    </row>
    <row r="99" spans="1:23">
      <c r="A99" s="105" t="str">
        <f t="shared" si="25"/>
        <v>7124p</v>
      </c>
      <c r="B99" s="622" t="str">
        <f>+VLOOKUP(LEFT($A99,LEN(A99)-1)*1,Master!$D$30:$G$229,4,FALSE)</f>
        <v>Ostali doprinosi</v>
      </c>
      <c r="C99" s="623"/>
      <c r="D99" s="623"/>
      <c r="E99" s="623"/>
      <c r="F99" s="623"/>
      <c r="G99" s="77">
        <v>387029.40136608307</v>
      </c>
      <c r="H99" s="77">
        <v>1054330.8769198155</v>
      </c>
      <c r="I99" s="77">
        <v>1232609.9143286212</v>
      </c>
      <c r="J99" s="77">
        <v>1363618.7891988268</v>
      </c>
      <c r="K99" s="77">
        <v>922576.33589464275</v>
      </c>
      <c r="L99" s="77">
        <v>1142909.9753056148</v>
      </c>
      <c r="M99" s="77">
        <v>1198848.8428363875</v>
      </c>
      <c r="N99" s="77">
        <v>1154759.3157798722</v>
      </c>
      <c r="O99" s="77">
        <v>1156538.3151142579</v>
      </c>
      <c r="P99" s="77">
        <v>1291338.5859874277</v>
      </c>
      <c r="Q99" s="77">
        <v>1193137.199712065</v>
      </c>
      <c r="R99" s="77">
        <v>2371860.8339001467</v>
      </c>
      <c r="S99" s="101">
        <f t="shared" si="30"/>
        <v>14469558.386343762</v>
      </c>
      <c r="T99" s="436">
        <f t="shared" si="31"/>
        <v>0.2184301752824527</v>
      </c>
      <c r="V99" s="292"/>
    </row>
    <row r="100" spans="1:23">
      <c r="A100" s="105" t="str">
        <f t="shared" si="25"/>
        <v>713p</v>
      </c>
      <c r="B100" s="628" t="str">
        <f>+VLOOKUP(LEFT($A100,LEN(A100)-1)*1,Master!$D$30:$G$229,4,FALSE)</f>
        <v>Takse</v>
      </c>
      <c r="C100" s="629"/>
      <c r="D100" s="629"/>
      <c r="E100" s="629"/>
      <c r="F100" s="629"/>
      <c r="G100" s="73">
        <v>670553.32707319653</v>
      </c>
      <c r="H100" s="73">
        <v>853610.81100259756</v>
      </c>
      <c r="I100" s="73">
        <v>866806.93435184658</v>
      </c>
      <c r="J100" s="73">
        <v>1045994.3342145921</v>
      </c>
      <c r="K100" s="73">
        <v>975864.39322560804</v>
      </c>
      <c r="L100" s="73">
        <v>1069123.3509492602</v>
      </c>
      <c r="M100" s="73">
        <v>1754495.9179910745</v>
      </c>
      <c r="N100" s="73">
        <v>1873370.8901127889</v>
      </c>
      <c r="O100" s="73">
        <v>1507509.8465881622</v>
      </c>
      <c r="P100" s="73">
        <v>1219130.6368902784</v>
      </c>
      <c r="Q100" s="73">
        <v>1025348.8829897568</v>
      </c>
      <c r="R100" s="73">
        <v>1389128.8981358397</v>
      </c>
      <c r="S100" s="102">
        <f t="shared" si="30"/>
        <v>14250938.223525003</v>
      </c>
      <c r="T100" s="437">
        <f t="shared" si="31"/>
        <v>0.21512991972456028</v>
      </c>
      <c r="V100" s="292"/>
    </row>
    <row r="101" spans="1:23">
      <c r="A101" s="105" t="str">
        <f t="shared" si="25"/>
        <v>714p</v>
      </c>
      <c r="B101" s="628" t="str">
        <f>+VLOOKUP(LEFT($A101,LEN(A101)-1)*1,Master!$D$30:$G$229,4,FALSE)</f>
        <v>Naknade</v>
      </c>
      <c r="C101" s="629"/>
      <c r="D101" s="629"/>
      <c r="E101" s="629"/>
      <c r="F101" s="629"/>
      <c r="G101" s="73">
        <v>12301859.137453955</v>
      </c>
      <c r="H101" s="73">
        <v>1737839.0434846203</v>
      </c>
      <c r="I101" s="73">
        <v>2414564.2682698909</v>
      </c>
      <c r="J101" s="73">
        <v>2360898.2221326954</v>
      </c>
      <c r="K101" s="73">
        <v>1893341.290231579</v>
      </c>
      <c r="L101" s="73">
        <v>3087651.9216982825</v>
      </c>
      <c r="M101" s="73">
        <v>2833106.8014261499</v>
      </c>
      <c r="N101" s="73">
        <v>1908379.2093100648</v>
      </c>
      <c r="O101" s="73">
        <v>2810433.9965217365</v>
      </c>
      <c r="P101" s="73">
        <v>3370011.6773951356</v>
      </c>
      <c r="Q101" s="73">
        <v>2865853.2964798021</v>
      </c>
      <c r="R101" s="73">
        <v>4104318.4117466188</v>
      </c>
      <c r="S101" s="102">
        <f t="shared" si="30"/>
        <v>41688257.276150532</v>
      </c>
      <c r="T101" s="437">
        <f t="shared" si="31"/>
        <v>0.62931936835361069</v>
      </c>
      <c r="V101" s="292"/>
    </row>
    <row r="102" spans="1:23">
      <c r="A102" s="105" t="str">
        <f t="shared" si="25"/>
        <v>715p</v>
      </c>
      <c r="B102" s="628" t="str">
        <f>+VLOOKUP(LEFT($A102,LEN(A102)-1)*1,Master!$D$30:$G$229,4,FALSE)</f>
        <v>Ostali prihodi</v>
      </c>
      <c r="C102" s="629"/>
      <c r="D102" s="629"/>
      <c r="E102" s="629"/>
      <c r="F102" s="629"/>
      <c r="G102" s="73">
        <v>35476989.500013761</v>
      </c>
      <c r="H102" s="73">
        <v>1666927.9695483148</v>
      </c>
      <c r="I102" s="73">
        <v>1797638.0792588741</v>
      </c>
      <c r="J102" s="73">
        <v>1832014.0594961573</v>
      </c>
      <c r="K102" s="73">
        <v>4733890.0403573457</v>
      </c>
      <c r="L102" s="73">
        <v>2822218.6125436462</v>
      </c>
      <c r="M102" s="73">
        <v>9067540.6215341613</v>
      </c>
      <c r="N102" s="73">
        <v>9516386.4239806794</v>
      </c>
      <c r="O102" s="73">
        <v>8077599.8803823311</v>
      </c>
      <c r="P102" s="73">
        <v>7745200.2754089963</v>
      </c>
      <c r="Q102" s="73">
        <v>8762559.2854723595</v>
      </c>
      <c r="R102" s="73">
        <v>8676446.8240033779</v>
      </c>
      <c r="S102" s="102">
        <f t="shared" si="30"/>
        <v>100175411.57200001</v>
      </c>
      <c r="T102" s="437">
        <f t="shared" si="31"/>
        <v>1.5122322412628164</v>
      </c>
      <c r="V102" s="292"/>
    </row>
    <row r="103" spans="1:23">
      <c r="A103" s="105" t="str">
        <f t="shared" si="25"/>
        <v>73p</v>
      </c>
      <c r="B103" s="628" t="str">
        <f>+VLOOKUP(LEFT($A103,LEN(A103)-1)*1,Master!$D$30:$G$229,4,FALSE)</f>
        <v>Primici od otplate kredita i sredstva prenesena iz prethodne godine</v>
      </c>
      <c r="C103" s="629"/>
      <c r="D103" s="629"/>
      <c r="E103" s="629"/>
      <c r="F103" s="629"/>
      <c r="G103" s="73">
        <v>81522.336514710114</v>
      </c>
      <c r="H103" s="73">
        <v>445973.11311571056</v>
      </c>
      <c r="I103" s="73">
        <v>303147.50930105889</v>
      </c>
      <c r="J103" s="73">
        <v>411671.2919196891</v>
      </c>
      <c r="K103" s="73">
        <v>953218.81017704192</v>
      </c>
      <c r="L103" s="73">
        <v>1530930.5926958604</v>
      </c>
      <c r="M103" s="73">
        <v>158719.86425742233</v>
      </c>
      <c r="N103" s="73">
        <v>1527452.9651282593</v>
      </c>
      <c r="O103" s="73">
        <v>216436.80971001115</v>
      </c>
      <c r="P103" s="73">
        <v>263186.6897599264</v>
      </c>
      <c r="Q103" s="73">
        <v>1703592.4757162347</v>
      </c>
      <c r="R103" s="73">
        <v>2152051.5417040759</v>
      </c>
      <c r="S103" s="102">
        <f>+SUM(G103:R103)</f>
        <v>9747904</v>
      </c>
      <c r="T103" s="437">
        <f t="shared" si="31"/>
        <v>0.14715282405343316</v>
      </c>
      <c r="V103" s="292"/>
      <c r="W103" s="292"/>
    </row>
    <row r="104" spans="1:23" ht="13.5" thickBot="1">
      <c r="A104" s="105" t="str">
        <f t="shared" si="25"/>
        <v>74p</v>
      </c>
      <c r="B104" s="624" t="str">
        <f>+VLOOKUP(LEFT($A104,LEN(A104)-1)*1,Master!$D$30:$G$229,4,FALSE)</f>
        <v>Donacije i transferi</v>
      </c>
      <c r="C104" s="625"/>
      <c r="D104" s="625"/>
      <c r="E104" s="625"/>
      <c r="F104" s="625"/>
      <c r="G104" s="73">
        <v>1500000</v>
      </c>
      <c r="H104" s="73">
        <v>1500000</v>
      </c>
      <c r="I104" s="73">
        <v>10000000</v>
      </c>
      <c r="J104" s="73">
        <v>3153709.3977777776</v>
      </c>
      <c r="K104" s="73">
        <v>3153709.3977777776</v>
      </c>
      <c r="L104" s="73">
        <v>3153709.3977777776</v>
      </c>
      <c r="M104" s="73">
        <v>3153709.3977777776</v>
      </c>
      <c r="N104" s="73">
        <v>3153709.3977777776</v>
      </c>
      <c r="O104" s="73">
        <v>3153709.3977777776</v>
      </c>
      <c r="P104" s="73">
        <v>3153709.3977777776</v>
      </c>
      <c r="Q104" s="73">
        <v>3153709.3977777776</v>
      </c>
      <c r="R104" s="73">
        <v>3153709.3977777776</v>
      </c>
      <c r="S104" s="103">
        <f t="shared" si="30"/>
        <v>41383384.580000006</v>
      </c>
      <c r="T104" s="438">
        <f t="shared" si="31"/>
        <v>0.62471705813232259</v>
      </c>
      <c r="V104" s="292"/>
    </row>
    <row r="105" spans="1:23" ht="13.5" thickBot="1">
      <c r="A105" s="105" t="str">
        <f t="shared" si="25"/>
        <v>4p</v>
      </c>
      <c r="B105" s="606" t="str">
        <f>+VLOOKUP(LEFT($A105,LEN(A105)-1)*1,Master!$D$30:$G$229,4,FALSE)</f>
        <v>Izdaci budžeta</v>
      </c>
      <c r="C105" s="607"/>
      <c r="D105" s="607"/>
      <c r="E105" s="607"/>
      <c r="F105" s="607"/>
      <c r="G105" s="82">
        <f t="shared" ref="G105:L105" si="34">+G106+G116+G122+SUM(G123:G127)</f>
        <v>175509865.05999997</v>
      </c>
      <c r="H105" s="82">
        <f t="shared" si="34"/>
        <v>194904102.36999997</v>
      </c>
      <c r="I105" s="82">
        <f t="shared" si="34"/>
        <v>204056525.62</v>
      </c>
      <c r="J105" s="82">
        <f t="shared" si="34"/>
        <v>215049716.38000003</v>
      </c>
      <c r="K105" s="82">
        <f t="shared" si="34"/>
        <v>199767991.34</v>
      </c>
      <c r="L105" s="82">
        <f t="shared" si="34"/>
        <v>194478060.15000001</v>
      </c>
      <c r="M105" s="82">
        <f t="shared" ref="M105:R105" si="35">+M106+M116+M122+SUM(M123:M127)</f>
        <v>237229120.77000004</v>
      </c>
      <c r="N105" s="82">
        <f t="shared" si="35"/>
        <v>208577181.37000003</v>
      </c>
      <c r="O105" s="82">
        <f t="shared" si="35"/>
        <v>212332628.14999998</v>
      </c>
      <c r="P105" s="82">
        <f t="shared" si="35"/>
        <v>219165654.14000002</v>
      </c>
      <c r="Q105" s="82">
        <f t="shared" si="35"/>
        <v>215801622.55000001</v>
      </c>
      <c r="R105" s="82">
        <f t="shared" si="35"/>
        <v>236910680.68000001</v>
      </c>
      <c r="S105" s="423">
        <f>+SUM(G105:R105)</f>
        <v>2513783148.5799999</v>
      </c>
      <c r="T105" s="450">
        <f t="shared" si="31"/>
        <v>37.947674635642493</v>
      </c>
      <c r="V105" s="275"/>
    </row>
    <row r="106" spans="1:23">
      <c r="A106" s="105" t="str">
        <f t="shared" si="25"/>
        <v>41p</v>
      </c>
      <c r="B106" s="626" t="str">
        <f>+VLOOKUP(LEFT($A106,LEN(A106)-1)*1,Master!$D$30:$G$229,4,FALSE)</f>
        <v>Tekući izdaci</v>
      </c>
      <c r="C106" s="627"/>
      <c r="D106" s="627"/>
      <c r="E106" s="627"/>
      <c r="F106" s="627"/>
      <c r="G106" s="75">
        <f t="shared" ref="G106:L106" si="36">+SUM(G107:G115)</f>
        <v>71899625.829999968</v>
      </c>
      <c r="H106" s="75">
        <f t="shared" si="36"/>
        <v>80973595.029999986</v>
      </c>
      <c r="I106" s="75">
        <f t="shared" si="36"/>
        <v>81069361.99000001</v>
      </c>
      <c r="J106" s="75">
        <f t="shared" si="36"/>
        <v>100567396.8</v>
      </c>
      <c r="K106" s="75">
        <f t="shared" si="36"/>
        <v>84597904.25999999</v>
      </c>
      <c r="L106" s="75">
        <f t="shared" si="36"/>
        <v>78964000.50999999</v>
      </c>
      <c r="M106" s="75">
        <f t="shared" ref="M106:R106" si="37">+SUM(M107:M115)</f>
        <v>94970976.420000017</v>
      </c>
      <c r="N106" s="75">
        <f t="shared" si="37"/>
        <v>81866855.860000014</v>
      </c>
      <c r="O106" s="75">
        <f t="shared" si="37"/>
        <v>80815803.73999998</v>
      </c>
      <c r="P106" s="75">
        <f t="shared" si="37"/>
        <v>93936445.850000009</v>
      </c>
      <c r="Q106" s="75">
        <f t="shared" si="37"/>
        <v>91854698.299999997</v>
      </c>
      <c r="R106" s="76">
        <f t="shared" si="37"/>
        <v>112771922.60000001</v>
      </c>
      <c r="S106" s="100">
        <f t="shared" si="30"/>
        <v>1054288587.1899999</v>
      </c>
      <c r="T106" s="435">
        <f t="shared" si="31"/>
        <v>15.915374522801281</v>
      </c>
      <c r="V106" s="275"/>
      <c r="W106" s="275"/>
    </row>
    <row r="107" spans="1:23">
      <c r="A107" s="105" t="str">
        <f t="shared" si="25"/>
        <v>411p</v>
      </c>
      <c r="B107" s="622" t="str">
        <f>+VLOOKUP(LEFT($A107,LEN(A107)-1)*1,Master!$D$30:$G$229,4,FALSE)</f>
        <v>Bruto zarade i doprinosi na teret poslodavca</v>
      </c>
      <c r="C107" s="623"/>
      <c r="D107" s="623"/>
      <c r="E107" s="623"/>
      <c r="F107" s="623"/>
      <c r="G107" s="77">
        <v>40912611.519999981</v>
      </c>
      <c r="H107" s="77">
        <v>53719884.62999998</v>
      </c>
      <c r="I107" s="77">
        <v>53690308.509999998</v>
      </c>
      <c r="J107" s="77">
        <v>51811285.369999997</v>
      </c>
      <c r="K107" s="77">
        <v>51811014.989999995</v>
      </c>
      <c r="L107" s="77">
        <v>51811018.119999997</v>
      </c>
      <c r="M107" s="77">
        <v>51929663.729999997</v>
      </c>
      <c r="N107" s="77">
        <v>51915159.310000002</v>
      </c>
      <c r="O107" s="77">
        <v>51913746.32</v>
      </c>
      <c r="P107" s="77">
        <v>51913177.569999985</v>
      </c>
      <c r="Q107" s="77">
        <v>51907184.879999995</v>
      </c>
      <c r="R107" s="77">
        <f>63970907.57+366.55</f>
        <v>63971274.119999997</v>
      </c>
      <c r="S107" s="101">
        <f t="shared" si="30"/>
        <v>627306329.07000005</v>
      </c>
      <c r="T107" s="436">
        <f t="shared" si="31"/>
        <v>9.4697175792091066</v>
      </c>
      <c r="V107" s="488"/>
    </row>
    <row r="108" spans="1:23">
      <c r="A108" s="105" t="str">
        <f t="shared" si="25"/>
        <v>412p</v>
      </c>
      <c r="B108" s="622" t="str">
        <f>+VLOOKUP(LEFT($A108,LEN(A108)-1)*1,Master!$D$30:$G$229,4,FALSE)</f>
        <v>Ostala lična primanja</v>
      </c>
      <c r="C108" s="623"/>
      <c r="D108" s="623"/>
      <c r="E108" s="623"/>
      <c r="F108" s="623"/>
      <c r="G108" s="77">
        <v>1165964.5099999995</v>
      </c>
      <c r="H108" s="77">
        <v>1655470.5600000005</v>
      </c>
      <c r="I108" s="77">
        <v>1609325.4600000002</v>
      </c>
      <c r="J108" s="77">
        <v>1540575.46</v>
      </c>
      <c r="K108" s="77">
        <v>1497392.13</v>
      </c>
      <c r="L108" s="77">
        <v>1495762.0999999996</v>
      </c>
      <c r="M108" s="77">
        <v>1729357.3499999999</v>
      </c>
      <c r="N108" s="77">
        <v>1675061.92</v>
      </c>
      <c r="O108" s="77">
        <v>1685727.83</v>
      </c>
      <c r="P108" s="77">
        <v>1678180.67</v>
      </c>
      <c r="Q108" s="77">
        <v>1850540.7499999998</v>
      </c>
      <c r="R108" s="77">
        <v>2068659.9999999998</v>
      </c>
      <c r="S108" s="101">
        <f t="shared" si="30"/>
        <v>19652018.739999998</v>
      </c>
      <c r="T108" s="436">
        <f t="shared" si="31"/>
        <v>0.29666378084375794</v>
      </c>
      <c r="V108" s="488"/>
    </row>
    <row r="109" spans="1:23">
      <c r="A109" s="105" t="str">
        <f t="shared" si="25"/>
        <v>413p</v>
      </c>
      <c r="B109" s="622" t="str">
        <f>+VLOOKUP(LEFT($A109,LEN(A109)-1)*1,Master!$D$30:$G$229,4,FALSE)</f>
        <v>Rashodi za materijal</v>
      </c>
      <c r="C109" s="623"/>
      <c r="D109" s="623"/>
      <c r="E109" s="623"/>
      <c r="F109" s="623"/>
      <c r="G109" s="77">
        <v>5182242.0599999996</v>
      </c>
      <c r="H109" s="77">
        <v>3920733.4100000006</v>
      </c>
      <c r="I109" s="77">
        <v>3493205.9000000008</v>
      </c>
      <c r="J109" s="77">
        <v>3370769.6700000009</v>
      </c>
      <c r="K109" s="77">
        <v>3856859.5300000012</v>
      </c>
      <c r="L109" s="77">
        <v>5585838.6699999999</v>
      </c>
      <c r="M109" s="77">
        <v>7274194.5</v>
      </c>
      <c r="N109" s="77">
        <v>4335388.25</v>
      </c>
      <c r="O109" s="77">
        <v>4231272.1999999993</v>
      </c>
      <c r="P109" s="77">
        <v>4144269.8699999992</v>
      </c>
      <c r="Q109" s="77">
        <v>4526021.2399999993</v>
      </c>
      <c r="R109" s="77">
        <f>3848934.29-43000</f>
        <v>3805934.29</v>
      </c>
      <c r="S109" s="101">
        <f t="shared" si="30"/>
        <v>53726729.589999996</v>
      </c>
      <c r="T109" s="436">
        <f t="shared" si="31"/>
        <v>0.81105025104100859</v>
      </c>
      <c r="V109" s="488"/>
    </row>
    <row r="110" spans="1:23">
      <c r="A110" s="105" t="str">
        <f t="shared" si="25"/>
        <v>414p</v>
      </c>
      <c r="B110" s="622" t="str">
        <f>+VLOOKUP(LEFT($A110,LEN(A110)-1)*1,Master!$D$30:$G$229,4,FALSE)</f>
        <v>Rashodi za usluge</v>
      </c>
      <c r="C110" s="623"/>
      <c r="D110" s="623"/>
      <c r="E110" s="623"/>
      <c r="F110" s="623"/>
      <c r="G110" s="77">
        <v>4903806.9999999953</v>
      </c>
      <c r="H110" s="77">
        <v>5497012.4799999967</v>
      </c>
      <c r="I110" s="77">
        <v>5255623.4299999969</v>
      </c>
      <c r="J110" s="77">
        <v>4569713.719999996</v>
      </c>
      <c r="K110" s="77">
        <v>4499440.6099999957</v>
      </c>
      <c r="L110" s="77">
        <v>4528417.7899999954</v>
      </c>
      <c r="M110" s="77">
        <v>6713144.6699999999</v>
      </c>
      <c r="N110" s="77">
        <v>6175898.5099999979</v>
      </c>
      <c r="O110" s="77">
        <v>6240994.7799999993</v>
      </c>
      <c r="P110" s="77">
        <v>6091379.0299999975</v>
      </c>
      <c r="Q110" s="77">
        <v>6109468.629999999</v>
      </c>
      <c r="R110" s="77">
        <f>5878859.37-49097</f>
        <v>5829762.3700000001</v>
      </c>
      <c r="S110" s="101">
        <f t="shared" si="30"/>
        <v>66414663.019999959</v>
      </c>
      <c r="T110" s="436">
        <f t="shared" si="31"/>
        <v>1.0025852964852864</v>
      </c>
      <c r="V110" s="488"/>
    </row>
    <row r="111" spans="1:23">
      <c r="A111" s="105" t="str">
        <f t="shared" si="25"/>
        <v>415p</v>
      </c>
      <c r="B111" s="622" t="str">
        <f>+VLOOKUP(LEFT($A111,LEN(A111)-1)*1,Master!$D$30:$G$229,4,FALSE)</f>
        <v>Rashodi za tekuće održavanje</v>
      </c>
      <c r="C111" s="623"/>
      <c r="D111" s="623"/>
      <c r="E111" s="623"/>
      <c r="F111" s="623"/>
      <c r="G111" s="77">
        <v>2513250.9200000004</v>
      </c>
      <c r="H111" s="77">
        <v>2548372.8700000006</v>
      </c>
      <c r="I111" s="77">
        <v>2555227.9700000002</v>
      </c>
      <c r="J111" s="77">
        <v>2542473.6500000004</v>
      </c>
      <c r="K111" s="77">
        <v>2537575.9700000007</v>
      </c>
      <c r="L111" s="77">
        <v>2476854.13</v>
      </c>
      <c r="M111" s="77">
        <v>3526793.7800000003</v>
      </c>
      <c r="N111" s="77">
        <v>3499062.67</v>
      </c>
      <c r="O111" s="77">
        <v>3410065.46</v>
      </c>
      <c r="P111" s="77">
        <v>3389523.09</v>
      </c>
      <c r="Q111" s="77">
        <v>3371550.8900000006</v>
      </c>
      <c r="R111" s="77">
        <v>3208370.3400000008</v>
      </c>
      <c r="S111" s="101">
        <f t="shared" si="30"/>
        <v>35579121.740000002</v>
      </c>
      <c r="T111" s="436">
        <f t="shared" si="31"/>
        <v>0.53709682013506699</v>
      </c>
      <c r="V111" s="488"/>
    </row>
    <row r="112" spans="1:23">
      <c r="A112" s="105" t="str">
        <f t="shared" si="25"/>
        <v>416p</v>
      </c>
      <c r="B112" s="622" t="str">
        <f>+VLOOKUP(LEFT($A112,LEN(A112)-1)*1,Master!$D$30:$G$229,4,FALSE)</f>
        <v>Kamate</v>
      </c>
      <c r="C112" s="623"/>
      <c r="D112" s="623"/>
      <c r="E112" s="623"/>
      <c r="F112" s="623"/>
      <c r="G112" s="77">
        <v>5442120.379999999</v>
      </c>
      <c r="H112" s="77">
        <v>2441310.6099999994</v>
      </c>
      <c r="I112" s="77">
        <v>2001828.5300000005</v>
      </c>
      <c r="J112" s="77">
        <v>24590093.790000003</v>
      </c>
      <c r="K112" s="77">
        <v>10610307.359999999</v>
      </c>
      <c r="L112" s="77">
        <v>3076552.5300000007</v>
      </c>
      <c r="M112" s="77">
        <v>9738888.0899999999</v>
      </c>
      <c r="N112" s="77">
        <v>2779747.3099999996</v>
      </c>
      <c r="O112" s="77">
        <v>1876426.6100000003</v>
      </c>
      <c r="P112" s="77">
        <v>14798289.619999999</v>
      </c>
      <c r="Q112" s="77">
        <v>8831135.459999999</v>
      </c>
      <c r="R112" s="77">
        <v>23741109.09</v>
      </c>
      <c r="S112" s="101">
        <f t="shared" si="30"/>
        <v>109927809.38000001</v>
      </c>
      <c r="T112" s="436">
        <f t="shared" si="31"/>
        <v>1.6594529031343028</v>
      </c>
      <c r="V112" s="488"/>
    </row>
    <row r="113" spans="1:22">
      <c r="A113" s="105" t="str">
        <f t="shared" si="25"/>
        <v>417p</v>
      </c>
      <c r="B113" s="622" t="str">
        <f>+VLOOKUP(LEFT($A113,LEN(A113)-1)*1,Master!$D$30:$G$229,4,FALSE)</f>
        <v>Renta</v>
      </c>
      <c r="C113" s="623"/>
      <c r="D113" s="623"/>
      <c r="E113" s="623"/>
      <c r="F113" s="623"/>
      <c r="G113" s="77">
        <v>1013549.2999999997</v>
      </c>
      <c r="H113" s="77">
        <v>924144.61999999965</v>
      </c>
      <c r="I113" s="77">
        <v>907422.25999999966</v>
      </c>
      <c r="J113" s="77">
        <v>908352.60999999964</v>
      </c>
      <c r="K113" s="77">
        <v>914133.31999999983</v>
      </c>
      <c r="L113" s="77">
        <v>900023.33999999985</v>
      </c>
      <c r="M113" s="77">
        <v>1080755.29</v>
      </c>
      <c r="N113" s="77">
        <v>1073045.7599999998</v>
      </c>
      <c r="O113" s="77">
        <v>1082703.83</v>
      </c>
      <c r="P113" s="77">
        <v>1160848.45</v>
      </c>
      <c r="Q113" s="77">
        <v>1121692.7700000003</v>
      </c>
      <c r="R113" s="77">
        <f>1082716.93+84917.8-0.01</f>
        <v>1167634.72</v>
      </c>
      <c r="S113" s="101">
        <f t="shared" si="30"/>
        <v>12254306.269999998</v>
      </c>
      <c r="T113" s="436">
        <f t="shared" si="31"/>
        <v>0.18498907810809304</v>
      </c>
      <c r="V113" s="488"/>
    </row>
    <row r="114" spans="1:22">
      <c r="A114" s="105" t="str">
        <f t="shared" si="25"/>
        <v>418p</v>
      </c>
      <c r="B114" s="622" t="str">
        <f>+VLOOKUP(LEFT($A114,LEN(A114)-1)*1,Master!$D$30:$G$229,4,FALSE)</f>
        <v>Subvencije</v>
      </c>
      <c r="C114" s="623"/>
      <c r="D114" s="623"/>
      <c r="E114" s="623"/>
      <c r="F114" s="623"/>
      <c r="G114" s="77">
        <v>5902017.9700000007</v>
      </c>
      <c r="H114" s="77">
        <v>5336017.9700000007</v>
      </c>
      <c r="I114" s="77">
        <v>5216117.9700000007</v>
      </c>
      <c r="J114" s="77">
        <v>5169451.3000000007</v>
      </c>
      <c r="K114" s="77">
        <v>4981951.32</v>
      </c>
      <c r="L114" s="77">
        <v>4982351.3599999994</v>
      </c>
      <c r="M114" s="77">
        <v>5318459.6400000006</v>
      </c>
      <c r="N114" s="77">
        <v>4749126.3100000005</v>
      </c>
      <c r="O114" s="77">
        <v>4841793.18</v>
      </c>
      <c r="P114" s="77">
        <v>4841792.9800000004</v>
      </c>
      <c r="Q114" s="77">
        <v>4841792.9800000004</v>
      </c>
      <c r="R114" s="77">
        <v>4792392.9800000004</v>
      </c>
      <c r="S114" s="101">
        <f t="shared" si="30"/>
        <v>60973265.960000008</v>
      </c>
      <c r="T114" s="436">
        <f t="shared" si="31"/>
        <v>0.92044282317255766</v>
      </c>
      <c r="V114" s="488"/>
    </row>
    <row r="115" spans="1:22">
      <c r="A115" s="105" t="str">
        <f t="shared" si="25"/>
        <v>419p</v>
      </c>
      <c r="B115" s="622" t="str">
        <f>+VLOOKUP(LEFT($A115,LEN(A115)-1)*1,Master!$D$30:$G$229,4,FALSE)</f>
        <v>Ostali izdaci</v>
      </c>
      <c r="C115" s="623"/>
      <c r="D115" s="623"/>
      <c r="E115" s="623"/>
      <c r="F115" s="623"/>
      <c r="G115" s="77">
        <v>4864062.17</v>
      </c>
      <c r="H115" s="77">
        <v>4930647.88</v>
      </c>
      <c r="I115" s="77">
        <v>6340301.9600000009</v>
      </c>
      <c r="J115" s="77">
        <v>6064681.2299999986</v>
      </c>
      <c r="K115" s="77">
        <v>3889229.03</v>
      </c>
      <c r="L115" s="77">
        <v>4107182.4699999997</v>
      </c>
      <c r="M115" s="77">
        <v>7659719.3700000038</v>
      </c>
      <c r="N115" s="77">
        <v>5664365.820000004</v>
      </c>
      <c r="O115" s="77">
        <v>5533073.530000004</v>
      </c>
      <c r="P115" s="77">
        <v>5918984.570000004</v>
      </c>
      <c r="Q115" s="77">
        <v>9295310.6999999993</v>
      </c>
      <c r="R115" s="77">
        <f>4255973.43-69188.7-0.04</f>
        <v>4186784.6899999995</v>
      </c>
      <c r="S115" s="101">
        <f t="shared" si="30"/>
        <v>68454343.420000017</v>
      </c>
      <c r="T115" s="436">
        <f t="shared" si="31"/>
        <v>1.0333759906721027</v>
      </c>
      <c r="V115" s="488"/>
    </row>
    <row r="116" spans="1:22">
      <c r="A116" s="105" t="str">
        <f t="shared" si="25"/>
        <v>42p</v>
      </c>
      <c r="B116" s="618" t="str">
        <f>+VLOOKUP(LEFT($A116,LEN(A116)-1)*1,Master!$D$30:$G$229,4,FALSE)</f>
        <v>Transferi za socijalnu zaštitu</v>
      </c>
      <c r="C116" s="619"/>
      <c r="D116" s="619"/>
      <c r="E116" s="619"/>
      <c r="F116" s="619"/>
      <c r="G116" s="74">
        <f t="shared" ref="G116:L116" si="38">+SUM(G117:G121)</f>
        <v>64631162.970000006</v>
      </c>
      <c r="H116" s="74">
        <f t="shared" si="38"/>
        <v>64593275.310000002</v>
      </c>
      <c r="I116" s="74">
        <f t="shared" si="38"/>
        <v>64593275.430000007</v>
      </c>
      <c r="J116" s="74">
        <f t="shared" si="38"/>
        <v>64693275.430000007</v>
      </c>
      <c r="K116" s="74">
        <f t="shared" si="38"/>
        <v>64693275.430000007</v>
      </c>
      <c r="L116" s="74">
        <f t="shared" si="38"/>
        <v>64793279.390000008</v>
      </c>
      <c r="M116" s="74">
        <f t="shared" ref="M116:R116" si="39">+SUM(M117:M121)</f>
        <v>66194886.530000009</v>
      </c>
      <c r="N116" s="74">
        <f t="shared" si="39"/>
        <v>66197971.850000009</v>
      </c>
      <c r="O116" s="74">
        <f t="shared" si="39"/>
        <v>66197971.850000009</v>
      </c>
      <c r="P116" s="74">
        <f t="shared" si="39"/>
        <v>66197971.760000005</v>
      </c>
      <c r="Q116" s="74">
        <f t="shared" si="39"/>
        <v>66197971.850000009</v>
      </c>
      <c r="R116" s="74">
        <f t="shared" si="39"/>
        <v>66197971.939999998</v>
      </c>
      <c r="S116" s="102">
        <f t="shared" si="30"/>
        <v>785182289.74000001</v>
      </c>
      <c r="T116" s="437">
        <f t="shared" si="31"/>
        <v>11.852988225159173</v>
      </c>
      <c r="V116" s="292"/>
    </row>
    <row r="117" spans="1:22">
      <c r="A117" s="105" t="str">
        <f t="shared" si="25"/>
        <v>421p</v>
      </c>
      <c r="B117" s="622" t="str">
        <f>+VLOOKUP(LEFT($A117,LEN(A117)-1)*1,Master!$D$30:$G$229,4,FALSE)</f>
        <v>Prava iz oblasti socijalne zaštite</v>
      </c>
      <c r="C117" s="623"/>
      <c r="D117" s="623"/>
      <c r="E117" s="623"/>
      <c r="F117" s="623"/>
      <c r="G117" s="77">
        <v>15844748.540000001</v>
      </c>
      <c r="H117" s="77">
        <v>15844748.42</v>
      </c>
      <c r="I117" s="77">
        <v>15844748.540000001</v>
      </c>
      <c r="J117" s="77">
        <v>15844748.540000001</v>
      </c>
      <c r="K117" s="77">
        <v>15844748.540000001</v>
      </c>
      <c r="L117" s="77">
        <v>15844748.540000001</v>
      </c>
      <c r="M117" s="77">
        <v>15846148.98</v>
      </c>
      <c r="N117" s="77">
        <v>15849234.300000001</v>
      </c>
      <c r="O117" s="77">
        <v>15849234.300000001</v>
      </c>
      <c r="P117" s="77">
        <v>15849234.300000001</v>
      </c>
      <c r="Q117" s="77">
        <v>15849234.300000001</v>
      </c>
      <c r="R117" s="77">
        <v>15849234.41</v>
      </c>
      <c r="S117" s="101">
        <f t="shared" si="30"/>
        <v>190160811.71000004</v>
      </c>
      <c r="T117" s="436">
        <f t="shared" si="31"/>
        <v>2.8706376742548625</v>
      </c>
      <c r="V117" s="488"/>
    </row>
    <row r="118" spans="1:22">
      <c r="A118" s="105" t="str">
        <f t="shared" si="25"/>
        <v>422p</v>
      </c>
      <c r="B118" s="622" t="str">
        <f>+VLOOKUP(LEFT($A118,LEN(A118)-1)*1,Master!$D$30:$G$229,4,FALSE)</f>
        <v>Sredstva za tehnološke viškove</v>
      </c>
      <c r="C118" s="623"/>
      <c r="D118" s="623"/>
      <c r="E118" s="623"/>
      <c r="F118" s="623"/>
      <c r="G118" s="77">
        <v>1909150.6700000002</v>
      </c>
      <c r="H118" s="77">
        <v>1909150.6700000002</v>
      </c>
      <c r="I118" s="77">
        <v>1909150.6700000002</v>
      </c>
      <c r="J118" s="77">
        <v>1909150.6700000002</v>
      </c>
      <c r="K118" s="77">
        <v>1909150.6700000002</v>
      </c>
      <c r="L118" s="77">
        <v>1909154.6300000001</v>
      </c>
      <c r="M118" s="77">
        <v>2859361.33</v>
      </c>
      <c r="N118" s="77">
        <v>2859361.33</v>
      </c>
      <c r="O118" s="77">
        <v>2859361.33</v>
      </c>
      <c r="P118" s="77">
        <v>2859361.33</v>
      </c>
      <c r="Q118" s="77">
        <v>2859361.33</v>
      </c>
      <c r="R118" s="77">
        <v>2859361.37</v>
      </c>
      <c r="S118" s="101">
        <f t="shared" si="30"/>
        <v>28611075.999999996</v>
      </c>
      <c r="T118" s="436">
        <f t="shared" si="31"/>
        <v>0.43190829870784575</v>
      </c>
      <c r="V118" s="488"/>
    </row>
    <row r="119" spans="1:22">
      <c r="A119" s="105" t="str">
        <f t="shared" si="25"/>
        <v>423p</v>
      </c>
      <c r="B119" s="622" t="str">
        <f>+VLOOKUP(LEFT($A119,LEN(A119)-1)*1,Master!$D$30:$G$229,4,FALSE)</f>
        <v>Prava iz oblasti penzijskog i invalidskog osiguranja</v>
      </c>
      <c r="C119" s="623"/>
      <c r="D119" s="623"/>
      <c r="E119" s="623"/>
      <c r="F119" s="623"/>
      <c r="G119" s="77">
        <v>44272263.760000005</v>
      </c>
      <c r="H119" s="77">
        <v>44134376.220000006</v>
      </c>
      <c r="I119" s="77">
        <v>44134376.220000006</v>
      </c>
      <c r="J119" s="77">
        <v>44134376.220000006</v>
      </c>
      <c r="K119" s="77">
        <v>44134376.220000006</v>
      </c>
      <c r="L119" s="77">
        <v>44134376.220000006</v>
      </c>
      <c r="M119" s="77">
        <v>44134376.220000006</v>
      </c>
      <c r="N119" s="77">
        <v>44134376.220000006</v>
      </c>
      <c r="O119" s="77">
        <v>44134376.220000006</v>
      </c>
      <c r="P119" s="77">
        <v>44134376.130000003</v>
      </c>
      <c r="Q119" s="77">
        <v>44134376.220000006</v>
      </c>
      <c r="R119" s="77">
        <v>44134376.159999996</v>
      </c>
      <c r="S119" s="101">
        <f t="shared" si="30"/>
        <v>529750402.03000009</v>
      </c>
      <c r="T119" s="436">
        <f t="shared" si="31"/>
        <v>7.9970286640241932</v>
      </c>
      <c r="V119" s="488"/>
    </row>
    <row r="120" spans="1:22">
      <c r="A120" s="105" t="str">
        <f t="shared" si="25"/>
        <v>424p</v>
      </c>
      <c r="B120" s="622" t="str">
        <f>+VLOOKUP(LEFT($A120,LEN(A120)-1)*1,Master!$D$30:$G$229,4,FALSE)</f>
        <v>Ostala prava iz oblasti zdravstvene zaštite</v>
      </c>
      <c r="C120" s="623"/>
      <c r="D120" s="623"/>
      <c r="E120" s="623"/>
      <c r="F120" s="623"/>
      <c r="G120" s="77">
        <v>1755000</v>
      </c>
      <c r="H120" s="77">
        <v>1755000</v>
      </c>
      <c r="I120" s="77">
        <v>1755000</v>
      </c>
      <c r="J120" s="77">
        <v>1755000</v>
      </c>
      <c r="K120" s="77">
        <v>1755000</v>
      </c>
      <c r="L120" s="77">
        <v>1755000</v>
      </c>
      <c r="M120" s="77">
        <v>1755000</v>
      </c>
      <c r="N120" s="77">
        <v>1755000</v>
      </c>
      <c r="O120" s="77">
        <v>1755000</v>
      </c>
      <c r="P120" s="77">
        <v>1755000</v>
      </c>
      <c r="Q120" s="77">
        <v>1755000</v>
      </c>
      <c r="R120" s="77">
        <v>1755000</v>
      </c>
      <c r="S120" s="101">
        <f t="shared" si="30"/>
        <v>21060000</v>
      </c>
      <c r="T120" s="436">
        <f t="shared" si="31"/>
        <v>0.31791844426917854</v>
      </c>
      <c r="V120" s="488"/>
    </row>
    <row r="121" spans="1:22">
      <c r="A121" s="105" t="str">
        <f t="shared" si="25"/>
        <v>425p</v>
      </c>
      <c r="B121" s="622" t="str">
        <f>+VLOOKUP(LEFT($A121,LEN(A121)-1)*1,Master!$D$30:$G$229,4,FALSE)</f>
        <v>Ostala prava iz zdravstvenog osiguranja</v>
      </c>
      <c r="C121" s="623"/>
      <c r="D121" s="623"/>
      <c r="E121" s="623"/>
      <c r="F121" s="623"/>
      <c r="G121" s="77">
        <v>850000</v>
      </c>
      <c r="H121" s="77">
        <v>950000</v>
      </c>
      <c r="I121" s="77">
        <v>950000</v>
      </c>
      <c r="J121" s="77">
        <v>1050000</v>
      </c>
      <c r="K121" s="77">
        <v>1050000</v>
      </c>
      <c r="L121" s="77">
        <v>1150000</v>
      </c>
      <c r="M121" s="77">
        <v>1600000</v>
      </c>
      <c r="N121" s="77">
        <v>1600000</v>
      </c>
      <c r="O121" s="77">
        <v>1600000</v>
      </c>
      <c r="P121" s="77">
        <v>1600000</v>
      </c>
      <c r="Q121" s="77">
        <v>1600000</v>
      </c>
      <c r="R121" s="77">
        <v>1600000</v>
      </c>
      <c r="S121" s="101">
        <f t="shared" si="30"/>
        <v>15600000</v>
      </c>
      <c r="T121" s="436">
        <f t="shared" si="31"/>
        <v>0.23549514390309523</v>
      </c>
      <c r="V121" s="488"/>
    </row>
    <row r="122" spans="1:22">
      <c r="A122" s="105" t="str">
        <f t="shared" si="25"/>
        <v>43p</v>
      </c>
      <c r="B122" s="620" t="str">
        <f>+VLOOKUP(LEFT($A122,LEN(A122)-1)*1,Master!$D$30:$G$229,4,FALSE)</f>
        <v xml:space="preserve">Transferi institucijama, pojedincima, nevladinom i javnom sektoru </v>
      </c>
      <c r="C122" s="621"/>
      <c r="D122" s="621"/>
      <c r="E122" s="621"/>
      <c r="F122" s="621"/>
      <c r="G122" s="73">
        <v>13426609.789999997</v>
      </c>
      <c r="H122" s="73">
        <v>24954537.810000002</v>
      </c>
      <c r="I122" s="73">
        <v>33895566.079999998</v>
      </c>
      <c r="J122" s="73">
        <v>24784469.770000003</v>
      </c>
      <c r="K122" s="73">
        <v>25016309.34</v>
      </c>
      <c r="L122" s="73">
        <v>25865702.82</v>
      </c>
      <c r="M122" s="73">
        <v>44313993.49000001</v>
      </c>
      <c r="N122" s="73">
        <v>30937460.280000001</v>
      </c>
      <c r="O122" s="73">
        <v>36630444.020000003</v>
      </c>
      <c r="P122" s="73">
        <v>31446133.059999999</v>
      </c>
      <c r="Q122" s="73">
        <v>30458525.310000002</v>
      </c>
      <c r="R122" s="73">
        <f>31380558.45-680724.2+0.04</f>
        <v>30699834.289999999</v>
      </c>
      <c r="S122" s="102">
        <f>+SUM(G122:R122)</f>
        <v>352429586.06000006</v>
      </c>
      <c r="T122" s="437">
        <f t="shared" si="31"/>
        <v>5.320221543904359</v>
      </c>
      <c r="V122" s="488"/>
    </row>
    <row r="123" spans="1:22">
      <c r="A123" s="105" t="str">
        <f t="shared" si="25"/>
        <v>44p</v>
      </c>
      <c r="B123" s="620" t="str">
        <f>+VLOOKUP(LEFT($A123,LEN(A123)-1)*1,Master!$D$30:$G$229,4,FALSE)</f>
        <v>Kapitalni izdaci</v>
      </c>
      <c r="C123" s="621"/>
      <c r="D123" s="621"/>
      <c r="E123" s="621"/>
      <c r="F123" s="621"/>
      <c r="G123" s="73">
        <f>20412001.55-G134</f>
        <v>20405334.879999999</v>
      </c>
      <c r="H123" s="73">
        <f>18094316.04-H134</f>
        <v>18087649.369999997</v>
      </c>
      <c r="I123" s="73">
        <f>19062944.96-I134</f>
        <v>18677278.289999999</v>
      </c>
      <c r="J123" s="73">
        <f>19443197.22-J134</f>
        <v>19136530.549999997</v>
      </c>
      <c r="K123" s="73">
        <f>19674125.2-K134</f>
        <v>19667458.529999997</v>
      </c>
      <c r="L123" s="73">
        <f>18915702.28-L134</f>
        <v>18909035.630000003</v>
      </c>
      <c r="M123" s="73">
        <f>26124418.27-M134</f>
        <v>26114418.27</v>
      </c>
      <c r="N123" s="73">
        <f>23948047.32-N134</f>
        <v>23938047.32</v>
      </c>
      <c r="O123" s="73">
        <f>22585312.23-O134</f>
        <v>22575312.23</v>
      </c>
      <c r="P123" s="73">
        <f>21462007.16-P134</f>
        <v>21452007.16</v>
      </c>
      <c r="Q123" s="73">
        <f>21427329.81-Q134</f>
        <v>21417329.809999999</v>
      </c>
      <c r="R123" s="73">
        <f>20634123.89+74001-R134</f>
        <v>20698124.890000001</v>
      </c>
      <c r="S123" s="102">
        <f>+SUM(G123:R123)</f>
        <v>251078526.93000001</v>
      </c>
      <c r="T123" s="437">
        <f t="shared" si="31"/>
        <v>3.7902419122024051</v>
      </c>
      <c r="U123" s="292"/>
      <c r="V123" s="488"/>
    </row>
    <row r="124" spans="1:22">
      <c r="A124" s="105" t="str">
        <f t="shared" si="25"/>
        <v>451p</v>
      </c>
      <c r="B124" s="612" t="str">
        <f>+VLOOKUP(LEFT($A124,LEN(A124)-1)*1,Master!$D$30:$G$229,4,FALSE)</f>
        <v>Pozajmice i krediti</v>
      </c>
      <c r="C124" s="613"/>
      <c r="D124" s="613"/>
      <c r="E124" s="613"/>
      <c r="F124" s="613"/>
      <c r="G124" s="77">
        <v>1607</v>
      </c>
      <c r="H124" s="77">
        <v>1001600</v>
      </c>
      <c r="I124" s="77">
        <v>501600</v>
      </c>
      <c r="J124" s="77">
        <v>501600</v>
      </c>
      <c r="K124" s="77">
        <v>491600</v>
      </c>
      <c r="L124" s="77">
        <v>491600</v>
      </c>
      <c r="M124" s="77">
        <v>2400</v>
      </c>
      <c r="N124" s="77">
        <v>2400</v>
      </c>
      <c r="O124" s="77">
        <v>502400</v>
      </c>
      <c r="P124" s="77">
        <v>502400</v>
      </c>
      <c r="Q124" s="77">
        <v>262400</v>
      </c>
      <c r="R124" s="77">
        <v>262400</v>
      </c>
      <c r="S124" s="101">
        <f t="shared" si="30"/>
        <v>4524007</v>
      </c>
      <c r="T124" s="436">
        <f t="shared" si="31"/>
        <v>6.829369740279552E-2</v>
      </c>
      <c r="U124" s="292"/>
      <c r="V124" s="488"/>
    </row>
    <row r="125" spans="1:22">
      <c r="A125" s="105" t="str">
        <f t="shared" si="25"/>
        <v>47p</v>
      </c>
      <c r="B125" s="612" t="str">
        <f>+VLOOKUP(LEFT($A125,LEN(A125)-1)*1,Master!$D$30:$G$229,4,FALSE)</f>
        <v>Rezerve</v>
      </c>
      <c r="C125" s="613"/>
      <c r="D125" s="613"/>
      <c r="E125" s="613"/>
      <c r="F125" s="613"/>
      <c r="G125" s="77">
        <v>2554609.09</v>
      </c>
      <c r="H125" s="77">
        <v>3237333.25</v>
      </c>
      <c r="I125" s="77">
        <v>3237333.25</v>
      </c>
      <c r="J125" s="77">
        <v>3237333.25</v>
      </c>
      <c r="K125" s="77">
        <v>3237333.25</v>
      </c>
      <c r="L125" s="77">
        <v>3237333.25</v>
      </c>
      <c r="M125" s="77">
        <v>3237333.25</v>
      </c>
      <c r="N125" s="77">
        <v>3237333.25</v>
      </c>
      <c r="O125" s="77">
        <v>3237333.25</v>
      </c>
      <c r="P125" s="77">
        <v>3237333.25</v>
      </c>
      <c r="Q125" s="77">
        <v>3237333.25</v>
      </c>
      <c r="R125" s="77">
        <f>3237333.25+682724.2-0.04</f>
        <v>3920057.41</v>
      </c>
      <c r="S125" s="101">
        <f t="shared" si="30"/>
        <v>38847999</v>
      </c>
      <c r="T125" s="436">
        <f t="shared" si="31"/>
        <v>0.58644327659309614</v>
      </c>
      <c r="U125" s="292"/>
      <c r="V125" s="488"/>
    </row>
    <row r="126" spans="1:22">
      <c r="A126" s="105" t="str">
        <f t="shared" si="25"/>
        <v>462p</v>
      </c>
      <c r="B126" s="612" t="str">
        <f>+VLOOKUP(LEFT($A126,LEN(A126)-1)*1,Master!$D$30:$G$229,4,FALSE)</f>
        <v>Otplata garancija</v>
      </c>
      <c r="C126" s="613"/>
      <c r="D126" s="613"/>
      <c r="E126" s="613"/>
      <c r="F126" s="613"/>
      <c r="G126" s="77">
        <v>0.16</v>
      </c>
      <c r="H126" s="77">
        <v>0.16</v>
      </c>
      <c r="I126" s="77">
        <v>0.16</v>
      </c>
      <c r="J126" s="77">
        <v>0.16</v>
      </c>
      <c r="K126" s="77">
        <v>0.16</v>
      </c>
      <c r="L126" s="77">
        <v>0.16</v>
      </c>
      <c r="M126" s="77">
        <v>0.16</v>
      </c>
      <c r="N126" s="77">
        <v>0.16</v>
      </c>
      <c r="O126" s="77">
        <v>0.16</v>
      </c>
      <c r="P126" s="77">
        <v>0.16</v>
      </c>
      <c r="Q126" s="77">
        <v>0.16</v>
      </c>
      <c r="R126" s="77">
        <v>0.24</v>
      </c>
      <c r="S126" s="101">
        <f t="shared" si="30"/>
        <v>1.9999999999999998</v>
      </c>
      <c r="T126" s="436">
        <f t="shared" si="31"/>
        <v>3.0191685115781435E-8</v>
      </c>
      <c r="U126" s="292"/>
      <c r="V126" s="488"/>
    </row>
    <row r="127" spans="1:22">
      <c r="A127" s="106" t="str">
        <f t="shared" si="25"/>
        <v>4630p</v>
      </c>
      <c r="B127" s="612" t="str">
        <f>+VLOOKUP(LEFT($A127,LEN(A127)-1)*1,Master!$D$30:$G$229,4,FALSE)</f>
        <v>Otplata obaveza iz prethodnog perioda</v>
      </c>
      <c r="C127" s="613"/>
      <c r="D127" s="613"/>
      <c r="E127" s="613"/>
      <c r="F127" s="613"/>
      <c r="G127" s="77">
        <v>2590915.3400000045</v>
      </c>
      <c r="H127" s="77">
        <v>2056111.4400000044</v>
      </c>
      <c r="I127" s="77">
        <v>2082110.4200000043</v>
      </c>
      <c r="J127" s="77">
        <v>2129110.4200000046</v>
      </c>
      <c r="K127" s="77">
        <v>2064110.3700000043</v>
      </c>
      <c r="L127" s="77">
        <v>2217108.3900000043</v>
      </c>
      <c r="M127" s="77">
        <v>2395112.6500000046</v>
      </c>
      <c r="N127" s="77">
        <v>2397112.6500000046</v>
      </c>
      <c r="O127" s="77">
        <v>2373362.9000000046</v>
      </c>
      <c r="P127" s="77">
        <v>2393362.9000000046</v>
      </c>
      <c r="Q127" s="77">
        <v>2373363.8700000048</v>
      </c>
      <c r="R127" s="77">
        <v>2360369.3100000061</v>
      </c>
      <c r="S127" s="92">
        <f>+SUM(G127:R127)</f>
        <v>27432150.66000006</v>
      </c>
      <c r="T127" s="444">
        <f t="shared" si="31"/>
        <v>0.4141114273876989</v>
      </c>
      <c r="U127" s="292"/>
      <c r="V127" s="488"/>
    </row>
    <row r="128" spans="1:22" ht="13.5" thickBot="1">
      <c r="A128" s="105" t="str">
        <f t="shared" si="25"/>
        <v>1005p</v>
      </c>
      <c r="B128" s="612" t="str">
        <f>+VLOOKUP(LEFT($A128,LEN(A128)-1)*1,Master!$D$30:$G$229,4,FALSE)</f>
        <v>Neto povećanje obaveza</v>
      </c>
      <c r="C128" s="613"/>
      <c r="D128" s="613"/>
      <c r="E128" s="613"/>
      <c r="F128" s="613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31"/>
        <v>0</v>
      </c>
      <c r="U128" s="292"/>
      <c r="V128" s="292"/>
    </row>
    <row r="129" spans="1:22" ht="13.5" thickBot="1">
      <c r="A129" s="106" t="str">
        <f t="shared" si="25"/>
        <v>1000p</v>
      </c>
      <c r="B129" s="614" t="str">
        <f>+VLOOKUP(LEFT($A129,LEN(A129)-1)*1,Master!$D$30:$G$226,4,FALSE)</f>
        <v>Suficit / deficit</v>
      </c>
      <c r="C129" s="615"/>
      <c r="D129" s="615"/>
      <c r="E129" s="615"/>
      <c r="F129" s="615"/>
      <c r="G129" s="82">
        <f t="shared" ref="G129:R129" si="40">+G86-G105</f>
        <v>-22397133.607592493</v>
      </c>
      <c r="H129" s="82">
        <f t="shared" si="40"/>
        <v>-67071345.814519361</v>
      </c>
      <c r="I129" s="82">
        <f t="shared" si="40"/>
        <v>-2316292.9897459149</v>
      </c>
      <c r="J129" s="82">
        <f t="shared" si="40"/>
        <v>-17885734.609765023</v>
      </c>
      <c r="K129" s="82">
        <f t="shared" si="40"/>
        <v>-41471663.368712515</v>
      </c>
      <c r="L129" s="82">
        <f t="shared" si="40"/>
        <v>-27277595.668724924</v>
      </c>
      <c r="M129" s="82">
        <f t="shared" si="40"/>
        <v>-55367145.076071084</v>
      </c>
      <c r="N129" s="82">
        <f t="shared" si="40"/>
        <v>-6467668.1569713652</v>
      </c>
      <c r="O129" s="82">
        <f t="shared" si="40"/>
        <v>-27310745.93416518</v>
      </c>
      <c r="P129" s="82">
        <f t="shared" si="40"/>
        <v>-41600384.900887519</v>
      </c>
      <c r="Q129" s="82">
        <f t="shared" si="40"/>
        <v>-46834285.210350275</v>
      </c>
      <c r="R129" s="82">
        <f t="shared" si="40"/>
        <v>-10316938.668598384</v>
      </c>
      <c r="S129" s="95">
        <f t="shared" si="30"/>
        <v>-366316934.00610411</v>
      </c>
      <c r="T129" s="442">
        <f t="shared" si="31"/>
        <v>-5.5298627620453926</v>
      </c>
      <c r="U129" s="292"/>
      <c r="V129" s="292"/>
    </row>
    <row r="130" spans="1:22" ht="13.5" thickBot="1">
      <c r="A130" s="106" t="str">
        <f t="shared" si="25"/>
        <v>1001p</v>
      </c>
      <c r="B130" s="616" t="str">
        <f>+VLOOKUP(LEFT($A130,LEN(A130)-1)*1,Master!$D$30:$G$226,4,FALSE)</f>
        <v>Primarni suficit/deficit</v>
      </c>
      <c r="C130" s="617"/>
      <c r="D130" s="617"/>
      <c r="E130" s="617"/>
      <c r="F130" s="617"/>
      <c r="G130" s="83">
        <f>+G129+G112</f>
        <v>-16955013.227592494</v>
      </c>
      <c r="H130" s="83">
        <f t="shared" ref="H130:R130" si="41">+H129+H112</f>
        <v>-64630035.204519361</v>
      </c>
      <c r="I130" s="83">
        <f t="shared" si="41"/>
        <v>-314464.45974591444</v>
      </c>
      <c r="J130" s="83">
        <f t="shared" si="41"/>
        <v>6704359.1802349798</v>
      </c>
      <c r="K130" s="83">
        <f t="shared" si="41"/>
        <v>-30861356.008712515</v>
      </c>
      <c r="L130" s="83">
        <f t="shared" si="41"/>
        <v>-24201043.138724923</v>
      </c>
      <c r="M130" s="83">
        <f t="shared" si="41"/>
        <v>-45628256.98607108</v>
      </c>
      <c r="N130" s="83">
        <f t="shared" si="41"/>
        <v>-3687920.8469713656</v>
      </c>
      <c r="O130" s="83">
        <f t="shared" si="41"/>
        <v>-25434319.32416518</v>
      </c>
      <c r="P130" s="83">
        <f t="shared" si="41"/>
        <v>-26802095.280887522</v>
      </c>
      <c r="Q130" s="83">
        <f t="shared" si="41"/>
        <v>-38003149.750350274</v>
      </c>
      <c r="R130" s="83">
        <f t="shared" si="41"/>
        <v>13424170.421401616</v>
      </c>
      <c r="S130" s="95">
        <f t="shared" si="30"/>
        <v>-256389124.626104</v>
      </c>
      <c r="T130" s="442">
        <f t="shared" si="31"/>
        <v>-3.8704098589110885</v>
      </c>
      <c r="U130" s="292"/>
      <c r="V130" s="292"/>
    </row>
    <row r="131" spans="1:22">
      <c r="A131" s="106" t="str">
        <f t="shared" si="25"/>
        <v>46p</v>
      </c>
      <c r="B131" s="618" t="str">
        <f>+VLOOKUP(LEFT($A131,LEN(A131)-1)*1,Master!$D$30:$G$226,4,FALSE)</f>
        <v>Otplata dugova</v>
      </c>
      <c r="C131" s="619"/>
      <c r="D131" s="619"/>
      <c r="E131" s="619"/>
      <c r="F131" s="619"/>
      <c r="G131" s="74">
        <f>+SUM(G132:G133)</f>
        <v>30842089.259999998</v>
      </c>
      <c r="H131" s="74">
        <f t="shared" ref="H131:L131" si="42">+SUM(H132:H133)</f>
        <v>6803111.790000001</v>
      </c>
      <c r="I131" s="74">
        <f t="shared" si="42"/>
        <v>9004349.7899999991</v>
      </c>
      <c r="J131" s="74">
        <f t="shared" si="42"/>
        <v>7976370.0700000003</v>
      </c>
      <c r="K131" s="74">
        <f t="shared" si="42"/>
        <v>92780108.99000001</v>
      </c>
      <c r="L131" s="74">
        <f t="shared" si="42"/>
        <v>14226825.530000001</v>
      </c>
      <c r="M131" s="456">
        <f t="shared" ref="M131:R131" si="43">+SUM(M132:M133)</f>
        <v>40968432.359999999</v>
      </c>
      <c r="N131" s="74">
        <f t="shared" si="43"/>
        <v>9320542.290000001</v>
      </c>
      <c r="O131" s="74">
        <f t="shared" si="43"/>
        <v>19467352.800000001</v>
      </c>
      <c r="P131" s="74">
        <f t="shared" si="43"/>
        <v>19749872.740000002</v>
      </c>
      <c r="Q131" s="74">
        <f t="shared" si="43"/>
        <v>64752298.200000003</v>
      </c>
      <c r="R131" s="74">
        <f t="shared" si="43"/>
        <v>22194542.870000001</v>
      </c>
      <c r="S131" s="93">
        <f t="shared" si="30"/>
        <v>338085896.69000006</v>
      </c>
      <c r="T131" s="443">
        <f t="shared" si="31"/>
        <v>5.1036914674755485</v>
      </c>
      <c r="U131" s="292"/>
      <c r="V131" s="292"/>
    </row>
    <row r="132" spans="1:22">
      <c r="A132" s="106" t="str">
        <f t="shared" si="25"/>
        <v>4611p</v>
      </c>
      <c r="B132" s="610" t="str">
        <f>+VLOOKUP(LEFT($A132,LEN(A132)-1)*1,Master!$D$30:$G$226,4,FALSE)</f>
        <v>Otplata hartija od vrijednosti i kredita rezidentima</v>
      </c>
      <c r="C132" s="611"/>
      <c r="D132" s="611"/>
      <c r="E132" s="611"/>
      <c r="F132" s="611"/>
      <c r="G132" s="85">
        <v>2477159.06</v>
      </c>
      <c r="H132" s="85">
        <v>2428191.7600000002</v>
      </c>
      <c r="I132" s="85">
        <v>938890.91</v>
      </c>
      <c r="J132" s="85">
        <v>2699238.12</v>
      </c>
      <c r="K132" s="85">
        <v>45296973.57</v>
      </c>
      <c r="L132" s="85">
        <v>3740213.81</v>
      </c>
      <c r="M132" s="85">
        <v>2522037.56</v>
      </c>
      <c r="N132" s="85">
        <v>2461861.56</v>
      </c>
      <c r="O132" s="85">
        <v>746378.5</v>
      </c>
      <c r="P132" s="85">
        <v>12943542.380000001</v>
      </c>
      <c r="Q132" s="85">
        <v>19547811.449999999</v>
      </c>
      <c r="R132" s="85">
        <v>753598.01</v>
      </c>
      <c r="S132" s="92">
        <f t="shared" si="30"/>
        <v>96555896.690000013</v>
      </c>
      <c r="T132" s="444">
        <f t="shared" si="31"/>
        <v>1.4575926144682019</v>
      </c>
      <c r="U132" s="292"/>
      <c r="V132" s="292"/>
    </row>
    <row r="133" spans="1:22" ht="13.5" thickBot="1">
      <c r="A133" s="106" t="str">
        <f t="shared" si="25"/>
        <v>4612p</v>
      </c>
      <c r="B133" s="612" t="str">
        <f>+VLOOKUP(LEFT($A133,LEN(A133)-1)*1,Master!$D$30:$G$226,4,FALSE)</f>
        <v>Otplata hartija od vrijednosti i kredita nerezidentima</v>
      </c>
      <c r="C133" s="613"/>
      <c r="D133" s="613"/>
      <c r="E133" s="613"/>
      <c r="F133" s="613"/>
      <c r="G133" s="85">
        <v>28364930.199999999</v>
      </c>
      <c r="H133" s="85">
        <v>4374920.03</v>
      </c>
      <c r="I133" s="85">
        <v>8065458.8799999999</v>
      </c>
      <c r="J133" s="85">
        <v>5277131.95</v>
      </c>
      <c r="K133" s="85">
        <v>47483135.420000002</v>
      </c>
      <c r="L133" s="85">
        <v>10486611.720000001</v>
      </c>
      <c r="M133" s="85">
        <v>38446394.799999997</v>
      </c>
      <c r="N133" s="85">
        <v>6858680.7300000004</v>
      </c>
      <c r="O133" s="85">
        <v>18720974.300000001</v>
      </c>
      <c r="P133" s="85">
        <v>6806330.3600000003</v>
      </c>
      <c r="Q133" s="85">
        <v>45204486.75</v>
      </c>
      <c r="R133" s="85">
        <v>21440944.859999999</v>
      </c>
      <c r="S133" s="92">
        <f t="shared" si="30"/>
        <v>241530000</v>
      </c>
      <c r="T133" s="444">
        <f t="shared" si="31"/>
        <v>3.6460988530073459</v>
      </c>
      <c r="U133" s="292"/>
      <c r="V133" s="292"/>
    </row>
    <row r="134" spans="1:22" ht="13.5" thickBot="1">
      <c r="A134" s="106" t="str">
        <f t="shared" si="25"/>
        <v>4418p</v>
      </c>
      <c r="B134" s="606" t="str">
        <f>+VLOOKUP(LEFT($A134,LEN(A134)-1)*1,Master!$D$30:$G$226,4,FALSE)</f>
        <v>Izdaci za kupovinu hartija od vrijednosti</v>
      </c>
      <c r="C134" s="607"/>
      <c r="D134" s="607"/>
      <c r="E134" s="607"/>
      <c r="F134" s="607"/>
      <c r="G134" s="82">
        <v>6666.67</v>
      </c>
      <c r="H134" s="82">
        <v>6666.67</v>
      </c>
      <c r="I134" s="82">
        <v>385666.67</v>
      </c>
      <c r="J134" s="82">
        <v>306666.67</v>
      </c>
      <c r="K134" s="82">
        <v>6666.67</v>
      </c>
      <c r="L134" s="82">
        <v>6666.65</v>
      </c>
      <c r="M134" s="82">
        <v>10000</v>
      </c>
      <c r="N134" s="82">
        <v>10000</v>
      </c>
      <c r="O134" s="82">
        <v>10000</v>
      </c>
      <c r="P134" s="82">
        <v>10000</v>
      </c>
      <c r="Q134" s="82">
        <v>10000</v>
      </c>
      <c r="R134" s="82">
        <v>10000</v>
      </c>
      <c r="S134" s="421">
        <f t="shared" si="30"/>
        <v>779000</v>
      </c>
      <c r="T134" s="451">
        <f t="shared" si="31"/>
        <v>1.1759661352596871E-2</v>
      </c>
      <c r="U134" s="292"/>
      <c r="V134" s="292"/>
    </row>
    <row r="135" spans="1:22" ht="13.5" thickBot="1">
      <c r="A135" s="106" t="s">
        <v>856</v>
      </c>
      <c r="B135" s="606" t="s">
        <v>113</v>
      </c>
      <c r="C135" s="607"/>
      <c r="D135" s="607"/>
      <c r="E135" s="607"/>
      <c r="F135" s="607"/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421">
        <f t="shared" si="30"/>
        <v>0</v>
      </c>
      <c r="T135" s="451">
        <f t="shared" si="31"/>
        <v>0</v>
      </c>
      <c r="U135" s="292"/>
      <c r="V135" s="292"/>
    </row>
    <row r="136" spans="1:22" ht="13.5" thickBot="1">
      <c r="A136" s="106" t="str">
        <f>+CONCATENATE(A60,"p")</f>
        <v>1002p</v>
      </c>
      <c r="B136" s="608" t="str">
        <f>+VLOOKUP(LEFT($A136,LEN(A136)-1)*1,Master!$D$30:$G$226,4,FALSE)</f>
        <v>Nedostajuća sredstva</v>
      </c>
      <c r="C136" s="609"/>
      <c r="D136" s="609"/>
      <c r="E136" s="609"/>
      <c r="F136" s="609"/>
      <c r="G136" s="67">
        <f t="shared" ref="G136:R136" si="44">+G129-G131-G134</f>
        <v>-53245889.537592493</v>
      </c>
      <c r="H136" s="67">
        <f t="shared" si="44"/>
        <v>-73881124.274519369</v>
      </c>
      <c r="I136" s="67">
        <f t="shared" si="44"/>
        <v>-11706309.449745914</v>
      </c>
      <c r="J136" s="67">
        <f t="shared" si="44"/>
        <v>-26168771.349765025</v>
      </c>
      <c r="K136" s="67">
        <f t="shared" si="44"/>
        <v>-134258439.02871251</v>
      </c>
      <c r="L136" s="67">
        <f t="shared" si="44"/>
        <v>-41511087.848724924</v>
      </c>
      <c r="M136" s="67">
        <f t="shared" si="44"/>
        <v>-96345577.436071083</v>
      </c>
      <c r="N136" s="67">
        <f t="shared" si="44"/>
        <v>-15798210.446971366</v>
      </c>
      <c r="O136" s="67">
        <f t="shared" si="44"/>
        <v>-46788098.734165177</v>
      </c>
      <c r="P136" s="67">
        <f t="shared" si="44"/>
        <v>-61360257.640887521</v>
      </c>
      <c r="Q136" s="67">
        <f t="shared" si="44"/>
        <v>-111596583.41035028</v>
      </c>
      <c r="R136" s="67">
        <f t="shared" si="44"/>
        <v>-32521481.538598385</v>
      </c>
      <c r="S136" s="98">
        <f t="shared" si="30"/>
        <v>-705181830.69610417</v>
      </c>
      <c r="T136" s="446">
        <f t="shared" si="31"/>
        <v>-10.645313890873538</v>
      </c>
      <c r="U136" s="292"/>
      <c r="V136" s="292"/>
    </row>
    <row r="137" spans="1:22" ht="13.5" thickBot="1">
      <c r="A137" s="106" t="str">
        <f>+CONCATENATE(A61,"p")</f>
        <v>1003p</v>
      </c>
      <c r="B137" s="606" t="str">
        <f>+VLOOKUP(LEFT($A137,LEN(A137)-1)*1,Master!$D$30:$G$226,4,FALSE)</f>
        <v>Finansiranje</v>
      </c>
      <c r="C137" s="607"/>
      <c r="D137" s="607"/>
      <c r="E137" s="607"/>
      <c r="F137" s="607"/>
      <c r="G137" s="82">
        <f t="shared" ref="G137:L137" si="45">+SUM(G138:G142)</f>
        <v>53245889.537592493</v>
      </c>
      <c r="H137" s="82">
        <f t="shared" si="45"/>
        <v>73881124.274519369</v>
      </c>
      <c r="I137" s="82">
        <f t="shared" si="45"/>
        <v>11706309.449745908</v>
      </c>
      <c r="J137" s="82">
        <f t="shared" si="45"/>
        <v>26168771.349765025</v>
      </c>
      <c r="K137" s="82">
        <f t="shared" si="45"/>
        <v>134258439.02871251</v>
      </c>
      <c r="L137" s="82">
        <f t="shared" si="45"/>
        <v>41511087.848724924</v>
      </c>
      <c r="M137" s="82">
        <f t="shared" ref="M137:R137" si="46">+SUM(M138:M142)</f>
        <v>96345577.436071083</v>
      </c>
      <c r="N137" s="82">
        <f t="shared" si="46"/>
        <v>15798210.446971366</v>
      </c>
      <c r="O137" s="82">
        <f t="shared" si="46"/>
        <v>46788098.734165192</v>
      </c>
      <c r="P137" s="82">
        <f t="shared" si="46"/>
        <v>61360257.640887521</v>
      </c>
      <c r="Q137" s="82">
        <f t="shared" si="46"/>
        <v>111596583.41035028</v>
      </c>
      <c r="R137" s="82">
        <f t="shared" si="46"/>
        <v>32521481.538598385</v>
      </c>
      <c r="S137" s="99">
        <f t="shared" si="30"/>
        <v>705181830.69610417</v>
      </c>
      <c r="T137" s="447">
        <f t="shared" si="31"/>
        <v>10.645313890873538</v>
      </c>
      <c r="U137" s="292"/>
      <c r="V137" s="292"/>
    </row>
    <row r="138" spans="1:22">
      <c r="A138" s="106" t="str">
        <f>+CONCATENATE(A62,"p")</f>
        <v>7511p</v>
      </c>
      <c r="B138" s="610" t="str">
        <f>+VLOOKUP(LEFT($A138,LEN(A138)-1)*1,Master!$D$30:$G$226,4,FALSE)</f>
        <v>Pozajmice i krediti od domaćih izvora</v>
      </c>
      <c r="C138" s="611"/>
      <c r="D138" s="611"/>
      <c r="E138" s="611"/>
      <c r="F138" s="611"/>
      <c r="G138" s="85">
        <v>0</v>
      </c>
      <c r="H138" s="85">
        <v>0</v>
      </c>
      <c r="I138" s="85">
        <v>100000000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92">
        <f t="shared" si="30"/>
        <v>100000000</v>
      </c>
      <c r="T138" s="444">
        <f t="shared" si="31"/>
        <v>1.509584255789072</v>
      </c>
      <c r="U138" s="292"/>
      <c r="V138" s="292"/>
    </row>
    <row r="139" spans="1:22">
      <c r="A139" s="106" t="str">
        <f>+CONCATENATE(A63,"p")</f>
        <v>7512p</v>
      </c>
      <c r="B139" s="612" t="str">
        <f>+VLOOKUP(LEFT($A139,LEN(A139)-1)*1,Master!$D$30:$G$226,4,FALSE)</f>
        <v>Pozajmice i krediti od inostranih izvora</v>
      </c>
      <c r="C139" s="613"/>
      <c r="D139" s="613"/>
      <c r="E139" s="613"/>
      <c r="F139" s="613"/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489">
        <v>499181830.68901968</v>
      </c>
      <c r="P139" s="85">
        <v>0</v>
      </c>
      <c r="Q139" s="85">
        <v>0</v>
      </c>
      <c r="R139" s="85">
        <v>0</v>
      </c>
      <c r="S139" s="92">
        <f t="shared" si="30"/>
        <v>499181830.68901968</v>
      </c>
      <c r="T139" s="444">
        <f t="shared" si="31"/>
        <v>7.535570323841104</v>
      </c>
      <c r="U139" s="292"/>
      <c r="V139" s="292"/>
    </row>
    <row r="140" spans="1:22">
      <c r="A140" s="106" t="str">
        <f>+CONCATENATE(A64,"p")</f>
        <v>72p</v>
      </c>
      <c r="B140" s="612" t="str">
        <f>+VLOOKUP(LEFT($A140,LEN(A140)-1)*1,Master!$D$30:$G$226,4,FALSE)</f>
        <v>Primici od prodaje imovine</v>
      </c>
      <c r="C140" s="613"/>
      <c r="D140" s="613"/>
      <c r="E140" s="613"/>
      <c r="F140" s="613"/>
      <c r="G140" s="85">
        <v>500000</v>
      </c>
      <c r="H140" s="85">
        <v>500000</v>
      </c>
      <c r="I140" s="85">
        <v>500000</v>
      </c>
      <c r="J140" s="85">
        <v>500000</v>
      </c>
      <c r="K140" s="85">
        <v>500000</v>
      </c>
      <c r="L140" s="85">
        <v>500000</v>
      </c>
      <c r="M140" s="85">
        <v>500000</v>
      </c>
      <c r="N140" s="85">
        <v>500000</v>
      </c>
      <c r="O140" s="85">
        <v>500000</v>
      </c>
      <c r="P140" s="85">
        <v>500000</v>
      </c>
      <c r="Q140" s="85">
        <v>500000</v>
      </c>
      <c r="R140" s="85">
        <v>500000</v>
      </c>
      <c r="S140" s="92">
        <f t="shared" si="30"/>
        <v>6000000</v>
      </c>
      <c r="T140" s="444">
        <f t="shared" si="31"/>
        <v>9.0575055347344322E-2</v>
      </c>
      <c r="U140" s="292"/>
      <c r="V140" s="292"/>
    </row>
    <row r="141" spans="1:22">
      <c r="A141" s="106" t="s">
        <v>855</v>
      </c>
      <c r="B141" s="496" t="s">
        <v>101</v>
      </c>
      <c r="C141" s="497"/>
      <c r="D141" s="497"/>
      <c r="E141" s="497"/>
      <c r="F141" s="497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92">
        <f>+SUM(G141:R141)</f>
        <v>0</v>
      </c>
      <c r="T141" s="444">
        <f t="shared" si="31"/>
        <v>0</v>
      </c>
      <c r="U141" s="292"/>
      <c r="V141" s="292"/>
    </row>
    <row r="142" spans="1:22" ht="13.5" thickBot="1">
      <c r="A142" s="106" t="str">
        <f t="shared" ref="A142" si="47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-G136-SUM(G138:G140)</f>
        <v>52745889.537592493</v>
      </c>
      <c r="H142" s="86">
        <f t="shared" ref="H142:L142" si="48">-H136-SUM(H138:H140)</f>
        <v>73381124.274519369</v>
      </c>
      <c r="I142" s="86">
        <f t="shared" si="48"/>
        <v>-88793690.550254092</v>
      </c>
      <c r="J142" s="86">
        <f t="shared" si="48"/>
        <v>25668771.349765025</v>
      </c>
      <c r="K142" s="86">
        <f t="shared" si="48"/>
        <v>133758439.02871251</v>
      </c>
      <c r="L142" s="86">
        <f t="shared" si="48"/>
        <v>41011087.848724924</v>
      </c>
      <c r="M142" s="86">
        <f t="shared" ref="M142:R142" si="49">-M136-SUM(M138:M140)</f>
        <v>95845577.436071083</v>
      </c>
      <c r="N142" s="86">
        <f t="shared" si="49"/>
        <v>15298210.446971366</v>
      </c>
      <c r="O142" s="86">
        <f t="shared" si="49"/>
        <v>-452893731.95485449</v>
      </c>
      <c r="P142" s="86">
        <f t="shared" si="49"/>
        <v>60860257.640887521</v>
      </c>
      <c r="Q142" s="86">
        <f t="shared" si="49"/>
        <v>111096583.41035028</v>
      </c>
      <c r="R142" s="86">
        <f t="shared" si="49"/>
        <v>32021481.538598385</v>
      </c>
      <c r="S142" s="94">
        <f>+SUM(G142:R142)</f>
        <v>100000000.00708437</v>
      </c>
      <c r="T142" s="448">
        <f t="shared" si="31"/>
        <v>1.5095842558960164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mergeCells count="117">
    <mergeCell ref="B138:F138"/>
    <mergeCell ref="B139:F139"/>
    <mergeCell ref="B140:F140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G83:R83"/>
    <mergeCell ref="S84:T84"/>
    <mergeCell ref="B86:F86"/>
    <mergeCell ref="B87:F87"/>
    <mergeCell ref="B88:F88"/>
    <mergeCell ref="B89:F89"/>
    <mergeCell ref="B61:F61"/>
    <mergeCell ref="B62:F62"/>
    <mergeCell ref="B63:F63"/>
    <mergeCell ref="B64:F64"/>
    <mergeCell ref="B65:F65"/>
    <mergeCell ref="B83:F85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48"/>
  <sheetViews>
    <sheetView topLeftCell="B1" zoomScaleNormal="100" workbookViewId="0">
      <pane ySplit="1" topLeftCell="A2" activePane="bottomLeft" state="frozen"/>
      <selection pane="bottomLeft" activeCell="P10" sqref="P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2" width="15.85546875" style="243" bestFit="1" customWidth="1"/>
    <col min="23" max="23" width="17.5703125" style="243" customWidth="1"/>
    <col min="24" max="16384" width="9.14062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1"/>
    </row>
    <row r="2" spans="1:23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3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3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2022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5796761000</v>
      </c>
    </row>
    <row r="8" spans="1:23" ht="16.5" customHeight="1">
      <c r="A8" s="129"/>
      <c r="B8" s="588"/>
      <c r="C8" s="589"/>
      <c r="D8" s="589"/>
      <c r="E8" s="589"/>
      <c r="F8" s="590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3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4">
        <f>+S10/$T$7*100</f>
        <v>34.422801599893454</v>
      </c>
      <c r="V10" s="292"/>
    </row>
    <row r="11" spans="1:23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5">
        <f t="shared" ref="T11:T66" si="3">+S11/$T$7*100</f>
        <v>23.825946169076147</v>
      </c>
      <c r="V11" s="292"/>
    </row>
    <row r="12" spans="1:23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6">
        <f t="shared" si="3"/>
        <v>1.4325415538091015</v>
      </c>
      <c r="V12" s="292"/>
    </row>
    <row r="13" spans="1:23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6">
        <f t="shared" si="3"/>
        <v>1.5555093466851573</v>
      </c>
      <c r="V13" s="292"/>
    </row>
    <row r="14" spans="1:23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6">
        <f t="shared" si="3"/>
        <v>2.5558096495611946E-2</v>
      </c>
      <c r="V14" s="292"/>
    </row>
    <row r="15" spans="1:23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6">
        <f t="shared" si="3"/>
        <v>15.66473249906284</v>
      </c>
      <c r="V15" s="292"/>
    </row>
    <row r="16" spans="1:23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6">
        <f t="shared" si="3"/>
        <v>4.2415516487569533</v>
      </c>
      <c r="V16" s="292"/>
      <c r="W16" s="292"/>
    </row>
    <row r="17" spans="1:22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6">
        <f t="shared" si="3"/>
        <v>0.69417203210551548</v>
      </c>
      <c r="V17" s="292"/>
    </row>
    <row r="18" spans="1:22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6">
        <f t="shared" si="3"/>
        <v>0.21188099216096715</v>
      </c>
      <c r="V18" s="292"/>
    </row>
    <row r="19" spans="1:22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7">
        <f t="shared" si="3"/>
        <v>7.9837178777941675</v>
      </c>
      <c r="V19" s="292"/>
    </row>
    <row r="20" spans="1:22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6">
        <f t="shared" si="3"/>
        <v>7.0021047479790877</v>
      </c>
      <c r="V20" s="292"/>
    </row>
    <row r="21" spans="1:22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6">
        <f t="shared" si="3"/>
        <v>0.43222723741758545</v>
      </c>
      <c r="V21" s="292"/>
    </row>
    <row r="22" spans="1:22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6">
        <f t="shared" si="3"/>
        <v>0.31733459840762801</v>
      </c>
      <c r="V22" s="292"/>
    </row>
    <row r="23" spans="1:22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6">
        <f t="shared" si="3"/>
        <v>0.23205129398986782</v>
      </c>
      <c r="V23" s="292"/>
    </row>
    <row r="24" spans="1:22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7">
        <f t="shared" si="3"/>
        <v>0.25480380198528113</v>
      </c>
      <c r="V24" s="292"/>
    </row>
    <row r="25" spans="1:22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7">
        <f t="shared" si="3"/>
        <v>1.2550159820285844</v>
      </c>
      <c r="V25" s="292"/>
    </row>
    <row r="26" spans="1:22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7">
        <f t="shared" si="3"/>
        <v>0.51003462623351214</v>
      </c>
      <c r="V26" s="292"/>
    </row>
    <row r="27" spans="1:22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7">
        <f t="shared" si="3"/>
        <v>0</v>
      </c>
      <c r="V27" s="292"/>
    </row>
    <row r="28" spans="1:22" ht="13.5" thickBot="1">
      <c r="A28" s="135">
        <v>74</v>
      </c>
      <c r="B28" s="560" t="str">
        <f>+VLOOKUP($A28,Master!$D$30:$G$226,4,FALSE)</f>
        <v>Donacije i transferi</v>
      </c>
      <c r="C28" s="561"/>
      <c r="D28" s="561"/>
      <c r="E28" s="561"/>
      <c r="F28" s="561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8">
        <f t="shared" si="3"/>
        <v>0.59328314277576744</v>
      </c>
      <c r="V28" s="292"/>
    </row>
    <row r="29" spans="1:22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9">
        <f t="shared" si="3"/>
        <v>38.741772187951163</v>
      </c>
      <c r="V29" s="275"/>
    </row>
    <row r="30" spans="1:22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7">
        <f t="shared" si="4"/>
        <v>923673941.22000003</v>
      </c>
      <c r="T30" s="435">
        <f t="shared" si="3"/>
        <v>15.934311268310012</v>
      </c>
      <c r="U30" s="472"/>
      <c r="V30" s="275"/>
    </row>
    <row r="31" spans="1:22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6">
        <f t="shared" si="3"/>
        <v>9.3582524468405719</v>
      </c>
      <c r="U31" s="472"/>
      <c r="V31" s="275"/>
    </row>
    <row r="32" spans="1:22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6">
        <f t="shared" si="3"/>
        <v>0.32380132370473785</v>
      </c>
      <c r="U32" s="472"/>
      <c r="V32" s="275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140372.01</v>
      </c>
      <c r="H33" s="148">
        <v>3489117.82</v>
      </c>
      <c r="I33" s="148">
        <v>2614341.89</v>
      </c>
      <c r="J33" s="148">
        <v>2019169.66</v>
      </c>
      <c r="K33" s="486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6">
        <f t="shared" si="3"/>
        <v>0.63899192980355746</v>
      </c>
      <c r="U33" s="472"/>
      <c r="V33" s="275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6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6">
        <f t="shared" si="3"/>
        <v>1.095409599947281</v>
      </c>
      <c r="U34" s="472"/>
      <c r="V34" s="275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6">
        <f t="shared" si="3"/>
        <v>0.47112888369901745</v>
      </c>
      <c r="U35" s="472"/>
      <c r="V35" s="275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6">
        <f t="shared" si="3"/>
        <v>1.5863334696738403</v>
      </c>
      <c r="U36" s="472"/>
      <c r="V36" s="275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6">
        <f t="shared" si="3"/>
        <v>0.20755038977801568</v>
      </c>
      <c r="U37" s="472"/>
      <c r="V37" s="275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6">
        <f t="shared" si="3"/>
        <v>1.1804838433049076</v>
      </c>
      <c r="U38" s="472"/>
      <c r="V38" s="275"/>
    </row>
    <row r="39" spans="1:24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v>653504.72</v>
      </c>
      <c r="H39" s="148">
        <v>3021749.14</v>
      </c>
      <c r="I39" s="148">
        <v>3043153.13</v>
      </c>
      <c r="J39" s="148">
        <v>3024181.08</v>
      </c>
      <c r="K39" s="486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6">
        <f t="shared" si="3"/>
        <v>1.0723593815580805</v>
      </c>
      <c r="U39" s="472"/>
      <c r="V39" s="275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8">
        <f t="shared" si="4"/>
        <v>667285836.71000004</v>
      </c>
      <c r="T40" s="459">
        <f t="shared" si="3"/>
        <v>11.511356716449066</v>
      </c>
      <c r="U40" s="472"/>
      <c r="V40" s="275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6">
        <f t="shared" si="3"/>
        <v>2.3340028001844479</v>
      </c>
      <c r="U41" s="472"/>
      <c r="V41" s="275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6">
        <f t="shared" si="3"/>
        <v>0.47821234151278619</v>
      </c>
      <c r="U42" s="472"/>
      <c r="V42" s="275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35149513.420000002</v>
      </c>
      <c r="H43" s="486">
        <v>36349865.18</v>
      </c>
      <c r="I43" s="486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6">
        <f t="shared" si="3"/>
        <v>8.1094360002077011</v>
      </c>
      <c r="U43" s="472"/>
      <c r="V43" s="275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6">
        <f t="shared" si="3"/>
        <v>0.28883805404431889</v>
      </c>
      <c r="U44" s="472"/>
      <c r="V44" s="275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6">
        <f t="shared" si="3"/>
        <v>0.30086752049981008</v>
      </c>
      <c r="U45" s="472"/>
      <c r="V45" s="275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7">
        <f t="shared" si="3"/>
        <v>6.098542063921558</v>
      </c>
      <c r="U46" s="472"/>
      <c r="V46" s="275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7">
        <f t="shared" si="3"/>
        <v>4.1481420431168372</v>
      </c>
      <c r="U47" s="472"/>
      <c r="V47" s="275"/>
      <c r="W47" s="292"/>
      <c r="X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6">
        <f t="shared" si="3"/>
        <v>0</v>
      </c>
      <c r="U48" s="472"/>
      <c r="V48" s="275"/>
    </row>
    <row r="49" spans="1:22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6">
        <f t="shared" si="3"/>
        <v>0.43051161243321917</v>
      </c>
      <c r="U49" s="472"/>
      <c r="V49" s="275"/>
    </row>
    <row r="50" spans="1:22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6">
        <f t="shared" si="3"/>
        <v>8.6255065544361756E-3</v>
      </c>
      <c r="U50" s="472"/>
      <c r="V50" s="275"/>
    </row>
    <row r="51" spans="1:22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17529055.329999998</v>
      </c>
      <c r="H51" s="430">
        <v>3946389.9</v>
      </c>
      <c r="I51" s="430">
        <v>2323374.4</v>
      </c>
      <c r="J51" s="430">
        <v>1211074.6399999999</v>
      </c>
      <c r="K51" s="430">
        <v>1145121.3300000003</v>
      </c>
      <c r="L51" s="430">
        <v>1002974.65</v>
      </c>
      <c r="M51" s="430">
        <v>2058810.46</v>
      </c>
      <c r="N51" s="430">
        <v>791334.30999999994</v>
      </c>
      <c r="O51" s="430">
        <v>1107049.1300000001</v>
      </c>
      <c r="P51" s="430">
        <v>847453.94</v>
      </c>
      <c r="Q51" s="430">
        <v>1242288.18</v>
      </c>
      <c r="R51" s="430">
        <v>2171719.34</v>
      </c>
      <c r="S51" s="398">
        <f>+SUM(G51:R51)</f>
        <v>35376645.609999999</v>
      </c>
      <c r="T51" s="440">
        <f t="shared" si="3"/>
        <v>0.61028297716604152</v>
      </c>
      <c r="U51" s="472"/>
      <c r="V51" s="275"/>
    </row>
    <row r="52" spans="1:22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3"/>
        <v>0</v>
      </c>
      <c r="V52" s="275"/>
    </row>
    <row r="53" spans="1:22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2">
        <f t="shared" si="3"/>
        <v>-4.3189705880577103</v>
      </c>
      <c r="V53" s="275"/>
    </row>
    <row r="54" spans="1:22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2">
        <f t="shared" si="3"/>
        <v>-2.7326371183838698</v>
      </c>
      <c r="V54" s="275"/>
    </row>
    <row r="55" spans="1:22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3">
        <f t="shared" si="3"/>
        <v>5.0299933562898316</v>
      </c>
      <c r="V55" s="275"/>
    </row>
    <row r="56" spans="1:22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4">
        <f t="shared" si="3"/>
        <v>0.69906907892183234</v>
      </c>
      <c r="V56" s="275"/>
    </row>
    <row r="57" spans="1:22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4">
        <f t="shared" si="3"/>
        <v>4.3309242773679983</v>
      </c>
      <c r="V57" s="275"/>
    </row>
    <row r="58" spans="1:22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14999998.93</v>
      </c>
      <c r="P58" s="432">
        <v>0</v>
      </c>
      <c r="Q58" s="432">
        <v>572321.46</v>
      </c>
      <c r="R58" s="432">
        <v>12120441.43</v>
      </c>
      <c r="S58" s="234">
        <f>SUM(G58:R58)</f>
        <v>27692761.82</v>
      </c>
      <c r="T58" s="445">
        <f t="shared" si="3"/>
        <v>0.47772819717769976</v>
      </c>
      <c r="V58" s="275"/>
    </row>
    <row r="59" spans="1:22" ht="13.5" thickBot="1">
      <c r="A59" s="135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432">
        <v>5063275.62</v>
      </c>
      <c r="H59" s="432">
        <v>1133077.69</v>
      </c>
      <c r="I59" s="432">
        <v>130819.33</v>
      </c>
      <c r="J59" s="432">
        <v>464635.33</v>
      </c>
      <c r="K59" s="432">
        <v>722142.79</v>
      </c>
      <c r="L59" s="432">
        <v>956574.97</v>
      </c>
      <c r="M59" s="432">
        <v>271871.64</v>
      </c>
      <c r="N59" s="432">
        <v>12519446.189999999</v>
      </c>
      <c r="O59" s="432">
        <v>36205.230000000003</v>
      </c>
      <c r="P59" s="432">
        <v>1061879.26</v>
      </c>
      <c r="Q59" s="432">
        <v>245090.2</v>
      </c>
      <c r="R59" s="432">
        <v>516876.49</v>
      </c>
      <c r="S59" s="234">
        <f>SUM(G59:R59)</f>
        <v>23121894.740000002</v>
      </c>
      <c r="T59" s="445"/>
      <c r="V59" s="275"/>
    </row>
    <row r="60" spans="1:22" ht="13.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6">
        <f t="shared" si="3"/>
        <v>-10.225568250786948</v>
      </c>
      <c r="V60" s="275"/>
    </row>
    <row r="61" spans="1:22" ht="13.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7">
        <f t="shared" si="3"/>
        <v>10.225568250786946</v>
      </c>
      <c r="V61" s="275"/>
    </row>
    <row r="62" spans="1:22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4">
        <f t="shared" si="3"/>
        <v>1.8113563764315967</v>
      </c>
      <c r="V62" s="275"/>
    </row>
    <row r="63" spans="1:22">
      <c r="A63" s="129">
        <v>7512</v>
      </c>
      <c r="B63" s="600" t="str">
        <f>+VLOOKUP($A63,Master!$D$30:$G$226,4,FALSE)</f>
        <v>Pozajmice i krediti od inostranih izvora</v>
      </c>
      <c r="C63" s="601"/>
      <c r="D63" s="601"/>
      <c r="E63" s="601"/>
      <c r="F63" s="601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4">
        <f t="shared" si="3"/>
        <v>1.9180942186507259</v>
      </c>
      <c r="V63" s="275"/>
    </row>
    <row r="64" spans="1:22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4">
        <f t="shared" si="3"/>
        <v>7.7895478181694913E-2</v>
      </c>
      <c r="V64" s="275"/>
    </row>
    <row r="65" spans="1:22">
      <c r="A65" s="129">
        <v>73</v>
      </c>
      <c r="B65" s="576" t="s">
        <v>101</v>
      </c>
      <c r="C65" s="577"/>
      <c r="D65" s="577"/>
      <c r="E65" s="577"/>
      <c r="F65" s="577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4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8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632" t="str">
        <f>+Master!G253</f>
        <v>Plan ostvarenja budžeta</v>
      </c>
      <c r="C83" s="633"/>
      <c r="D83" s="633"/>
      <c r="E83" s="633"/>
      <c r="F83" s="633"/>
      <c r="G83" s="640">
        <v>2022</v>
      </c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96" t="str">
        <f>+S7</f>
        <v>BDP</v>
      </c>
      <c r="T83" s="97">
        <v>5700400000</v>
      </c>
    </row>
    <row r="84" spans="1:26" ht="15.75" customHeight="1">
      <c r="B84" s="634"/>
      <c r="C84" s="635"/>
      <c r="D84" s="635"/>
      <c r="E84" s="635"/>
      <c r="F84" s="636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640" t="str">
        <f>+Master!G247</f>
        <v>Jan - Dec</v>
      </c>
      <c r="T84" s="642">
        <f>+T8</f>
        <v>0</v>
      </c>
    </row>
    <row r="85" spans="1:26" ht="13.5" thickBot="1">
      <c r="B85" s="637"/>
      <c r="C85" s="638"/>
      <c r="D85" s="638"/>
      <c r="E85" s="638"/>
      <c r="F85" s="639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606" t="str">
        <f>+VLOOKUP(LEFT($A86,LEN(A86)-1)*1,Master!$D$30:$G$226,4,FALSE)</f>
        <v>Prihodi budžeta</v>
      </c>
      <c r="C86" s="607"/>
      <c r="D86" s="607"/>
      <c r="E86" s="607"/>
      <c r="F86" s="607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5">
        <f>+SUM(G86:R86)</f>
        <v>1931027140.8600001</v>
      </c>
      <c r="T86" s="449">
        <f>+S86/$T$83*100</f>
        <v>33.875291924426357</v>
      </c>
      <c r="U86" s="243"/>
    </row>
    <row r="87" spans="1:26">
      <c r="A87" s="105" t="str">
        <f t="shared" si="17"/>
        <v>711p</v>
      </c>
      <c r="B87" s="630" t="str">
        <f>+VLOOKUP(LEFT($A87,LEN(A87)-1)*1,Master!$D$30:$G$226,4,FALSE)</f>
        <v>Porezi</v>
      </c>
      <c r="C87" s="631"/>
      <c r="D87" s="631"/>
      <c r="E87" s="631"/>
      <c r="F87" s="631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5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622" t="str">
        <f>+VLOOKUP(LEFT($A88,LEN(A88)-1)*1,Master!$D$30:$G$229,4,FALSE)</f>
        <v>Porez na dohodak fizičkih lica</v>
      </c>
      <c r="C88" s="623"/>
      <c r="D88" s="623"/>
      <c r="E88" s="623"/>
      <c r="F88" s="623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6">
        <f t="shared" si="21"/>
        <v>1.6628638746403763</v>
      </c>
      <c r="V88" s="292"/>
    </row>
    <row r="89" spans="1:26">
      <c r="A89" s="105" t="str">
        <f t="shared" si="17"/>
        <v>7112p</v>
      </c>
      <c r="B89" s="622" t="str">
        <f>+VLOOKUP(LEFT($A89,LEN(A89)-1)*1,Master!$D$30:$G$229,4,FALSE)</f>
        <v>Porez na dobit pravnih lica</v>
      </c>
      <c r="C89" s="623"/>
      <c r="D89" s="623"/>
      <c r="E89" s="623"/>
      <c r="F89" s="623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6">
        <f t="shared" si="21"/>
        <v>1.4785690221738825</v>
      </c>
      <c r="V89" s="292"/>
    </row>
    <row r="90" spans="1:26">
      <c r="A90" s="105" t="str">
        <f t="shared" si="17"/>
        <v>7113p</v>
      </c>
      <c r="B90" s="622" t="str">
        <f>+VLOOKUP(LEFT($A90,LEN(A90)-1)*1,Master!$D$30:$G$229,4,FALSE)</f>
        <v>Porez na promet nepokretnosti</v>
      </c>
      <c r="C90" s="623"/>
      <c r="D90" s="623"/>
      <c r="E90" s="623"/>
      <c r="F90" s="623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6">
        <f t="shared" si="21"/>
        <v>2.5990563293803944E-2</v>
      </c>
      <c r="V90" s="292"/>
    </row>
    <row r="91" spans="1:26">
      <c r="A91" s="105" t="str">
        <f t="shared" si="17"/>
        <v>7114p</v>
      </c>
      <c r="B91" s="622" t="str">
        <f>+VLOOKUP(LEFT($A91,LEN(A91)-1)*1,Master!$D$30:$G$229,4,FALSE)</f>
        <v>Porez na dodatu vrijednost</v>
      </c>
      <c r="C91" s="623"/>
      <c r="D91" s="623"/>
      <c r="E91" s="623"/>
      <c r="F91" s="623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6">
        <f t="shared" si="21"/>
        <v>14.294050535927305</v>
      </c>
      <c r="V91" s="292"/>
    </row>
    <row r="92" spans="1:26">
      <c r="A92" s="105" t="str">
        <f t="shared" si="17"/>
        <v>7115p</v>
      </c>
      <c r="B92" s="622" t="str">
        <f>+VLOOKUP(LEFT($A92,LEN(A92)-1)*1,Master!$D$30:$G$229,4,FALSE)</f>
        <v>Akcize</v>
      </c>
      <c r="C92" s="623"/>
      <c r="D92" s="623"/>
      <c r="E92" s="623"/>
      <c r="F92" s="623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6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622" t="str">
        <f>+VLOOKUP(LEFT($A93,LEN(A93)-1)*1,Master!$D$30:$G$229,4,FALSE)</f>
        <v>Porez na međunarodnu trgovinu i transakcije</v>
      </c>
      <c r="C93" s="623"/>
      <c r="D93" s="623"/>
      <c r="E93" s="623"/>
      <c r="F93" s="623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6">
        <f t="shared" si="21"/>
        <v>0.52044508578345383</v>
      </c>
      <c r="V93" s="292"/>
    </row>
    <row r="94" spans="1:26">
      <c r="A94" s="105" t="str">
        <f t="shared" si="17"/>
        <v>7118p</v>
      </c>
      <c r="B94" s="622" t="str">
        <f>+VLOOKUP(LEFT($A94,LEN(A94)-1)*1,Master!$D$30:$G$229,4,FALSE)</f>
        <v>Ostali državni porezi</v>
      </c>
      <c r="C94" s="623"/>
      <c r="D94" s="623"/>
      <c r="E94" s="623"/>
      <c r="F94" s="623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6">
        <f t="shared" si="21"/>
        <v>0.2036292963651673</v>
      </c>
      <c r="V94" s="292"/>
    </row>
    <row r="95" spans="1:26">
      <c r="A95" s="105" t="str">
        <f t="shared" si="17"/>
        <v>712p</v>
      </c>
      <c r="B95" s="628" t="str">
        <f>+VLOOKUP(LEFT($A95,LEN(A95)-1)*1,Master!$D$30:$G$229,4,FALSE)</f>
        <v>Doprinosi</v>
      </c>
      <c r="C95" s="629"/>
      <c r="D95" s="629"/>
      <c r="E95" s="629"/>
      <c r="F95" s="629"/>
      <c r="G95" s="71">
        <f>+SUM(G96:G99)</f>
        <v>11731802.159999998</v>
      </c>
      <c r="H95" s="71">
        <f t="shared" ref="H95:R95" si="22">+SUM(H96:H99)</f>
        <v>34984293.990000002</v>
      </c>
      <c r="I95" s="452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7">
        <f t="shared" si="21"/>
        <v>8.3865217886464105</v>
      </c>
      <c r="V95" s="292"/>
    </row>
    <row r="96" spans="1:26">
      <c r="A96" s="105" t="str">
        <f t="shared" si="17"/>
        <v>7121p</v>
      </c>
      <c r="B96" s="622" t="str">
        <f>+VLOOKUP(LEFT($A96,LEN(A96)-1)*1,Master!$D$30:$G$229,4,FALSE)</f>
        <v>Doprinosi za penzijsko i invalidsko osiguranje</v>
      </c>
      <c r="C96" s="623"/>
      <c r="D96" s="623"/>
      <c r="E96" s="623"/>
      <c r="F96" s="623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6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622" t="str">
        <f>+VLOOKUP(LEFT($A97,LEN(A97)-1)*1,Master!$D$30:$G$229,4,FALSE)</f>
        <v>Doprinosi za zdravstveno osiguranje</v>
      </c>
      <c r="C97" s="623"/>
      <c r="D97" s="623"/>
      <c r="E97" s="623"/>
      <c r="F97" s="623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6">
        <f t="shared" si="21"/>
        <v>0.39427960774682491</v>
      </c>
      <c r="V97" s="292"/>
    </row>
    <row r="98" spans="1:23">
      <c r="A98" s="105" t="str">
        <f t="shared" si="17"/>
        <v>7123p</v>
      </c>
      <c r="B98" s="622" t="str">
        <f>+VLOOKUP(LEFT($A98,LEN(A98)-1)*1,Master!$D$30:$G$229,4,FALSE)</f>
        <v>Doprinosi za osiguranje od nezaposlenosti</v>
      </c>
      <c r="C98" s="623"/>
      <c r="D98" s="623"/>
      <c r="E98" s="623"/>
      <c r="F98" s="623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6">
        <f t="shared" si="21"/>
        <v>0.36231755911865848</v>
      </c>
      <c r="V98" s="292"/>
    </row>
    <row r="99" spans="1:23">
      <c r="A99" s="105" t="str">
        <f t="shared" si="17"/>
        <v>7124p</v>
      </c>
      <c r="B99" s="622" t="str">
        <f>+VLOOKUP(LEFT($A99,LEN(A99)-1)*1,Master!$D$30:$G$229,4,FALSE)</f>
        <v>Ostali doprinosi</v>
      </c>
      <c r="C99" s="623"/>
      <c r="D99" s="623"/>
      <c r="E99" s="623"/>
      <c r="F99" s="623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6">
        <f t="shared" si="21"/>
        <v>0.28264751964774393</v>
      </c>
      <c r="V99" s="292"/>
    </row>
    <row r="100" spans="1:23">
      <c r="A100" s="105" t="str">
        <f t="shared" si="17"/>
        <v>713p</v>
      </c>
      <c r="B100" s="628" t="str">
        <f>+VLOOKUP(LEFT($A100,LEN(A100)-1)*1,Master!$D$30:$G$229,4,FALSE)</f>
        <v>Takse</v>
      </c>
      <c r="C100" s="629"/>
      <c r="D100" s="629"/>
      <c r="E100" s="629"/>
      <c r="F100" s="629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7">
        <f t="shared" si="21"/>
        <v>0.23465990369096892</v>
      </c>
      <c r="V100" s="292"/>
    </row>
    <row r="101" spans="1:23">
      <c r="A101" s="105" t="str">
        <f t="shared" si="17"/>
        <v>714p</v>
      </c>
      <c r="B101" s="628" t="str">
        <f>+VLOOKUP(LEFT($A101,LEN(A101)-1)*1,Master!$D$30:$G$229,4,FALSE)</f>
        <v>Naknade</v>
      </c>
      <c r="C101" s="629"/>
      <c r="D101" s="629"/>
      <c r="E101" s="629"/>
      <c r="F101" s="629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7">
        <f t="shared" si="21"/>
        <v>0.96000005824152701</v>
      </c>
      <c r="V101" s="292"/>
    </row>
    <row r="102" spans="1:23">
      <c r="A102" s="105" t="str">
        <f t="shared" si="17"/>
        <v>715p</v>
      </c>
      <c r="B102" s="628" t="str">
        <f>+VLOOKUP(LEFT($A102,LEN(A102)-1)*1,Master!$D$30:$G$229,4,FALSE)</f>
        <v>Ostali prihodi</v>
      </c>
      <c r="C102" s="629"/>
      <c r="D102" s="629"/>
      <c r="E102" s="629"/>
      <c r="F102" s="629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7">
        <f t="shared" si="21"/>
        <v>0.53759870167005819</v>
      </c>
      <c r="V102" s="292"/>
    </row>
    <row r="103" spans="1:23">
      <c r="A103" s="105" t="str">
        <f t="shared" si="17"/>
        <v>73p</v>
      </c>
      <c r="B103" s="628" t="str">
        <f>+VLOOKUP(LEFT($A103,LEN(A103)-1)*1,Master!$D$30:$G$229,4,FALSE)</f>
        <v>Primici od otplate kredita i sredstva prenesena iz prethodne godine</v>
      </c>
      <c r="C103" s="629"/>
      <c r="D103" s="629"/>
      <c r="E103" s="629"/>
      <c r="F103" s="629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7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624" t="str">
        <f>+VLOOKUP(LEFT($A104,LEN(A104)-1)*1,Master!$D$30:$G$229,4,FALSE)</f>
        <v>Donacije i transferi</v>
      </c>
      <c r="C104" s="625"/>
      <c r="D104" s="625"/>
      <c r="E104" s="625"/>
      <c r="F104" s="625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8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606" t="str">
        <f>+VLOOKUP(LEFT($A105,LEN(A105)-1)*1,Master!$D$30:$G$229,4,FALSE)</f>
        <v>Izdaci budžeta</v>
      </c>
      <c r="C105" s="607"/>
      <c r="D105" s="607"/>
      <c r="E105" s="607"/>
      <c r="F105" s="607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3">
        <f>+SUM(G105:R105)</f>
        <v>2384264044.0300002</v>
      </c>
      <c r="T105" s="450">
        <f t="shared" si="21"/>
        <v>41.826258578871659</v>
      </c>
      <c r="V105" s="275"/>
    </row>
    <row r="106" spans="1:23">
      <c r="A106" s="105" t="str">
        <f t="shared" si="17"/>
        <v>41p</v>
      </c>
      <c r="B106" s="626" t="str">
        <f>+VLOOKUP(LEFT($A106,LEN(A106)-1)*1,Master!$D$30:$G$229,4,FALSE)</f>
        <v>Tekući izdaci</v>
      </c>
      <c r="C106" s="627"/>
      <c r="D106" s="627"/>
      <c r="E106" s="627"/>
      <c r="F106" s="627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5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622" t="str">
        <f>+VLOOKUP(LEFT($A107,LEN(A107)-1)*1,Master!$D$30:$G$229,4,FALSE)</f>
        <v>Bruto zarade i doprinosi na teret poslodavca</v>
      </c>
      <c r="C107" s="623"/>
      <c r="D107" s="623"/>
      <c r="E107" s="623"/>
      <c r="F107" s="623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6">
        <f t="shared" si="21"/>
        <v>9.828236431829346</v>
      </c>
      <c r="V107" s="292"/>
    </row>
    <row r="108" spans="1:23">
      <c r="A108" s="105" t="str">
        <f t="shared" si="17"/>
        <v>412p</v>
      </c>
      <c r="B108" s="622" t="str">
        <f>+VLOOKUP(LEFT($A108,LEN(A108)-1)*1,Master!$D$30:$G$229,4,FALSE)</f>
        <v>Ostala lična primanja</v>
      </c>
      <c r="C108" s="623"/>
      <c r="D108" s="623"/>
      <c r="E108" s="623"/>
      <c r="F108" s="623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6">
        <f t="shared" si="21"/>
        <v>0.33874638200828017</v>
      </c>
      <c r="V108" s="292"/>
    </row>
    <row r="109" spans="1:23">
      <c r="A109" s="105" t="str">
        <f t="shared" si="17"/>
        <v>413p</v>
      </c>
      <c r="B109" s="622" t="str">
        <f>+VLOOKUP(LEFT($A109,LEN(A109)-1)*1,Master!$D$30:$G$229,4,FALSE)</f>
        <v>Rashodi za materijal</v>
      </c>
      <c r="C109" s="623"/>
      <c r="D109" s="623"/>
      <c r="E109" s="623"/>
      <c r="F109" s="623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6">
        <f t="shared" si="21"/>
        <v>0.84524817293523258</v>
      </c>
      <c r="V109" s="292"/>
    </row>
    <row r="110" spans="1:23">
      <c r="A110" s="105" t="str">
        <f t="shared" si="17"/>
        <v>414p</v>
      </c>
      <c r="B110" s="622" t="str">
        <f>+VLOOKUP(LEFT($A110,LEN(A110)-1)*1,Master!$D$30:$G$229,4,FALSE)</f>
        <v>Rashodi za usluge</v>
      </c>
      <c r="C110" s="623"/>
      <c r="D110" s="623"/>
      <c r="E110" s="623"/>
      <c r="F110" s="623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6">
        <f t="shared" si="21"/>
        <v>1.1608803850606979</v>
      </c>
      <c r="V110" s="292"/>
    </row>
    <row r="111" spans="1:23">
      <c r="A111" s="105" t="str">
        <f t="shared" si="17"/>
        <v>415p</v>
      </c>
      <c r="B111" s="622" t="str">
        <f>+VLOOKUP(LEFT($A111,LEN(A111)-1)*1,Master!$D$30:$G$229,4,FALSE)</f>
        <v>Rashodi za tekuće održavanje</v>
      </c>
      <c r="C111" s="623"/>
      <c r="D111" s="623"/>
      <c r="E111" s="623"/>
      <c r="F111" s="623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6">
        <f t="shared" si="21"/>
        <v>0.49123141691811095</v>
      </c>
      <c r="V111" s="292"/>
    </row>
    <row r="112" spans="1:23">
      <c r="A112" s="105" t="str">
        <f t="shared" si="17"/>
        <v>416p</v>
      </c>
      <c r="B112" s="622" t="str">
        <f>+VLOOKUP(LEFT($A112,LEN(A112)-1)*1,Master!$D$30:$G$229,4,FALSE)</f>
        <v>Kamate</v>
      </c>
      <c r="C112" s="623"/>
      <c r="D112" s="623"/>
      <c r="E112" s="623"/>
      <c r="F112" s="623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6">
        <f t="shared" si="21"/>
        <v>1.6215886729001472</v>
      </c>
      <c r="V112" s="292"/>
    </row>
    <row r="113" spans="1:22">
      <c r="A113" s="105" t="str">
        <f t="shared" si="17"/>
        <v>417p</v>
      </c>
      <c r="B113" s="622" t="str">
        <f>+VLOOKUP(LEFT($A113,LEN(A113)-1)*1,Master!$D$30:$G$229,4,FALSE)</f>
        <v>Renta</v>
      </c>
      <c r="C113" s="623"/>
      <c r="D113" s="623"/>
      <c r="E113" s="623"/>
      <c r="F113" s="623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6">
        <f t="shared" si="21"/>
        <v>0.20478580432952073</v>
      </c>
      <c r="V113" s="292"/>
    </row>
    <row r="114" spans="1:22">
      <c r="A114" s="105" t="str">
        <f t="shared" si="17"/>
        <v>418p</v>
      </c>
      <c r="B114" s="622" t="str">
        <f>+VLOOKUP(LEFT($A114,LEN(A114)-1)*1,Master!$D$30:$G$229,4,FALSE)</f>
        <v>Subvencije</v>
      </c>
      <c r="C114" s="623"/>
      <c r="D114" s="623"/>
      <c r="E114" s="623"/>
      <c r="F114" s="623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6">
        <f t="shared" si="21"/>
        <v>1.1723845516104137</v>
      </c>
      <c r="V114" s="292"/>
    </row>
    <row r="115" spans="1:22">
      <c r="A115" s="105" t="str">
        <f t="shared" si="17"/>
        <v>419p</v>
      </c>
      <c r="B115" s="622" t="str">
        <f>+VLOOKUP(LEFT($A115,LEN(A115)-1)*1,Master!$D$30:$G$229,4,FALSE)</f>
        <v>Ostali izdaci</v>
      </c>
      <c r="C115" s="623"/>
      <c r="D115" s="623"/>
      <c r="E115" s="623"/>
      <c r="F115" s="623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6">
        <f t="shared" si="21"/>
        <v>1.1380142535611533</v>
      </c>
      <c r="V115" s="292"/>
    </row>
    <row r="116" spans="1:22">
      <c r="A116" s="105" t="str">
        <f t="shared" si="17"/>
        <v>42p</v>
      </c>
      <c r="B116" s="618" t="str">
        <f>+VLOOKUP(LEFT($A116,LEN(A116)-1)*1,Master!$D$30:$G$229,4,FALSE)</f>
        <v>Transferi za socijalnu zaštitu</v>
      </c>
      <c r="C116" s="619"/>
      <c r="D116" s="619"/>
      <c r="E116" s="619"/>
      <c r="F116" s="619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7">
        <f t="shared" si="21"/>
        <v>12.245424980703106</v>
      </c>
      <c r="V116" s="292"/>
    </row>
    <row r="117" spans="1:22">
      <c r="A117" s="105" t="str">
        <f t="shared" si="17"/>
        <v>421p</v>
      </c>
      <c r="B117" s="622" t="str">
        <f>+VLOOKUP(LEFT($A117,LEN(A117)-1)*1,Master!$D$30:$G$229,4,FALSE)</f>
        <v>Prava iz oblasti socijalne zaštite</v>
      </c>
      <c r="C117" s="623"/>
      <c r="D117" s="623"/>
      <c r="E117" s="623"/>
      <c r="F117" s="623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6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622" t="str">
        <f>+VLOOKUP(LEFT($A118,LEN(A118)-1)*1,Master!$D$30:$G$229,4,FALSE)</f>
        <v>Sredstva za tehnološke viškove</v>
      </c>
      <c r="C118" s="623"/>
      <c r="D118" s="623"/>
      <c r="E118" s="623"/>
      <c r="F118" s="623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6">
        <f t="shared" si="21"/>
        <v>0.52695404357588937</v>
      </c>
      <c r="V118" s="292"/>
    </row>
    <row r="119" spans="1:22">
      <c r="A119" s="105" t="str">
        <f t="shared" si="26"/>
        <v>423p</v>
      </c>
      <c r="B119" s="622" t="str">
        <f>+VLOOKUP(LEFT($A119,LEN(A119)-1)*1,Master!$D$30:$G$229,4,FALSE)</f>
        <v>Prava iz oblasti penzijskog i invalidskog osiguranja</v>
      </c>
      <c r="C119" s="623"/>
      <c r="D119" s="623"/>
      <c r="E119" s="623"/>
      <c r="F119" s="623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6">
        <f t="shared" si="21"/>
        <v>8.6844713744649518</v>
      </c>
      <c r="V119" s="292"/>
    </row>
    <row r="120" spans="1:22">
      <c r="A120" s="105" t="str">
        <f t="shared" si="26"/>
        <v>424p</v>
      </c>
      <c r="B120" s="622" t="str">
        <f>+VLOOKUP(LEFT($A120,LEN(A120)-1)*1,Master!$D$30:$G$229,4,FALSE)</f>
        <v>Ostala prava iz oblasti zdravstvene zaštite</v>
      </c>
      <c r="C120" s="623"/>
      <c r="D120" s="623"/>
      <c r="E120" s="623"/>
      <c r="F120" s="623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6">
        <f t="shared" si="21"/>
        <v>0.25752485720300322</v>
      </c>
      <c r="V120" s="292"/>
    </row>
    <row r="121" spans="1:22">
      <c r="A121" s="105" t="str">
        <f t="shared" si="26"/>
        <v>425p</v>
      </c>
      <c r="B121" s="622" t="str">
        <f>+VLOOKUP(LEFT($A121,LEN(A121)-1)*1,Master!$D$30:$G$229,4,FALSE)</f>
        <v>Ostala prava iz zdravstvenog osiguranja</v>
      </c>
      <c r="C121" s="623"/>
      <c r="D121" s="623"/>
      <c r="E121" s="623"/>
      <c r="F121" s="623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6">
        <f t="shared" si="21"/>
        <v>0.23524952827871734</v>
      </c>
      <c r="V121" s="292"/>
    </row>
    <row r="122" spans="1:22">
      <c r="A122" s="105" t="str">
        <f t="shared" si="26"/>
        <v>43p</v>
      </c>
      <c r="B122" s="620" t="str">
        <f>+VLOOKUP(LEFT($A122,LEN(A122)-1)*1,Master!$D$30:$G$229,4,FALSE)</f>
        <v xml:space="preserve">Transferi institucijama, pojedincima, nevladinom i javnom sektoru </v>
      </c>
      <c r="C122" s="621"/>
      <c r="D122" s="621"/>
      <c r="E122" s="621"/>
      <c r="F122" s="621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7">
        <f t="shared" si="21"/>
        <v>5.4726585909760717</v>
      </c>
      <c r="V122" s="292"/>
    </row>
    <row r="123" spans="1:22">
      <c r="A123" s="105" t="str">
        <f t="shared" si="26"/>
        <v>44p</v>
      </c>
      <c r="B123" s="620" t="str">
        <f>+VLOOKUP(LEFT($A123,LEN(A123)-1)*1,Master!$D$30:$G$229,4,FALSE)</f>
        <v>Kapitalni izdaci</v>
      </c>
      <c r="C123" s="621"/>
      <c r="D123" s="621"/>
      <c r="E123" s="621"/>
      <c r="F123" s="621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7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612" t="str">
        <f>+VLOOKUP(LEFT($A124,LEN(A124)-1)*1,Master!$D$30:$G$229,4,FALSE)</f>
        <v>Pozajmice i krediti</v>
      </c>
      <c r="C124" s="613"/>
      <c r="D124" s="613"/>
      <c r="E124" s="613"/>
      <c r="F124" s="613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6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612" t="str">
        <f>+VLOOKUP(LEFT($A125,LEN(A125)-1)*1,Master!$D$30:$G$229,4,FALSE)</f>
        <v>Rezerve</v>
      </c>
      <c r="C125" s="613"/>
      <c r="D125" s="613"/>
      <c r="E125" s="613"/>
      <c r="F125" s="613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6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612" t="str">
        <f>+VLOOKUP(LEFT($A126,LEN(A126)-1)*1,Master!$D$30:$G$229,4,FALSE)</f>
        <v>Otplata garancija</v>
      </c>
      <c r="C126" s="613"/>
      <c r="D126" s="613"/>
      <c r="E126" s="613"/>
      <c r="F126" s="613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6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612" t="str">
        <f>+VLOOKUP(LEFT($A127,LEN(A127)-1)*1,Master!$D$30:$G$229,4,FALSE)</f>
        <v>Otplata obaveza iz prethodnog perioda</v>
      </c>
      <c r="C127" s="613"/>
      <c r="D127" s="613"/>
      <c r="E127" s="613"/>
      <c r="F127" s="613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4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612" t="str">
        <f>+VLOOKUP(LEFT($A128,LEN(A128)-1)*1,Master!$D$30:$G$229,4,FALSE)</f>
        <v>Neto povećanje obaveza</v>
      </c>
      <c r="C128" s="613"/>
      <c r="D128" s="613"/>
      <c r="E128" s="613"/>
      <c r="F128" s="613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614" t="str">
        <f>+VLOOKUP(LEFT($A129,LEN(A129)-1)*1,Master!$D$30:$G$226,4,FALSE)</f>
        <v>Suficit / deficit</v>
      </c>
      <c r="C129" s="615"/>
      <c r="D129" s="615"/>
      <c r="E129" s="615"/>
      <c r="F129" s="615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2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616" t="str">
        <f>+VLOOKUP(LEFT($A130,LEN(A130)-1)*1,Master!$D$30:$G$226,4,FALSE)</f>
        <v>Primarni suficit/deficit</v>
      </c>
      <c r="C130" s="617"/>
      <c r="D130" s="617"/>
      <c r="E130" s="617"/>
      <c r="F130" s="617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2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618" t="str">
        <f>+VLOOKUP(LEFT($A131,LEN(A131)-1)*1,Master!$D$30:$G$226,4,FALSE)</f>
        <v>Otplata dugova</v>
      </c>
      <c r="C131" s="619"/>
      <c r="D131" s="619"/>
      <c r="E131" s="619"/>
      <c r="F131" s="619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6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3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610" t="str">
        <f>+VLOOKUP(LEFT($A132,LEN(A132)-1)*1,Master!$D$30:$G$226,4,FALSE)</f>
        <v>Otplata hartija od vrijednosti i kredita rezidentima</v>
      </c>
      <c r="C132" s="611"/>
      <c r="D132" s="611"/>
      <c r="E132" s="611"/>
      <c r="F132" s="611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4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612" t="str">
        <f>+VLOOKUP(LEFT($A133,LEN(A133)-1)*1,Master!$D$30:$G$226,4,FALSE)</f>
        <v>Otplata hartija od vrijednosti i kredita nerezidentima</v>
      </c>
      <c r="C133" s="613"/>
      <c r="D133" s="613"/>
      <c r="E133" s="613"/>
      <c r="F133" s="613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4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606" t="str">
        <f>+VLOOKUP(LEFT($A134,LEN(A134)-1)*1,Master!$D$30:$G$226,4,FALSE)</f>
        <v>Izdaci za kupovinu hartija od vrijednosti</v>
      </c>
      <c r="C134" s="607"/>
      <c r="D134" s="607"/>
      <c r="E134" s="607"/>
      <c r="F134" s="607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1">
        <f t="shared" si="20"/>
        <v>10609010</v>
      </c>
      <c r="T134" s="451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608" t="str">
        <f>+VLOOKUP(LEFT($A135,LEN(A135)-1)*1,Master!$D$30:$G$226,4,FALSE)</f>
        <v>Nedostajuća sredstva</v>
      </c>
      <c r="C135" s="609"/>
      <c r="D135" s="609"/>
      <c r="E135" s="609"/>
      <c r="F135" s="609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6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606" t="str">
        <f>+VLOOKUP(LEFT($A136,LEN(A136)-1)*1,Master!$D$30:$G$226,4,FALSE)</f>
        <v>Finansiranje</v>
      </c>
      <c r="C136" s="607"/>
      <c r="D136" s="607"/>
      <c r="E136" s="607"/>
      <c r="F136" s="607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7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610" t="str">
        <f>+VLOOKUP(LEFT($A137,LEN(A137)-1)*1,Master!$D$30:$G$226,4,FALSE)</f>
        <v>Pozajmice i krediti od domaćih izvora</v>
      </c>
      <c r="C137" s="611"/>
      <c r="D137" s="611"/>
      <c r="E137" s="611"/>
      <c r="F137" s="611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4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612" t="str">
        <f>+VLOOKUP(LEFT($A138,LEN(A138)-1)*1,Master!$D$30:$G$226,4,FALSE)</f>
        <v>Pozajmice i krediti od inostranih izvora</v>
      </c>
      <c r="C138" s="613"/>
      <c r="D138" s="613"/>
      <c r="E138" s="613"/>
      <c r="F138" s="613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4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612" t="str">
        <f>+VLOOKUP(LEFT($A139,LEN(A139)-1)*1,Master!$D$30:$G$226,4,FALSE)</f>
        <v>Primici od prodaje imovine</v>
      </c>
      <c r="C139" s="613"/>
      <c r="D139" s="613"/>
      <c r="E139" s="613"/>
      <c r="F139" s="613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4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8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4.85546875" style="243" bestFit="1" customWidth="1"/>
    <col min="23" max="23" width="11.28515625" style="243" bestFit="1" customWidth="1"/>
    <col min="24" max="24" width="10.42578125" style="243" bestFit="1" customWidth="1"/>
    <col min="25" max="16384" width="9.140625" style="243"/>
  </cols>
  <sheetData>
    <row r="1" spans="1:22" s="1" customFormat="1" ht="3" customHeight="1">
      <c r="A1" s="60"/>
    </row>
    <row r="2" spans="1:22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</row>
    <row r="3" spans="1:22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2021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4955116000</v>
      </c>
    </row>
    <row r="8" spans="1:22" ht="16.5" customHeight="1">
      <c r="A8" s="129"/>
      <c r="B8" s="588"/>
      <c r="C8" s="589"/>
      <c r="D8" s="589"/>
      <c r="E8" s="589"/>
      <c r="F8" s="590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2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554" t="str">
        <f>+VLOOKUP($A10,Master!$D$30:$G$226,4,FALSE)</f>
        <v>Prihodi budžeta</v>
      </c>
      <c r="C10" s="555"/>
      <c r="D10" s="555"/>
      <c r="E10" s="555"/>
      <c r="F10" s="555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4">
        <f>+S10/$T$7*100</f>
        <v>38.573911075744746</v>
      </c>
      <c r="U10" s="473"/>
      <c r="V10" s="292"/>
    </row>
    <row r="11" spans="1:22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5">
        <f t="shared" ref="T11:T64" si="3">+S11/$T$7*100</f>
        <v>23.891956383059448</v>
      </c>
      <c r="U11" s="473"/>
      <c r="V11" s="474"/>
    </row>
    <row r="12" spans="1:22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6">
        <f t="shared" si="3"/>
        <v>2.560268438720708</v>
      </c>
      <c r="U12" s="473"/>
      <c r="V12" s="292"/>
    </row>
    <row r="13" spans="1:22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6">
        <f t="shared" si="3"/>
        <v>1.5078097963801451</v>
      </c>
      <c r="U13" s="473"/>
      <c r="V13" s="292"/>
    </row>
    <row r="14" spans="1:22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6">
        <f t="shared" si="3"/>
        <v>4.1941576544323081E-2</v>
      </c>
      <c r="U14" s="473"/>
      <c r="V14" s="292"/>
    </row>
    <row r="15" spans="1:22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6">
        <f t="shared" si="3"/>
        <v>13.964317316486637</v>
      </c>
      <c r="U15" s="473"/>
      <c r="V15" s="292"/>
    </row>
    <row r="16" spans="1:22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6">
        <f t="shared" si="3"/>
        <v>5.0194161985309727</v>
      </c>
      <c r="U16" s="473"/>
      <c r="V16" s="292"/>
    </row>
    <row r="17" spans="1:23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6">
        <f t="shared" si="3"/>
        <v>0.57105912495287692</v>
      </c>
      <c r="U17" s="473"/>
      <c r="V17" s="292"/>
    </row>
    <row r="18" spans="1:23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6">
        <f t="shared" si="3"/>
        <v>0.22714393144378461</v>
      </c>
      <c r="U18" s="473"/>
      <c r="V18" s="292"/>
    </row>
    <row r="19" spans="1:23">
      <c r="A19" s="135">
        <v>712</v>
      </c>
      <c r="B19" s="562" t="str">
        <f>+VLOOKUP($A19,Master!$D$30:$G$226,4,FALSE)</f>
        <v>Doprinosi</v>
      </c>
      <c r="C19" s="563"/>
      <c r="D19" s="563"/>
      <c r="E19" s="563"/>
      <c r="F19" s="563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7">
        <f t="shared" si="3"/>
        <v>11.18997272031573</v>
      </c>
      <c r="U19" s="473"/>
      <c r="V19" s="292"/>
    </row>
    <row r="20" spans="1:23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6">
        <f t="shared" si="3"/>
        <v>6.9370373979135911</v>
      </c>
      <c r="U20" s="473"/>
      <c r="V20" s="292"/>
    </row>
    <row r="21" spans="1:23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6">
        <f t="shared" si="3"/>
        <v>3.6440413633101629</v>
      </c>
      <c r="U21" s="473"/>
      <c r="V21" s="292"/>
    </row>
    <row r="22" spans="1:23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6">
        <f t="shared" si="3"/>
        <v>0.33014029217479474</v>
      </c>
      <c r="U22" s="473"/>
      <c r="V22" s="292"/>
    </row>
    <row r="23" spans="1:23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6">
        <f t="shared" si="3"/>
        <v>0.27875366691718217</v>
      </c>
      <c r="U23" s="473"/>
      <c r="V23" s="292"/>
    </row>
    <row r="24" spans="1:23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7">
        <f t="shared" si="3"/>
        <v>0.25512858891699003</v>
      </c>
      <c r="U24" s="473"/>
      <c r="V24" s="292"/>
    </row>
    <row r="25" spans="1:23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7">
        <f t="shared" si="3"/>
        <v>1.0311573327445815</v>
      </c>
      <c r="U25" s="473"/>
      <c r="V25" s="292"/>
    </row>
    <row r="26" spans="1:23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7">
        <f t="shared" si="3"/>
        <v>1.1970770886090254</v>
      </c>
      <c r="U26" s="473"/>
      <c r="V26" s="292"/>
    </row>
    <row r="27" spans="1:23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7">
        <f t="shared" si="3"/>
        <v>0.20386092131849184</v>
      </c>
      <c r="U27" s="473"/>
      <c r="V27" s="292"/>
    </row>
    <row r="28" spans="1:23" ht="13.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8">
        <f t="shared" si="3"/>
        <v>0.80475804078047819</v>
      </c>
      <c r="U28" s="473"/>
      <c r="V28" s="292"/>
    </row>
    <row r="29" spans="1:23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9">
        <f t="shared" si="3"/>
        <v>40.582306969402943</v>
      </c>
    </row>
    <row r="30" spans="1:23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7">
        <f t="shared" si="4"/>
        <v>875790931.30000007</v>
      </c>
      <c r="T30" s="435">
        <f t="shared" si="3"/>
        <v>17.67447888808254</v>
      </c>
      <c r="U30" s="227"/>
    </row>
    <row r="31" spans="1:23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6">
        <f t="shared" si="3"/>
        <v>10.799573814013639</v>
      </c>
      <c r="U31" s="473"/>
      <c r="V31" s="292"/>
      <c r="W31" s="292"/>
    </row>
    <row r="32" spans="1:23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6">
        <f t="shared" si="3"/>
        <v>0.22754604049632743</v>
      </c>
      <c r="U32" s="473"/>
      <c r="V32" s="292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6">
        <f t="shared" si="3"/>
        <v>0.71551015778439897</v>
      </c>
      <c r="U33" s="473"/>
      <c r="V33" s="473"/>
      <c r="W33" s="474"/>
      <c r="X33" s="474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6">
        <f t="shared" si="3"/>
        <v>1.2060522086667596</v>
      </c>
      <c r="U34" s="473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6">
        <f t="shared" si="3"/>
        <v>0.43790248462397247</v>
      </c>
      <c r="U35" s="473"/>
      <c r="V35" s="292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6">
        <f t="shared" si="3"/>
        <v>2.3018412117899971</v>
      </c>
      <c r="U36" s="473"/>
      <c r="V36" s="292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6">
        <f t="shared" si="3"/>
        <v>0.22584800618189366</v>
      </c>
      <c r="U37" s="473"/>
      <c r="V37" s="292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6">
        <f t="shared" si="3"/>
        <v>0.97916523790764953</v>
      </c>
      <c r="U38" s="473"/>
      <c r="V38" s="292"/>
    </row>
    <row r="39" spans="1:24" s="334" customFormat="1">
      <c r="A39" s="333">
        <v>419</v>
      </c>
      <c r="B39" s="653" t="str">
        <f>+VLOOKUP($A39,Master!$D$30:$G$226,4,FALSE)</f>
        <v>Ostali izdaci</v>
      </c>
      <c r="C39" s="654"/>
      <c r="D39" s="654"/>
      <c r="E39" s="654"/>
      <c r="F39" s="654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6">
        <f t="shared" si="3"/>
        <v>0.78103972661790366</v>
      </c>
      <c r="U39" s="473"/>
      <c r="V39" s="292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8">
        <f t="shared" si="4"/>
        <v>567405550.29999983</v>
      </c>
      <c r="T40" s="459">
        <f t="shared" si="3"/>
        <v>11.450903476326282</v>
      </c>
      <c r="U40" s="227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6">
        <f t="shared" si="3"/>
        <v>1.7140635518926299</v>
      </c>
      <c r="U41" s="473"/>
      <c r="V41" s="292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6">
        <f t="shared" si="3"/>
        <v>0.46593113723271062</v>
      </c>
      <c r="U42" s="473"/>
      <c r="V42" s="292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6">
        <f t="shared" si="3"/>
        <v>8.6982387251882702</v>
      </c>
      <c r="U43" s="473"/>
      <c r="V43" s="292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6">
        <f t="shared" si="3"/>
        <v>0.34464044212083023</v>
      </c>
      <c r="U44" s="473"/>
      <c r="V44" s="292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6">
        <f t="shared" si="3"/>
        <v>0.22802961989184509</v>
      </c>
      <c r="U45" s="473"/>
      <c r="V45" s="292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7">
        <f t="shared" si="3"/>
        <v>5.1879003530896153</v>
      </c>
      <c r="U46" s="473"/>
      <c r="V46" s="292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7">
        <f t="shared" si="3"/>
        <v>4.1203532696308223</v>
      </c>
      <c r="U47" s="473"/>
      <c r="V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6">
        <f t="shared" si="3"/>
        <v>2.6548783116278205E-2</v>
      </c>
      <c r="U48" s="473"/>
      <c r="V48" s="292"/>
    </row>
    <row r="49" spans="1:22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6">
        <f t="shared" si="3"/>
        <v>1.4375075259590291</v>
      </c>
      <c r="U49" s="473"/>
      <c r="V49" s="292"/>
    </row>
    <row r="50" spans="1:22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6">
        <f t="shared" si="3"/>
        <v>0.15562202943382153</v>
      </c>
      <c r="U50" s="473"/>
      <c r="V50" s="292"/>
    </row>
    <row r="51" spans="1:22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1018944.7</v>
      </c>
      <c r="H51" s="430">
        <v>1642283.23</v>
      </c>
      <c r="I51" s="430">
        <v>1493597.85</v>
      </c>
      <c r="J51" s="430">
        <v>1366097.79</v>
      </c>
      <c r="K51" s="430">
        <v>11033574.689999999</v>
      </c>
      <c r="L51" s="430">
        <v>1293176.52</v>
      </c>
      <c r="M51" s="430">
        <v>1500471</v>
      </c>
      <c r="N51" s="430">
        <v>732375.88</v>
      </c>
      <c r="O51" s="430">
        <v>977597.05</v>
      </c>
      <c r="P51" s="430">
        <v>805119.83</v>
      </c>
      <c r="Q51" s="430">
        <v>1443057.19</v>
      </c>
      <c r="R51" s="431">
        <v>2905903.4</v>
      </c>
      <c r="S51" s="398">
        <f>+SUM(G51:R51)</f>
        <v>26212199.129999999</v>
      </c>
      <c r="T51" s="440">
        <f t="shared" si="3"/>
        <v>0.52899264376454558</v>
      </c>
      <c r="U51" s="473"/>
      <c r="V51" s="292"/>
    </row>
    <row r="52" spans="1:22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1">
        <f t="shared" si="3"/>
        <v>0</v>
      </c>
      <c r="U52" s="453"/>
    </row>
    <row r="53" spans="1:22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2">
        <f t="shared" si="3"/>
        <v>-2.0083958936581898</v>
      </c>
      <c r="U53" s="473"/>
      <c r="V53" s="292"/>
    </row>
    <row r="54" spans="1:22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2">
        <f t="shared" si="3"/>
        <v>0.29344531813180658</v>
      </c>
    </row>
    <row r="55" spans="1:22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3">
        <f t="shared" si="3"/>
        <v>8.8312247735471772</v>
      </c>
    </row>
    <row r="56" spans="1:22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4">
        <f t="shared" si="3"/>
        <v>1.7216367645076323</v>
      </c>
      <c r="U56" s="473"/>
      <c r="V56" s="292"/>
    </row>
    <row r="57" spans="1:22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4">
        <f t="shared" si="3"/>
        <v>7.1095880090395456</v>
      </c>
      <c r="U57" s="473"/>
      <c r="V57" s="292"/>
    </row>
    <row r="58" spans="1:22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506343.98</v>
      </c>
      <c r="Q58" s="432">
        <v>0</v>
      </c>
      <c r="R58" s="433">
        <v>0</v>
      </c>
      <c r="S58" s="234">
        <f>SUM(G58:R58)</f>
        <v>506343.98</v>
      </c>
      <c r="T58" s="445">
        <f t="shared" si="3"/>
        <v>1.0218610018413293E-2</v>
      </c>
    </row>
    <row r="59" spans="1:22" ht="13.5" thickBot="1">
      <c r="A59" s="129">
        <v>1002</v>
      </c>
      <c r="B59" s="602" t="str">
        <f>+VLOOKUP($A59,Master!$D$30:$G$226,4,FALSE)</f>
        <v>Nedostajuća sredstva</v>
      </c>
      <c r="C59" s="603"/>
      <c r="D59" s="603"/>
      <c r="E59" s="603"/>
      <c r="F59" s="603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6">
        <f t="shared" si="3"/>
        <v>-10.849839277223779</v>
      </c>
    </row>
    <row r="60" spans="1:22" ht="13.5" thickBot="1">
      <c r="A60" s="129">
        <v>1003</v>
      </c>
      <c r="B60" s="566" t="str">
        <f>+VLOOKUP($A60,Master!$D$30:$G$226,4,FALSE)</f>
        <v>Finansiranje</v>
      </c>
      <c r="C60" s="567"/>
      <c r="D60" s="567"/>
      <c r="E60" s="567"/>
      <c r="F60" s="567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7">
        <f t="shared" si="3"/>
        <v>10.849839277223779</v>
      </c>
    </row>
    <row r="61" spans="1:22">
      <c r="A61" s="129">
        <v>7511</v>
      </c>
      <c r="B61" s="600" t="str">
        <f>+VLOOKUP($A61,Master!$D$30:$G$226,4,FALSE)</f>
        <v>Pozajmice i krediti od domaćih izvora</v>
      </c>
      <c r="C61" s="601"/>
      <c r="D61" s="601"/>
      <c r="E61" s="601"/>
      <c r="F61" s="601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7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4">
        <f t="shared" si="3"/>
        <v>0</v>
      </c>
      <c r="U61" s="473"/>
      <c r="V61" s="292"/>
    </row>
    <row r="62" spans="1:22">
      <c r="A62" s="129">
        <v>7512</v>
      </c>
      <c r="B62" s="576" t="str">
        <f>+VLOOKUP($A62,Master!$D$30:$G$226,4,FALSE)</f>
        <v>Pozajmice i krediti od inostranih izvora</v>
      </c>
      <c r="C62" s="577"/>
      <c r="D62" s="577"/>
      <c r="E62" s="577"/>
      <c r="F62" s="577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7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4">
        <f t="shared" si="3"/>
        <v>2.4939416883479617</v>
      </c>
      <c r="U62" s="473"/>
      <c r="V62" s="292"/>
    </row>
    <row r="63" spans="1:22">
      <c r="A63" s="129">
        <v>72</v>
      </c>
      <c r="B63" s="576" t="str">
        <f>+VLOOKUP($A63,Master!$D$30:$G$226,4,FALSE)</f>
        <v>Primici od prodaje imovine</v>
      </c>
      <c r="C63" s="577"/>
      <c r="D63" s="577"/>
      <c r="E63" s="577"/>
      <c r="F63" s="577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7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4">
        <f t="shared" si="3"/>
        <v>8.9878385087251239E-2</v>
      </c>
      <c r="U63" s="473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8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632" t="str">
        <f>+Master!G253</f>
        <v>Plan ostvarenja budžeta</v>
      </c>
      <c r="C81" s="633"/>
      <c r="D81" s="633"/>
      <c r="E81" s="633"/>
      <c r="F81" s="633"/>
      <c r="G81" s="640">
        <v>2021</v>
      </c>
      <c r="H81" s="641"/>
      <c r="I81" s="641"/>
      <c r="J81" s="641"/>
      <c r="K81" s="641"/>
      <c r="L81" s="641"/>
      <c r="M81" s="641"/>
      <c r="N81" s="641"/>
      <c r="O81" s="641"/>
      <c r="P81" s="641"/>
      <c r="Q81" s="641"/>
      <c r="R81" s="642"/>
      <c r="S81" s="96" t="str">
        <f>+S7</f>
        <v>BDP</v>
      </c>
      <c r="T81" s="97">
        <v>4636600000</v>
      </c>
    </row>
    <row r="82" spans="1:21" ht="15.75" customHeight="1">
      <c r="B82" s="634"/>
      <c r="C82" s="635"/>
      <c r="D82" s="635"/>
      <c r="E82" s="635"/>
      <c r="F82" s="636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640" t="str">
        <f>+Master!G247</f>
        <v>Jan - Dec</v>
      </c>
      <c r="T82" s="642">
        <f>+T8</f>
        <v>0</v>
      </c>
    </row>
    <row r="83" spans="1:21" ht="13.5" thickBot="1">
      <c r="B83" s="637"/>
      <c r="C83" s="638"/>
      <c r="D83" s="638"/>
      <c r="E83" s="638"/>
      <c r="F83" s="639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655" t="str">
        <f>+VLOOKUP(LEFT($A84,LEN(A84)-1)*1,Master!$D$30:$G$226,4,FALSE)</f>
        <v>Prihodi budžeta</v>
      </c>
      <c r="C84" s="656"/>
      <c r="D84" s="656"/>
      <c r="E84" s="656"/>
      <c r="F84" s="656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5">
        <f>+SUM(G84:R84)</f>
        <v>1880205845.3399</v>
      </c>
      <c r="T84" s="449">
        <f>+S84/$T$81*100</f>
        <v>40.551392083421042</v>
      </c>
      <c r="U84" s="242"/>
    </row>
    <row r="85" spans="1:21">
      <c r="A85" s="105" t="str">
        <f t="shared" si="17"/>
        <v>711p</v>
      </c>
      <c r="B85" s="630" t="str">
        <f>+VLOOKUP(LEFT($A85,LEN(A85)-1)*1,Master!$D$30:$G$226,4,FALSE)</f>
        <v>Porezi</v>
      </c>
      <c r="C85" s="631"/>
      <c r="D85" s="631"/>
      <c r="E85" s="631"/>
      <c r="F85" s="631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5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622" t="str">
        <f>+VLOOKUP(LEFT($A86,LEN(A86)-1)*1,Master!$D$30:$G$229,4,FALSE)</f>
        <v>Porez na dohodak fizičkih lica</v>
      </c>
      <c r="C86" s="623"/>
      <c r="D86" s="623"/>
      <c r="E86" s="623"/>
      <c r="F86" s="623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6">
        <f t="shared" si="21"/>
        <v>3.342095146967782</v>
      </c>
    </row>
    <row r="87" spans="1:21">
      <c r="A87" s="105" t="str">
        <f t="shared" si="17"/>
        <v>7112p</v>
      </c>
      <c r="B87" s="622" t="str">
        <f>+VLOOKUP(LEFT($A87,LEN(A87)-1)*1,Master!$D$30:$G$229,4,FALSE)</f>
        <v>Porez na dobit pravnih lica</v>
      </c>
      <c r="C87" s="623"/>
      <c r="D87" s="623"/>
      <c r="E87" s="623"/>
      <c r="F87" s="623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6">
        <f t="shared" si="21"/>
        <v>1.2943922881014109</v>
      </c>
    </row>
    <row r="88" spans="1:21">
      <c r="A88" s="105" t="str">
        <f t="shared" si="17"/>
        <v>7113p</v>
      </c>
      <c r="B88" s="622" t="str">
        <f>+VLOOKUP(LEFT($A88,LEN(A88)-1)*1,Master!$D$30:$G$229,4,FALSE)</f>
        <v>Porez na promet nepokretnosti</v>
      </c>
      <c r="C88" s="623"/>
      <c r="D88" s="623"/>
      <c r="E88" s="623"/>
      <c r="F88" s="623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6">
        <f t="shared" si="21"/>
        <v>3.4703770606910232E-2</v>
      </c>
    </row>
    <row r="89" spans="1:21">
      <c r="A89" s="105" t="str">
        <f t="shared" si="17"/>
        <v>7114p</v>
      </c>
      <c r="B89" s="622" t="str">
        <f>+VLOOKUP(LEFT($A89,LEN(A89)-1)*1,Master!$D$30:$G$229,4,FALSE)</f>
        <v>Porez na dodatu vrijednost</v>
      </c>
      <c r="C89" s="623"/>
      <c r="D89" s="623"/>
      <c r="E89" s="623"/>
      <c r="F89" s="623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6">
        <f t="shared" si="21"/>
        <v>13.195240452948015</v>
      </c>
    </row>
    <row r="90" spans="1:21">
      <c r="A90" s="105" t="str">
        <f t="shared" si="17"/>
        <v>7115p</v>
      </c>
      <c r="B90" s="622" t="str">
        <f>+VLOOKUP(LEFT($A90,LEN(A90)-1)*1,Master!$D$30:$G$229,4,FALSE)</f>
        <v>Akcize</v>
      </c>
      <c r="C90" s="623"/>
      <c r="D90" s="623"/>
      <c r="E90" s="623"/>
      <c r="F90" s="623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6">
        <f t="shared" si="21"/>
        <v>5.1970907056571622</v>
      </c>
    </row>
    <row r="91" spans="1:21">
      <c r="A91" s="105" t="str">
        <f t="shared" si="17"/>
        <v>7116p</v>
      </c>
      <c r="B91" s="622" t="str">
        <f>+VLOOKUP(LEFT($A91,LEN(A91)-1)*1,Master!$D$30:$G$229,4,FALSE)</f>
        <v>Porez na međunarodnu trgovinu i transakcije</v>
      </c>
      <c r="C91" s="623"/>
      <c r="D91" s="623"/>
      <c r="E91" s="623"/>
      <c r="F91" s="623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6">
        <f t="shared" si="21"/>
        <v>0.53454626393521121</v>
      </c>
    </row>
    <row r="92" spans="1:21">
      <c r="A92" s="105" t="str">
        <f t="shared" si="17"/>
        <v>7118p</v>
      </c>
      <c r="B92" s="622" t="str">
        <f>+VLOOKUP(LEFT($A92,LEN(A92)-1)*1,Master!$D$30:$G$229,4,FALSE)</f>
        <v>Ostali državni porezi</v>
      </c>
      <c r="C92" s="623"/>
      <c r="D92" s="623"/>
      <c r="E92" s="623"/>
      <c r="F92" s="623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6">
        <f t="shared" si="21"/>
        <v>0.23596029916404263</v>
      </c>
    </row>
    <row r="93" spans="1:21">
      <c r="A93" s="105" t="str">
        <f t="shared" si="17"/>
        <v>712p</v>
      </c>
      <c r="B93" s="657" t="str">
        <f>+VLOOKUP(LEFT($A93,LEN(A93)-1)*1,Master!$D$30:$G$229,4,FALSE)</f>
        <v>Doprinosi</v>
      </c>
      <c r="C93" s="658"/>
      <c r="D93" s="658"/>
      <c r="E93" s="658"/>
      <c r="F93" s="658"/>
      <c r="G93" s="71">
        <f>+SUM(G94:G97)</f>
        <v>16292817.308185648</v>
      </c>
      <c r="H93" s="71">
        <f t="shared" ref="H93:R93" si="22">+SUM(H94:H97)</f>
        <v>41389656.549846224</v>
      </c>
      <c r="I93" s="452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7">
        <f t="shared" si="21"/>
        <v>12.548878564749469</v>
      </c>
    </row>
    <row r="94" spans="1:21">
      <c r="A94" s="105" t="str">
        <f t="shared" si="17"/>
        <v>7121p</v>
      </c>
      <c r="B94" s="622" t="str">
        <f>+VLOOKUP(LEFT($A94,LEN(A94)-1)*1,Master!$D$30:$G$229,4,FALSE)</f>
        <v>Doprinosi za penzijsko i invalidsko osiguranje</v>
      </c>
      <c r="C94" s="623"/>
      <c r="D94" s="623"/>
      <c r="E94" s="623"/>
      <c r="F94" s="623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6">
        <f t="shared" si="21"/>
        <v>7.8081986886007</v>
      </c>
    </row>
    <row r="95" spans="1:21">
      <c r="A95" s="105" t="str">
        <f t="shared" si="17"/>
        <v>7122p</v>
      </c>
      <c r="B95" s="622" t="str">
        <f>+VLOOKUP(LEFT($A95,LEN(A95)-1)*1,Master!$D$30:$G$229,4,FALSE)</f>
        <v>Doprinosi za zdravstveno osiguranje</v>
      </c>
      <c r="C95" s="623"/>
      <c r="D95" s="623"/>
      <c r="E95" s="623"/>
      <c r="F95" s="623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6">
        <f t="shared" si="21"/>
        <v>4.0418037813006764</v>
      </c>
    </row>
    <row r="96" spans="1:21">
      <c r="A96" s="105" t="str">
        <f t="shared" si="17"/>
        <v>7123p</v>
      </c>
      <c r="B96" s="622" t="str">
        <f>+VLOOKUP(LEFT($A96,LEN(A96)-1)*1,Master!$D$30:$G$229,4,FALSE)</f>
        <v>Doprinosi za osiguranje od nezaposlenosti</v>
      </c>
      <c r="C96" s="623"/>
      <c r="D96" s="623"/>
      <c r="E96" s="623"/>
      <c r="F96" s="623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6">
        <f t="shared" si="21"/>
        <v>0.37739904074144265</v>
      </c>
    </row>
    <row r="97" spans="1:23">
      <c r="A97" s="105" t="str">
        <f t="shared" si="17"/>
        <v>7124p</v>
      </c>
      <c r="B97" s="622" t="str">
        <f>+VLOOKUP(LEFT($A97,LEN(A97)-1)*1,Master!$D$30:$G$229,4,FALSE)</f>
        <v>Ostali doprinosi</v>
      </c>
      <c r="C97" s="623"/>
      <c r="D97" s="623"/>
      <c r="E97" s="623"/>
      <c r="F97" s="623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6">
        <f t="shared" si="21"/>
        <v>0.32147705410665273</v>
      </c>
    </row>
    <row r="98" spans="1:23">
      <c r="A98" s="105" t="str">
        <f t="shared" si="17"/>
        <v>713p</v>
      </c>
      <c r="B98" s="628" t="str">
        <f>+VLOOKUP(LEFT($A98,LEN(A98)-1)*1,Master!$D$30:$G$229,4,FALSE)</f>
        <v>Takse</v>
      </c>
      <c r="C98" s="629"/>
      <c r="D98" s="629"/>
      <c r="E98" s="629"/>
      <c r="F98" s="629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7">
        <f t="shared" si="21"/>
        <v>0.27557339372126122</v>
      </c>
    </row>
    <row r="99" spans="1:23">
      <c r="A99" s="105" t="str">
        <f t="shared" si="17"/>
        <v>714p</v>
      </c>
      <c r="B99" s="628" t="str">
        <f>+VLOOKUP(LEFT($A99,LEN(A99)-1)*1,Master!$D$30:$G$229,4,FALSE)</f>
        <v>Naknade</v>
      </c>
      <c r="C99" s="629"/>
      <c r="D99" s="629"/>
      <c r="E99" s="629"/>
      <c r="F99" s="629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7">
        <f t="shared" si="21"/>
        <v>0.87442029964197865</v>
      </c>
    </row>
    <row r="100" spans="1:23">
      <c r="A100" s="105" t="str">
        <f t="shared" si="17"/>
        <v>715p</v>
      </c>
      <c r="B100" s="628" t="str">
        <f>+VLOOKUP(LEFT($A100,LEN(A100)-1)*1,Master!$D$30:$G$229,4,FALSE)</f>
        <v>Ostali prihodi</v>
      </c>
      <c r="C100" s="629"/>
      <c r="D100" s="629"/>
      <c r="E100" s="629"/>
      <c r="F100" s="629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7">
        <f t="shared" si="21"/>
        <v>1.4196769637950202</v>
      </c>
    </row>
    <row r="101" spans="1:23">
      <c r="A101" s="105" t="str">
        <f t="shared" si="17"/>
        <v>73p</v>
      </c>
      <c r="B101" s="628" t="str">
        <f>+VLOOKUP(LEFT($A101,LEN(A101)-1)*1,Master!$D$30:$G$229,4,FALSE)</f>
        <v>Primici od otplate kredita i sredstva prenesena iz prethodne godine</v>
      </c>
      <c r="C101" s="629"/>
      <c r="D101" s="629"/>
      <c r="E101" s="629"/>
      <c r="F101" s="629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7">
        <f t="shared" si="21"/>
        <v>0.19907921041280252</v>
      </c>
    </row>
    <row r="102" spans="1:23" ht="13.5" thickBot="1">
      <c r="A102" s="105" t="str">
        <f t="shared" si="17"/>
        <v>74p</v>
      </c>
      <c r="B102" s="624" t="str">
        <f>+VLOOKUP(LEFT($A102,LEN(A102)-1)*1,Master!$D$30:$G$229,4,FALSE)</f>
        <v>Donacije i transferi</v>
      </c>
      <c r="C102" s="625"/>
      <c r="D102" s="625"/>
      <c r="E102" s="625"/>
      <c r="F102" s="625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8">
        <f t="shared" si="21"/>
        <v>1.3997347237199673</v>
      </c>
    </row>
    <row r="103" spans="1:23" ht="13.5" thickBot="1">
      <c r="A103" s="105" t="str">
        <f t="shared" si="17"/>
        <v>4p</v>
      </c>
      <c r="B103" s="606" t="str">
        <f>+VLOOKUP(LEFT($A103,LEN(A103)-1)*1,Master!$D$30:$G$229,4,FALSE)</f>
        <v>Izdaci budžeta</v>
      </c>
      <c r="C103" s="607"/>
      <c r="D103" s="607"/>
      <c r="E103" s="607"/>
      <c r="F103" s="607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3">
        <f>+SUM(G103:R103)</f>
        <v>2055535193.0642829</v>
      </c>
      <c r="T103" s="450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626" t="str">
        <f>+VLOOKUP(LEFT($A104,LEN(A104)-1)*1,Master!$D$30:$G$229,4,FALSE)</f>
        <v>Tekući izdaci</v>
      </c>
      <c r="C104" s="627"/>
      <c r="D104" s="627"/>
      <c r="E104" s="627"/>
      <c r="F104" s="627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5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622" t="str">
        <f>+VLOOKUP(LEFT($A105,LEN(A105)-1)*1,Master!$D$30:$G$229,4,FALSE)</f>
        <v>Bruto zarade i doprinosi na teret poslodavca</v>
      </c>
      <c r="C105" s="623"/>
      <c r="D105" s="623"/>
      <c r="E105" s="623"/>
      <c r="F105" s="623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6">
        <f t="shared" si="21"/>
        <v>11.278641018850019</v>
      </c>
    </row>
    <row r="106" spans="1:23">
      <c r="A106" s="105" t="str">
        <f t="shared" si="17"/>
        <v>412p</v>
      </c>
      <c r="B106" s="622" t="str">
        <f>+VLOOKUP(LEFT($A106,LEN(A106)-1)*1,Master!$D$30:$G$229,4,FALSE)</f>
        <v>Ostala lična primanja</v>
      </c>
      <c r="C106" s="623"/>
      <c r="D106" s="623"/>
      <c r="E106" s="623"/>
      <c r="F106" s="623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6">
        <f t="shared" si="21"/>
        <v>0.26959439934434715</v>
      </c>
    </row>
    <row r="107" spans="1:23">
      <c r="A107" s="105" t="str">
        <f t="shared" si="17"/>
        <v>413p</v>
      </c>
      <c r="B107" s="622" t="str">
        <f>+VLOOKUP(LEFT($A107,LEN(A107)-1)*1,Master!$D$30:$G$229,4,FALSE)</f>
        <v>Rashodi za materijal</v>
      </c>
      <c r="C107" s="623"/>
      <c r="D107" s="623"/>
      <c r="E107" s="623"/>
      <c r="F107" s="623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6">
        <f t="shared" si="21"/>
        <v>0.6893019837812191</v>
      </c>
    </row>
    <row r="108" spans="1:23">
      <c r="A108" s="105" t="str">
        <f t="shared" si="17"/>
        <v>414p</v>
      </c>
      <c r="B108" s="622" t="str">
        <f>+VLOOKUP(LEFT($A108,LEN(A108)-1)*1,Master!$D$30:$G$229,4,FALSE)</f>
        <v>Rashodi za usluge</v>
      </c>
      <c r="C108" s="623"/>
      <c r="D108" s="623"/>
      <c r="E108" s="623"/>
      <c r="F108" s="623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6">
        <f t="shared" si="21"/>
        <v>1.3532731210369666</v>
      </c>
    </row>
    <row r="109" spans="1:23">
      <c r="A109" s="105" t="str">
        <f t="shared" si="17"/>
        <v>415p</v>
      </c>
      <c r="B109" s="622" t="str">
        <f>+VLOOKUP(LEFT($A109,LEN(A109)-1)*1,Master!$D$30:$G$229,4,FALSE)</f>
        <v>Rashodi za tekuće održavanje</v>
      </c>
      <c r="C109" s="623"/>
      <c r="D109" s="623"/>
      <c r="E109" s="623"/>
      <c r="F109" s="623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6">
        <f t="shared" si="21"/>
        <v>0.50341789889142918</v>
      </c>
    </row>
    <row r="110" spans="1:23">
      <c r="A110" s="105" t="str">
        <f t="shared" si="17"/>
        <v>416p</v>
      </c>
      <c r="B110" s="622" t="str">
        <f>+VLOOKUP(LEFT($A110,LEN(A110)-1)*1,Master!$D$30:$G$229,4,FALSE)</f>
        <v>Kamate</v>
      </c>
      <c r="C110" s="623"/>
      <c r="D110" s="623"/>
      <c r="E110" s="623"/>
      <c r="F110" s="623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6">
        <f t="shared" si="21"/>
        <v>2.4387566176569671</v>
      </c>
    </row>
    <row r="111" spans="1:23">
      <c r="A111" s="105" t="str">
        <f t="shared" si="17"/>
        <v>417p</v>
      </c>
      <c r="B111" s="622" t="str">
        <f>+VLOOKUP(LEFT($A111,LEN(A111)-1)*1,Master!$D$30:$G$229,4,FALSE)</f>
        <v>Renta</v>
      </c>
      <c r="C111" s="623"/>
      <c r="D111" s="623"/>
      <c r="E111" s="623"/>
      <c r="F111" s="623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6">
        <f t="shared" si="21"/>
        <v>0.23455438597247985</v>
      </c>
    </row>
    <row r="112" spans="1:23">
      <c r="A112" s="105" t="str">
        <f t="shared" si="17"/>
        <v>418p</v>
      </c>
      <c r="B112" s="622" t="str">
        <f>+VLOOKUP(LEFT($A112,LEN(A112)-1)*1,Master!$D$30:$G$229,4,FALSE)</f>
        <v>Subvencije</v>
      </c>
      <c r="C112" s="623"/>
      <c r="D112" s="623"/>
      <c r="E112" s="623"/>
      <c r="F112" s="623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6">
        <f t="shared" si="21"/>
        <v>1.095014621489885</v>
      </c>
    </row>
    <row r="113" spans="1:22">
      <c r="A113" s="105" t="str">
        <f t="shared" si="17"/>
        <v>419p</v>
      </c>
      <c r="B113" s="622" t="str">
        <f>+VLOOKUP(LEFT($A113,LEN(A113)-1)*1,Master!$D$30:$G$229,4,FALSE)</f>
        <v>Ostali izdaci</v>
      </c>
      <c r="C113" s="623"/>
      <c r="D113" s="623"/>
      <c r="E113" s="623"/>
      <c r="F113" s="623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6">
        <f t="shared" si="21"/>
        <v>0.97937629944355764</v>
      </c>
    </row>
    <row r="114" spans="1:22">
      <c r="A114" s="105" t="str">
        <f t="shared" si="17"/>
        <v>42p</v>
      </c>
      <c r="B114" s="618" t="str">
        <f>+VLOOKUP(LEFT($A114,LEN(A114)-1)*1,Master!$D$30:$G$229,4,FALSE)</f>
        <v>Transferi za socijalnu zaštitu</v>
      </c>
      <c r="C114" s="619"/>
      <c r="D114" s="619"/>
      <c r="E114" s="619"/>
      <c r="F114" s="619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7">
        <f t="shared" si="21"/>
        <v>12.924380405253846</v>
      </c>
    </row>
    <row r="115" spans="1:22">
      <c r="A115" s="105" t="str">
        <f t="shared" si="17"/>
        <v>421p</v>
      </c>
      <c r="B115" s="622" t="str">
        <f>+VLOOKUP(LEFT($A115,LEN(A115)-1)*1,Master!$D$30:$G$229,4,FALSE)</f>
        <v>Prava iz oblasti socijalne zaštite</v>
      </c>
      <c r="C115" s="623"/>
      <c r="D115" s="623"/>
      <c r="E115" s="623"/>
      <c r="F115" s="623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6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622" t="str">
        <f>+VLOOKUP(LEFT($A116,LEN(A116)-1)*1,Master!$D$30:$G$229,4,FALSE)</f>
        <v>Sredstva za tehnološke viškove</v>
      </c>
      <c r="C116" s="623"/>
      <c r="D116" s="623"/>
      <c r="E116" s="623"/>
      <c r="F116" s="623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6">
        <f t="shared" si="21"/>
        <v>0.40028421558900928</v>
      </c>
    </row>
    <row r="117" spans="1:22">
      <c r="A117" s="105" t="str">
        <f t="shared" si="26"/>
        <v>423p</v>
      </c>
      <c r="B117" s="622" t="str">
        <f>+VLOOKUP(LEFT($A117,LEN(A117)-1)*1,Master!$D$30:$G$229,4,FALSE)</f>
        <v>Prava iz oblasti penzijskog i invalidskog osiguranja</v>
      </c>
      <c r="C117" s="623"/>
      <c r="D117" s="623"/>
      <c r="E117" s="623"/>
      <c r="F117" s="623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6">
        <f t="shared" si="21"/>
        <v>9.6073360637104752</v>
      </c>
    </row>
    <row r="118" spans="1:22">
      <c r="A118" s="105" t="str">
        <f t="shared" si="26"/>
        <v>424p</v>
      </c>
      <c r="B118" s="622" t="str">
        <f>+VLOOKUP(LEFT($A118,LEN(A118)-1)*1,Master!$D$30:$G$229,4,FALSE)</f>
        <v>Ostala prava iz oblasti zdravstvene zaštite</v>
      </c>
      <c r="C118" s="623"/>
      <c r="D118" s="623"/>
      <c r="E118" s="623"/>
      <c r="F118" s="623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6">
        <f t="shared" si="21"/>
        <v>0.32998317732821458</v>
      </c>
    </row>
    <row r="119" spans="1:22">
      <c r="A119" s="105" t="str">
        <f t="shared" si="26"/>
        <v>425p</v>
      </c>
      <c r="B119" s="622" t="str">
        <f>+VLOOKUP(LEFT($A119,LEN(A119)-1)*1,Master!$D$30:$G$229,4,FALSE)</f>
        <v>Ostala prava iz zdravstvenog osiguranja</v>
      </c>
      <c r="C119" s="623"/>
      <c r="D119" s="623"/>
      <c r="E119" s="623"/>
      <c r="F119" s="623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6">
        <f t="shared" si="21"/>
        <v>0.24802657119440971</v>
      </c>
    </row>
    <row r="120" spans="1:22">
      <c r="A120" s="105" t="str">
        <f t="shared" si="26"/>
        <v>43p</v>
      </c>
      <c r="B120" s="620" t="str">
        <f>+VLOOKUP(LEFT($A120,LEN(A120)-1)*1,Master!$D$30:$G$229,4,FALSE)</f>
        <v xml:space="preserve">Transferi institucijama, pojedincima, nevladinom i javnom sektoru </v>
      </c>
      <c r="C120" s="621"/>
      <c r="D120" s="621"/>
      <c r="E120" s="621"/>
      <c r="F120" s="621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7">
        <f t="shared" si="21"/>
        <v>5.6085441784928598</v>
      </c>
    </row>
    <row r="121" spans="1:22">
      <c r="A121" s="105" t="str">
        <f t="shared" si="26"/>
        <v>44p</v>
      </c>
      <c r="B121" s="620" t="str">
        <f>+VLOOKUP(LEFT($A121,LEN(A121)-1)*1,Master!$D$30:$G$229,4,FALSE)</f>
        <v>Kapitalni izdaci</v>
      </c>
      <c r="C121" s="621"/>
      <c r="D121" s="621"/>
      <c r="E121" s="621"/>
      <c r="F121" s="621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7">
        <f t="shared" si="21"/>
        <v>5.0803331212526421</v>
      </c>
    </row>
    <row r="122" spans="1:22">
      <c r="A122" s="105" t="str">
        <f t="shared" si="26"/>
        <v>451p</v>
      </c>
      <c r="B122" s="612" t="str">
        <f>+VLOOKUP(LEFT($A122,LEN(A122)-1)*1,Master!$D$30:$G$229,4,FALSE)</f>
        <v>Pozajmice i krediti</v>
      </c>
      <c r="C122" s="613"/>
      <c r="D122" s="613"/>
      <c r="E122" s="613"/>
      <c r="F122" s="613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6">
        <f t="shared" si="21"/>
        <v>3.3515959970668155E-2</v>
      </c>
    </row>
    <row r="123" spans="1:22">
      <c r="A123" s="105" t="str">
        <f t="shared" si="26"/>
        <v>47p</v>
      </c>
      <c r="B123" s="612" t="str">
        <f>+VLOOKUP(LEFT($A123,LEN(A123)-1)*1,Master!$D$30:$G$229,4,FALSE)</f>
        <v>Rezerve</v>
      </c>
      <c r="C123" s="613"/>
      <c r="D123" s="613"/>
      <c r="E123" s="613"/>
      <c r="F123" s="613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6">
        <f t="shared" si="21"/>
        <v>1.535889466419359</v>
      </c>
    </row>
    <row r="124" spans="1:22">
      <c r="A124" s="105" t="str">
        <f t="shared" si="26"/>
        <v>462p</v>
      </c>
      <c r="B124" s="612" t="str">
        <f>+VLOOKUP(LEFT($A124,LEN(A124)-1)*1,Master!$D$30:$G$229,4,FALSE)</f>
        <v>Otplata garancija</v>
      </c>
      <c r="C124" s="613"/>
      <c r="D124" s="613"/>
      <c r="E124" s="613"/>
      <c r="F124" s="613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6">
        <f t="shared" si="21"/>
        <v>8.3250657809601863E-2</v>
      </c>
    </row>
    <row r="125" spans="1:22">
      <c r="A125" s="106" t="str">
        <f t="shared" si="26"/>
        <v>4630p</v>
      </c>
      <c r="B125" s="612" t="str">
        <f>+VLOOKUP(LEFT($A125,LEN(A125)-1)*1,Master!$D$30:$G$229,4,FALSE)</f>
        <v>Otplata obaveza iz prethodnog perioda</v>
      </c>
      <c r="C125" s="613"/>
      <c r="D125" s="613"/>
      <c r="E125" s="613"/>
      <c r="F125" s="613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4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612" t="str">
        <f>+VLOOKUP(LEFT($A126,LEN(A126)-1)*1,Master!$D$30:$G$229,4,FALSE)</f>
        <v>Neto povećanje obaveza</v>
      </c>
      <c r="C126" s="613"/>
      <c r="D126" s="613"/>
      <c r="E126" s="613"/>
      <c r="F126" s="613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1">
        <f t="shared" si="21"/>
        <v>0</v>
      </c>
    </row>
    <row r="127" spans="1:22" ht="13.5" thickBot="1">
      <c r="A127" s="106" t="str">
        <f t="shared" si="26"/>
        <v>1000p</v>
      </c>
      <c r="B127" s="614" t="str">
        <f>+VLOOKUP(LEFT($A127,LEN(A127)-1)*1,Master!$D$30:$G$226,4,FALSE)</f>
        <v>Suficit / deficit</v>
      </c>
      <c r="C127" s="615"/>
      <c r="D127" s="615"/>
      <c r="E127" s="615"/>
      <c r="F127" s="615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2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616" t="str">
        <f>+VLOOKUP(LEFT($A128,LEN(A128)-1)*1,Master!$D$30:$G$226,4,FALSE)</f>
        <v>Primarni suficit/deficit</v>
      </c>
      <c r="C128" s="617"/>
      <c r="D128" s="617"/>
      <c r="E128" s="617"/>
      <c r="F128" s="617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2">
        <f t="shared" si="21"/>
        <v>-1.3426639863283505</v>
      </c>
    </row>
    <row r="129" spans="1:22">
      <c r="A129" s="106" t="str">
        <f t="shared" si="26"/>
        <v>46p</v>
      </c>
      <c r="B129" s="618" t="str">
        <f>+VLOOKUP(LEFT($A129,LEN(A129)-1)*1,Master!$D$30:$G$226,4,FALSE)</f>
        <v>Otplata dugova</v>
      </c>
      <c r="C129" s="619"/>
      <c r="D129" s="619"/>
      <c r="E129" s="619"/>
      <c r="F129" s="619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6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3">
        <f t="shared" si="21"/>
        <v>9.4014988176105767</v>
      </c>
    </row>
    <row r="130" spans="1:22">
      <c r="A130" s="106" t="str">
        <f t="shared" si="26"/>
        <v>4611p</v>
      </c>
      <c r="B130" s="610" t="str">
        <f>+VLOOKUP(LEFT($A130,LEN(A130)-1)*1,Master!$D$30:$G$226,4,FALSE)</f>
        <v>Otplata hartija od vrijednosti i kredita rezidentima</v>
      </c>
      <c r="C130" s="611"/>
      <c r="D130" s="611"/>
      <c r="E130" s="611"/>
      <c r="F130" s="611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5">
        <v>294018.01</v>
      </c>
      <c r="N130" s="455">
        <v>1750047.75</v>
      </c>
      <c r="O130" s="455">
        <v>2421267.87</v>
      </c>
      <c r="P130" s="455">
        <v>3875503.62</v>
      </c>
      <c r="Q130" s="455">
        <v>3741551.76</v>
      </c>
      <c r="R130" s="455">
        <v>2536618.6</v>
      </c>
      <c r="S130" s="92">
        <f t="shared" si="20"/>
        <v>85893831.950000018</v>
      </c>
      <c r="T130" s="444">
        <f t="shared" si="21"/>
        <v>1.8525176195919428</v>
      </c>
    </row>
    <row r="131" spans="1:22" ht="13.5" thickBot="1">
      <c r="A131" s="106" t="str">
        <f t="shared" si="26"/>
        <v>4612p</v>
      </c>
      <c r="B131" s="612" t="str">
        <f>+VLOOKUP(LEFT($A131,LEN(A131)-1)*1,Master!$D$30:$G$226,4,FALSE)</f>
        <v>Otplata hartija od vrijednosti i kredita nerezidentima</v>
      </c>
      <c r="C131" s="613"/>
      <c r="D131" s="613"/>
      <c r="E131" s="613"/>
      <c r="F131" s="613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5">
        <v>25464619.924741425</v>
      </c>
      <c r="N131" s="455">
        <v>3126864.3779565003</v>
      </c>
      <c r="O131" s="455">
        <v>11497770.422649164</v>
      </c>
      <c r="P131" s="455">
        <v>3625120.5096505</v>
      </c>
      <c r="Q131" s="455">
        <v>4121213.775667767</v>
      </c>
      <c r="R131" s="455">
        <v>4218746.7266666656</v>
      </c>
      <c r="S131" s="92">
        <f t="shared" si="20"/>
        <v>350016062.22733206</v>
      </c>
      <c r="T131" s="444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606" t="str">
        <f>+VLOOKUP(LEFT($A132,LEN(A132)-1)*1,Master!$D$30:$G$226,4,FALSE)</f>
        <v>Izdaci za kupovinu hartija od vrijednosti</v>
      </c>
      <c r="C132" s="607"/>
      <c r="D132" s="607"/>
      <c r="E132" s="607"/>
      <c r="F132" s="607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1">
        <f t="shared" si="20"/>
        <v>590000</v>
      </c>
      <c r="T132" s="451">
        <f t="shared" si="21"/>
        <v>1.2724841478669716E-2</v>
      </c>
    </row>
    <row r="133" spans="1:22" ht="13.5" thickBot="1">
      <c r="A133" s="106" t="str">
        <f t="shared" si="26"/>
        <v>1002p</v>
      </c>
      <c r="B133" s="608" t="str">
        <f>+VLOOKUP(LEFT($A133,LEN(A133)-1)*1,Master!$D$30:$G$226,4,FALSE)</f>
        <v>Nedostajuća sredstva</v>
      </c>
      <c r="C133" s="609"/>
      <c r="D133" s="609"/>
      <c r="E133" s="609"/>
      <c r="F133" s="609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6">
        <f t="shared" si="21"/>
        <v>-13.195644263074563</v>
      </c>
    </row>
    <row r="134" spans="1:22" ht="13.5" thickBot="1">
      <c r="A134" s="106" t="str">
        <f t="shared" si="26"/>
        <v>1003p</v>
      </c>
      <c r="B134" s="606" t="str">
        <f>+VLOOKUP(LEFT($A134,LEN(A134)-1)*1,Master!$D$30:$G$226,4,FALSE)</f>
        <v>Finansiranje</v>
      </c>
      <c r="C134" s="607"/>
      <c r="D134" s="607"/>
      <c r="E134" s="607"/>
      <c r="F134" s="607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7">
        <f t="shared" si="21"/>
        <v>13.195644263074563</v>
      </c>
    </row>
    <row r="135" spans="1:22">
      <c r="A135" s="106" t="str">
        <f t="shared" si="26"/>
        <v>7511p</v>
      </c>
      <c r="B135" s="610" t="str">
        <f>+VLOOKUP(LEFT($A135,LEN(A135)-1)*1,Master!$D$30:$G$226,4,FALSE)</f>
        <v>Pozajmice i krediti od domaćih izvora</v>
      </c>
      <c r="C135" s="611"/>
      <c r="D135" s="611"/>
      <c r="E135" s="611"/>
      <c r="F135" s="611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4">
        <f t="shared" si="21"/>
        <v>0</v>
      </c>
    </row>
    <row r="136" spans="1:22">
      <c r="A136" s="106" t="str">
        <f t="shared" si="26"/>
        <v>7512p</v>
      </c>
      <c r="B136" s="612" t="str">
        <f>+VLOOKUP(LEFT($A136,LEN(A136)-1)*1,Master!$D$30:$G$226,4,FALSE)</f>
        <v>Pozajmice i krediti od inostranih izvora</v>
      </c>
      <c r="C136" s="613"/>
      <c r="D136" s="613"/>
      <c r="E136" s="613"/>
      <c r="F136" s="613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4">
        <f t="shared" si="21"/>
        <v>3.5586421084415303</v>
      </c>
    </row>
    <row r="137" spans="1:22">
      <c r="A137" s="106" t="str">
        <f t="shared" si="26"/>
        <v>72p</v>
      </c>
      <c r="B137" s="612" t="str">
        <f>+VLOOKUP(LEFT($A137,LEN(A137)-1)*1,Master!$D$30:$G$226,4,FALSE)</f>
        <v>Primici od prodaje imovine</v>
      </c>
      <c r="C137" s="613"/>
      <c r="D137" s="613"/>
      <c r="E137" s="613"/>
      <c r="F137" s="613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4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8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W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2020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4185600000</v>
      </c>
    </row>
    <row r="8" spans="1:20" ht="16.5" customHeight="1">
      <c r="A8" s="129"/>
      <c r="B8" s="588"/>
      <c r="C8" s="589"/>
      <c r="D8" s="589"/>
      <c r="E8" s="589"/>
      <c r="F8" s="590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0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554" t="str">
        <f>+VLOOKUP($A10,Master!$D$30:$G$226,4,FALSE)</f>
        <v>Prihodi budžeta</v>
      </c>
      <c r="C10" s="555"/>
      <c r="D10" s="555"/>
      <c r="E10" s="555"/>
      <c r="F10" s="555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6">
        <f>+S10/$T$7*100</f>
        <v>39.146813852016443</v>
      </c>
    </row>
    <row r="11" spans="1:20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7">
        <f t="shared" ref="T11:T64" si="4">+S11/$T$7*100</f>
        <v>23.081609190558101</v>
      </c>
    </row>
    <row r="12" spans="1:20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8">
        <f t="shared" si="4"/>
        <v>2.827361163990826</v>
      </c>
    </row>
    <row r="13" spans="1:20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8">
        <f t="shared" si="4"/>
        <v>1.8736944908734712</v>
      </c>
    </row>
    <row r="14" spans="1:20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8">
        <f t="shared" si="4"/>
        <v>3.6875256116207955E-2</v>
      </c>
    </row>
    <row r="15" spans="1:20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8">
        <f t="shared" si="4"/>
        <v>12.657215500525613</v>
      </c>
    </row>
    <row r="16" spans="1:20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8">
        <f t="shared" si="4"/>
        <v>4.9071243733276004</v>
      </c>
    </row>
    <row r="17" spans="1:23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8">
        <f t="shared" si="4"/>
        <v>0.5408522474675076</v>
      </c>
    </row>
    <row r="18" spans="1:23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8">
        <f t="shared" si="4"/>
        <v>0.23848615825688071</v>
      </c>
    </row>
    <row r="19" spans="1:23">
      <c r="A19" s="135">
        <v>712</v>
      </c>
      <c r="B19" s="562" t="str">
        <f>+VLOOKUP($A19,Master!$D$30:$G$226,4,FALSE)</f>
        <v>Doprinosi</v>
      </c>
      <c r="C19" s="563"/>
      <c r="D19" s="563"/>
      <c r="E19" s="563"/>
      <c r="F19" s="563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9">
        <f t="shared" si="4"/>
        <v>12.686844691083715</v>
      </c>
    </row>
    <row r="20" spans="1:23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8">
        <f t="shared" si="4"/>
        <v>7.9034619619648323</v>
      </c>
    </row>
    <row r="21" spans="1:23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8">
        <f t="shared" si="4"/>
        <v>4.0988543831230881</v>
      </c>
    </row>
    <row r="22" spans="1:23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8">
        <f t="shared" si="4"/>
        <v>0.3683970890672783</v>
      </c>
    </row>
    <row r="23" spans="1:23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8">
        <f t="shared" si="4"/>
        <v>0.31613125692851679</v>
      </c>
    </row>
    <row r="24" spans="1:23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9">
        <f t="shared" si="4"/>
        <v>0.25411990754013764</v>
      </c>
    </row>
    <row r="25" spans="1:23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9">
        <f t="shared" si="4"/>
        <v>0.66463075926987769</v>
      </c>
      <c r="W25" s="276"/>
    </row>
    <row r="26" spans="1:23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9">
        <f t="shared" si="4"/>
        <v>0.89869098313264495</v>
      </c>
      <c r="W26" s="292"/>
    </row>
    <row r="27" spans="1:23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9">
        <f t="shared" si="4"/>
        <v>0.17715297090022936</v>
      </c>
    </row>
    <row r="28" spans="1:23" ht="13.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10">
        <f t="shared" si="4"/>
        <v>1.3837653495317279</v>
      </c>
    </row>
    <row r="29" spans="1:23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1">
        <f t="shared" si="4"/>
        <v>49.328204113627663</v>
      </c>
    </row>
    <row r="30" spans="1:23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7">
        <f t="shared" si="3"/>
        <v>858015865.80999994</v>
      </c>
      <c r="T30" s="407">
        <f t="shared" si="4"/>
        <v>20.499232268014143</v>
      </c>
    </row>
    <row r="31" spans="1:23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8">
        <f t="shared" si="4"/>
        <v>11.92533854405581</v>
      </c>
    </row>
    <row r="32" spans="1:23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8">
        <f t="shared" si="4"/>
        <v>0.30866892512423549</v>
      </c>
    </row>
    <row r="33" spans="1:23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8">
        <f t="shared" si="4"/>
        <v>0.95395377293577988</v>
      </c>
      <c r="V33" s="275"/>
    </row>
    <row r="34" spans="1:23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8">
        <f t="shared" si="4"/>
        <v>1.7738425862480884</v>
      </c>
      <c r="U34" s="243"/>
    </row>
    <row r="35" spans="1:23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8">
        <f t="shared" si="4"/>
        <v>0.58208342388188083</v>
      </c>
    </row>
    <row r="36" spans="1:23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8">
        <f t="shared" si="4"/>
        <v>2.6545515183008415</v>
      </c>
    </row>
    <row r="37" spans="1:23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8">
        <f t="shared" si="4"/>
        <v>0.27163620030581043</v>
      </c>
    </row>
    <row r="38" spans="1:23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8">
        <f t="shared" si="4"/>
        <v>0.86783859709480116</v>
      </c>
    </row>
    <row r="39" spans="1:23" s="334" customFormat="1">
      <c r="A39" s="333">
        <v>419</v>
      </c>
      <c r="B39" s="653" t="str">
        <f>+VLOOKUP($A39,Master!$D$30:$G$226,4,FALSE)</f>
        <v>Ostali izdaci</v>
      </c>
      <c r="C39" s="654"/>
      <c r="D39" s="654"/>
      <c r="E39" s="654"/>
      <c r="F39" s="654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8">
        <f t="shared" si="4"/>
        <v>1.1613187000668961</v>
      </c>
      <c r="U39" s="243"/>
    </row>
    <row r="40" spans="1:23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9">
        <f t="shared" si="4"/>
        <v>13.347643551701072</v>
      </c>
      <c r="U40" s="227"/>
      <c r="W40" s="290"/>
    </row>
    <row r="41" spans="1:23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8">
        <f t="shared" si="4"/>
        <v>1.9227658534021408</v>
      </c>
      <c r="U41" s="227"/>
    </row>
    <row r="42" spans="1:23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8">
        <f t="shared" si="4"/>
        <v>0.48018163704128441</v>
      </c>
      <c r="U42" s="227"/>
    </row>
    <row r="43" spans="1:23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8">
        <f t="shared" si="4"/>
        <v>10.22724545775994</v>
      </c>
      <c r="U43" s="227"/>
    </row>
    <row r="44" spans="1:23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8">
        <f t="shared" si="4"/>
        <v>0.48311802370030571</v>
      </c>
      <c r="U44" s="227"/>
    </row>
    <row r="45" spans="1:23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8">
        <f t="shared" si="4"/>
        <v>0.23433257979740058</v>
      </c>
      <c r="U45" s="227"/>
    </row>
    <row r="46" spans="1:23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9">
        <f t="shared" si="4"/>
        <v>6.7194405222668205</v>
      </c>
      <c r="U46" s="227"/>
    </row>
    <row r="47" spans="1:23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9">
        <f t="shared" si="4"/>
        <v>5.4935233579415135</v>
      </c>
      <c r="U47" s="227"/>
    </row>
    <row r="48" spans="1:23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8">
        <f t="shared" si="4"/>
        <v>3.8500262805810398E-2</v>
      </c>
      <c r="U48" s="227"/>
    </row>
    <row r="49" spans="1:22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8">
        <f t="shared" si="4"/>
        <v>2.7812908352446479</v>
      </c>
      <c r="U49" s="227"/>
    </row>
    <row r="50" spans="1:22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8">
        <f t="shared" si="4"/>
        <v>0</v>
      </c>
      <c r="U50" s="227"/>
      <c r="V50" s="277"/>
    </row>
    <row r="51" spans="1:22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8">
        <f>+SUM(G51:R51)</f>
        <v>18775484.700000003</v>
      </c>
      <c r="T51" s="412">
        <f t="shared" si="4"/>
        <v>0.44857331565366981</v>
      </c>
      <c r="U51" s="227"/>
    </row>
    <row r="52" spans="1:22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3">
        <f t="shared" si="4"/>
        <v>0</v>
      </c>
    </row>
    <row r="53" spans="1:22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4">
        <f t="shared" si="4"/>
        <v>-10.181390261611241</v>
      </c>
    </row>
    <row r="54" spans="1:22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4">
        <f t="shared" si="4"/>
        <v>-7.5268387433103978</v>
      </c>
    </row>
    <row r="55" spans="1:22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5">
        <f t="shared" si="4"/>
        <v>15.90801867426414</v>
      </c>
      <c r="V55" s="290"/>
    </row>
    <row r="56" spans="1:22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6">
        <f t="shared" si="4"/>
        <v>5.8341507953459475</v>
      </c>
      <c r="V56" s="62"/>
    </row>
    <row r="57" spans="1:22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6">
        <f t="shared" si="4"/>
        <v>10.073867878918195</v>
      </c>
      <c r="V57" s="297"/>
    </row>
    <row r="58" spans="1:22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f>+INDEX(DataEx!$1:$1048576,MATCH('2020'!$A58,DataEx!$D:$D,0),MATCH('2020'!G$6,DataEx!$7:$7,0))</f>
        <v>0</v>
      </c>
      <c r="H58" s="432">
        <f>+INDEX(DataEx!$1:$1048576,MATCH('2020'!$A58,DataEx!$D:$D,0),MATCH('2020'!H$6,DataEx!$7:$7,0))</f>
        <v>0</v>
      </c>
      <c r="I58" s="432">
        <f>+INDEX(DataEx!$1:$1048576,MATCH('2020'!$A58,DataEx!$D:$D,0),MATCH('2020'!I$6,DataEx!$7:$7,0))</f>
        <v>0</v>
      </c>
      <c r="J58" s="432">
        <f>+INDEX(DataEx!$1:$1048576,MATCH('2020'!$A58,DataEx!$D:$D,0),MATCH('2020'!J$6,DataEx!$7:$7,0))</f>
        <v>0</v>
      </c>
      <c r="K58" s="432">
        <f>+INDEX(DataEx!$1:$1048576,MATCH('2020'!$A58,DataEx!$D:$D,0),MATCH('2020'!K$6,DataEx!$7:$7,0))</f>
        <v>0</v>
      </c>
      <c r="L58" s="432">
        <f>+INDEX(DataEx!$1:$1048576,MATCH('2020'!$A58,DataEx!$D:$D,0),MATCH('2020'!L$6,DataEx!$7:$7,0))</f>
        <v>0</v>
      </c>
      <c r="M58" s="432">
        <f>+INDEX(DataEx!$1:$1048576,MATCH('2020'!$A58,DataEx!$D:$D,0),MATCH('2020'!M$6,DataEx!$7:$7,0))</f>
        <v>0</v>
      </c>
      <c r="N58" s="432">
        <f>+INDEX(DataEx!$1:$1048576,MATCH('2020'!$A58,DataEx!$D:$D,0),MATCH('2020'!N$6,DataEx!$7:$7,0))</f>
        <v>0</v>
      </c>
      <c r="O58" s="432">
        <f>+INDEX(DataEx!$1:$1048576,MATCH('2020'!$A58,DataEx!$D:$D,0),MATCH('2020'!O$6,DataEx!$7:$7,0))</f>
        <v>940769.61</v>
      </c>
      <c r="P58" s="432">
        <f>+INDEX(DataEx!$1:$1048576,MATCH('2020'!$A58,DataEx!$D:$D,0),MATCH('2020'!P$6,DataEx!$7:$7,0))</f>
        <v>0</v>
      </c>
      <c r="Q58" s="432">
        <f>+INDEX(DataEx!$1:$1048576,MATCH('2020'!$A58,DataEx!$D:$D,0),MATCH('2020'!Q$6,DataEx!$7:$7,0))</f>
        <v>0</v>
      </c>
      <c r="R58" s="433">
        <f>+INDEX(DataEx!$1:$1048576,MATCH('2020'!$A58,DataEx!$D:$D,0),MATCH('2020'!R$6,DataEx!$7:$7,0))</f>
        <v>0</v>
      </c>
      <c r="S58" s="234">
        <f>SUM(G58:R58)</f>
        <v>940769.61</v>
      </c>
      <c r="T58" s="417">
        <f t="shared" si="4"/>
        <v>2.2476338159403669E-2</v>
      </c>
      <c r="V58" s="297"/>
    </row>
    <row r="59" spans="1:22" ht="13.5" thickBot="1">
      <c r="A59" s="129">
        <v>1002</v>
      </c>
      <c r="B59" s="602" t="str">
        <f>+VLOOKUP($A59,Master!$D$30:$G$226,4,FALSE)</f>
        <v>Nedostajuća sredstva</v>
      </c>
      <c r="C59" s="603"/>
      <c r="D59" s="603"/>
      <c r="E59" s="603"/>
      <c r="F59" s="603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8">
        <f t="shared" si="4"/>
        <v>-26.111885274034783</v>
      </c>
    </row>
    <row r="60" spans="1:22" ht="13.5" thickBot="1">
      <c r="A60" s="129">
        <v>1003</v>
      </c>
      <c r="B60" s="566" t="str">
        <f>+VLOOKUP($A60,Master!$D$30:$G$226,4,FALSE)</f>
        <v>Finansiranje</v>
      </c>
      <c r="C60" s="567"/>
      <c r="D60" s="567"/>
      <c r="E60" s="567"/>
      <c r="F60" s="567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9">
        <f t="shared" si="4"/>
        <v>26.111885274034783</v>
      </c>
    </row>
    <row r="61" spans="1:22">
      <c r="A61" s="129">
        <v>7511</v>
      </c>
      <c r="B61" s="600" t="str">
        <f>+VLOOKUP($A61,Master!$D$30:$G$226,4,FALSE)</f>
        <v>Pozajmice i krediti od domaćih izvora</v>
      </c>
      <c r="C61" s="601"/>
      <c r="D61" s="601"/>
      <c r="E61" s="601"/>
      <c r="F61" s="601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6">
        <f t="shared" si="4"/>
        <v>4.0025816879300455</v>
      </c>
    </row>
    <row r="62" spans="1:22">
      <c r="A62" s="129">
        <v>7512</v>
      </c>
      <c r="B62" s="576" t="str">
        <f>+VLOOKUP($A62,Master!$D$30:$G$226,4,FALSE)</f>
        <v>Pozajmice i krediti od inostranih izvora</v>
      </c>
      <c r="C62" s="577"/>
      <c r="D62" s="577"/>
      <c r="E62" s="577"/>
      <c r="F62" s="577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6">
        <f t="shared" si="4"/>
        <v>28.329148839353973</v>
      </c>
    </row>
    <row r="63" spans="1:22">
      <c r="A63" s="129">
        <v>72</v>
      </c>
      <c r="B63" s="576" t="str">
        <f>+VLOOKUP($A63,Master!$D$30:$G$226,4,FALSE)</f>
        <v>Primici od prodaje imovine</v>
      </c>
      <c r="C63" s="577"/>
      <c r="D63" s="577"/>
      <c r="E63" s="577"/>
      <c r="F63" s="577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6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20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632" t="str">
        <f>+Master!G253</f>
        <v>Plan ostvarenja budžeta</v>
      </c>
      <c r="C100" s="633"/>
      <c r="D100" s="633"/>
      <c r="E100" s="633"/>
      <c r="F100" s="633"/>
      <c r="G100" s="640">
        <v>2020</v>
      </c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2"/>
      <c r="S100" s="96" t="str">
        <f>+S7</f>
        <v>BDP</v>
      </c>
      <c r="T100" s="97">
        <v>4607300000</v>
      </c>
    </row>
    <row r="101" spans="1:21" ht="15.75" customHeight="1">
      <c r="B101" s="634"/>
      <c r="C101" s="635"/>
      <c r="D101" s="635"/>
      <c r="E101" s="635"/>
      <c r="F101" s="636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640" t="str">
        <f>+Master!G247</f>
        <v>Jan - Dec</v>
      </c>
      <c r="T101" s="642">
        <f>+T8</f>
        <v>0</v>
      </c>
    </row>
    <row r="102" spans="1:21" ht="13.5" thickBot="1">
      <c r="B102" s="637"/>
      <c r="C102" s="638"/>
      <c r="D102" s="638"/>
      <c r="E102" s="638"/>
      <c r="F102" s="639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655" t="str">
        <f>+VLOOKUP(LEFT($A103,LEN(A103)-1)*1,Master!$D$30:$G$226,4,FALSE)</f>
        <v>Prihodi budžeta</v>
      </c>
      <c r="C103" s="656"/>
      <c r="D103" s="656"/>
      <c r="E103" s="656"/>
      <c r="F103" s="656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5">
        <f>+SUM(G103:R103)</f>
        <v>1704989389.157774</v>
      </c>
      <c r="T103" s="426">
        <f>+S103/$T$100*100</f>
        <v>37.006259396127319</v>
      </c>
    </row>
    <row r="104" spans="1:21">
      <c r="A104" s="105" t="str">
        <f t="shared" si="16"/>
        <v>711p</v>
      </c>
      <c r="B104" s="630" t="str">
        <f>+VLOOKUP(LEFT($A104,LEN(A104)-1)*1,Master!$D$30:$G$226,4,FALSE)</f>
        <v>Porezi</v>
      </c>
      <c r="C104" s="631"/>
      <c r="D104" s="631"/>
      <c r="E104" s="631"/>
      <c r="F104" s="631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7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622" t="str">
        <f>+VLOOKUP(LEFT($A105,LEN(A105)-1)*1,Master!$D$30:$G$229,4,FALSE)</f>
        <v>Porez na dohodak fizičkih lica</v>
      </c>
      <c r="C105" s="623"/>
      <c r="D105" s="623"/>
      <c r="E105" s="623"/>
      <c r="F105" s="623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8">
        <f t="shared" si="20"/>
        <v>2.4452362067202373</v>
      </c>
    </row>
    <row r="106" spans="1:21">
      <c r="A106" s="105" t="str">
        <f t="shared" si="16"/>
        <v>7112p</v>
      </c>
      <c r="B106" s="622" t="str">
        <f>+VLOOKUP(LEFT($A106,LEN(A106)-1)*1,Master!$D$30:$G$229,4,FALSE)</f>
        <v>Porez na dobit pravnih lica</v>
      </c>
      <c r="C106" s="623"/>
      <c r="D106" s="623"/>
      <c r="E106" s="623"/>
      <c r="F106" s="623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8">
        <f t="shared" si="20"/>
        <v>1.4671745812461314</v>
      </c>
    </row>
    <row r="107" spans="1:21">
      <c r="A107" s="105" t="str">
        <f t="shared" si="16"/>
        <v>7113p</v>
      </c>
      <c r="B107" s="622" t="str">
        <f>+VLOOKUP(LEFT($A107,LEN(A107)-1)*1,Master!$D$30:$G$229,4,FALSE)</f>
        <v>Porez na promet nepokretnosti</v>
      </c>
      <c r="C107" s="623"/>
      <c r="D107" s="623"/>
      <c r="E107" s="623"/>
      <c r="F107" s="623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8">
        <f t="shared" si="20"/>
        <v>4.1303611443361622E-2</v>
      </c>
    </row>
    <row r="108" spans="1:21">
      <c r="A108" s="105" t="str">
        <f t="shared" si="16"/>
        <v>7114p</v>
      </c>
      <c r="B108" s="622" t="str">
        <f>+VLOOKUP(LEFT($A108,LEN(A108)-1)*1,Master!$D$30:$G$229,4,FALSE)</f>
        <v>Porez na dodatu vrijednost</v>
      </c>
      <c r="C108" s="623"/>
      <c r="D108" s="623"/>
      <c r="E108" s="623"/>
      <c r="F108" s="623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8">
        <f t="shared" si="20"/>
        <v>13.365384391976216</v>
      </c>
    </row>
    <row r="109" spans="1:21">
      <c r="A109" s="105" t="str">
        <f t="shared" si="16"/>
        <v>7115p</v>
      </c>
      <c r="B109" s="622" t="str">
        <f>+VLOOKUP(LEFT($A109,LEN(A109)-1)*1,Master!$D$30:$G$229,4,FALSE)</f>
        <v>Akcize</v>
      </c>
      <c r="C109" s="623"/>
      <c r="D109" s="623"/>
      <c r="E109" s="623"/>
      <c r="F109" s="623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8">
        <f t="shared" si="20"/>
        <v>4.8051517235226715</v>
      </c>
    </row>
    <row r="110" spans="1:21">
      <c r="A110" s="105" t="str">
        <f t="shared" si="16"/>
        <v>7116p</v>
      </c>
      <c r="B110" s="622" t="str">
        <f>+VLOOKUP(LEFT($A110,LEN(A110)-1)*1,Master!$D$30:$G$229,4,FALSE)</f>
        <v>Porez na međunarodnu trgovinu i transakcije</v>
      </c>
      <c r="C110" s="623"/>
      <c r="D110" s="623"/>
      <c r="E110" s="623"/>
      <c r="F110" s="623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8">
        <f t="shared" si="20"/>
        <v>0.58139087437023862</v>
      </c>
    </row>
    <row r="111" spans="1:21">
      <c r="A111" s="105" t="str">
        <f t="shared" si="16"/>
        <v>7118p</v>
      </c>
      <c r="B111" s="622" t="str">
        <f>+VLOOKUP(LEFT($A111,LEN(A111)-1)*1,Master!$D$30:$G$229,4,FALSE)</f>
        <v>Ostali državni porezi</v>
      </c>
      <c r="C111" s="623"/>
      <c r="D111" s="623"/>
      <c r="E111" s="623"/>
      <c r="F111" s="623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8">
        <f t="shared" si="20"/>
        <v>0.20229513960237019</v>
      </c>
    </row>
    <row r="112" spans="1:21">
      <c r="A112" s="105" t="str">
        <f t="shared" si="16"/>
        <v>712p</v>
      </c>
      <c r="B112" s="657" t="str">
        <f>+VLOOKUP(LEFT($A112,LEN(A112)-1)*1,Master!$D$30:$G$229,4,FALSE)</f>
        <v>Doprinosi</v>
      </c>
      <c r="C112" s="658"/>
      <c r="D112" s="658"/>
      <c r="E112" s="658"/>
      <c r="F112" s="658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9">
        <f t="shared" si="20"/>
        <v>10.68956613019113</v>
      </c>
    </row>
    <row r="113" spans="1:20">
      <c r="A113" s="105" t="str">
        <f t="shared" si="16"/>
        <v>7121p</v>
      </c>
      <c r="B113" s="622" t="str">
        <f>+VLOOKUP(LEFT($A113,LEN(A113)-1)*1,Master!$D$30:$G$229,4,FALSE)</f>
        <v>Doprinosi za penzijsko i invalidsko osiguranje</v>
      </c>
      <c r="C113" s="623"/>
      <c r="D113" s="623"/>
      <c r="E113" s="623"/>
      <c r="F113" s="623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8">
        <f t="shared" si="20"/>
        <v>6.6171744431734636</v>
      </c>
    </row>
    <row r="114" spans="1:20">
      <c r="A114" s="105" t="str">
        <f t="shared" si="16"/>
        <v>7122p</v>
      </c>
      <c r="B114" s="622" t="str">
        <f>+VLOOKUP(LEFT($A114,LEN(A114)-1)*1,Master!$D$30:$G$229,4,FALSE)</f>
        <v>Doprinosi za zdravstveno osiguranje</v>
      </c>
      <c r="C114" s="623"/>
      <c r="D114" s="623"/>
      <c r="E114" s="623"/>
      <c r="F114" s="623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8">
        <f t="shared" si="20"/>
        <v>3.4819631387690197</v>
      </c>
    </row>
    <row r="115" spans="1:20">
      <c r="A115" s="105" t="str">
        <f t="shared" si="16"/>
        <v>7123p</v>
      </c>
      <c r="B115" s="622" t="str">
        <f>+VLOOKUP(LEFT($A115,LEN(A115)-1)*1,Master!$D$30:$G$229,4,FALSE)</f>
        <v>Doprinosi za osiguranje od nezaposlenosti</v>
      </c>
      <c r="C115" s="623"/>
      <c r="D115" s="623"/>
      <c r="E115" s="623"/>
      <c r="F115" s="623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8">
        <f t="shared" si="20"/>
        <v>0.31374529664462025</v>
      </c>
    </row>
    <row r="116" spans="1:20">
      <c r="A116" s="105" t="str">
        <f t="shared" si="16"/>
        <v>7124p</v>
      </c>
      <c r="B116" s="622" t="str">
        <f>+VLOOKUP(LEFT($A116,LEN(A116)-1)*1,Master!$D$30:$G$229,4,FALSE)</f>
        <v>Ostali doprinosi</v>
      </c>
      <c r="C116" s="623"/>
      <c r="D116" s="623"/>
      <c r="E116" s="623"/>
      <c r="F116" s="623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8">
        <f t="shared" si="20"/>
        <v>0.2766832516040264</v>
      </c>
    </row>
    <row r="117" spans="1:20">
      <c r="A117" s="105" t="str">
        <f t="shared" si="16"/>
        <v>713p</v>
      </c>
      <c r="B117" s="628" t="str">
        <f>+VLOOKUP(LEFT($A117,LEN(A117)-1)*1,Master!$D$30:$G$229,4,FALSE)</f>
        <v>Takse</v>
      </c>
      <c r="C117" s="629"/>
      <c r="D117" s="629"/>
      <c r="E117" s="629"/>
      <c r="F117" s="629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9">
        <f t="shared" si="20"/>
        <v>0.26451836008573354</v>
      </c>
    </row>
    <row r="118" spans="1:20">
      <c r="A118" s="105" t="str">
        <f t="shared" si="16"/>
        <v>714p</v>
      </c>
      <c r="B118" s="628" t="str">
        <f>+VLOOKUP(LEFT($A118,LEN(A118)-1)*1,Master!$D$30:$G$229,4,FALSE)</f>
        <v>Naknade</v>
      </c>
      <c r="C118" s="629"/>
      <c r="D118" s="629"/>
      <c r="E118" s="629"/>
      <c r="F118" s="629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9">
        <f t="shared" si="20"/>
        <v>0.53882429835369972</v>
      </c>
    </row>
    <row r="119" spans="1:20">
      <c r="A119" s="105" t="str">
        <f t="shared" si="16"/>
        <v>715p</v>
      </c>
      <c r="B119" s="628" t="str">
        <f>+VLOOKUP(LEFT($A119,LEN(A119)-1)*1,Master!$D$30:$G$229,4,FALSE)</f>
        <v>Ostali prihodi</v>
      </c>
      <c r="C119" s="629"/>
      <c r="D119" s="629"/>
      <c r="E119" s="629"/>
      <c r="F119" s="629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9">
        <f t="shared" si="20"/>
        <v>1.148755088100482</v>
      </c>
    </row>
    <row r="120" spans="1:20">
      <c r="A120" s="105" t="str">
        <f t="shared" si="16"/>
        <v>73p</v>
      </c>
      <c r="B120" s="628" t="str">
        <f>+VLOOKUP(LEFT($A120,LEN(A120)-1)*1,Master!$D$30:$G$229,4,FALSE)</f>
        <v>Primici od otplate kredita i sredstva prenesena iz prethodne godine</v>
      </c>
      <c r="C120" s="629"/>
      <c r="D120" s="629"/>
      <c r="E120" s="629"/>
      <c r="F120" s="629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9">
        <f t="shared" si="20"/>
        <v>0.37142952358214143</v>
      </c>
    </row>
    <row r="121" spans="1:20" ht="13.5" thickBot="1">
      <c r="A121" s="105" t="str">
        <f t="shared" si="16"/>
        <v>74p</v>
      </c>
      <c r="B121" s="624" t="str">
        <f>+VLOOKUP(LEFT($A121,LEN(A121)-1)*1,Master!$D$30:$G$229,4,FALSE)</f>
        <v>Donacije i transferi</v>
      </c>
      <c r="C121" s="625"/>
      <c r="D121" s="625"/>
      <c r="E121" s="625"/>
      <c r="F121" s="625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10">
        <f t="shared" si="20"/>
        <v>1.0852294669329108</v>
      </c>
    </row>
    <row r="122" spans="1:20" ht="13.5" thickBot="1">
      <c r="A122" s="105" t="str">
        <f t="shared" si="16"/>
        <v>4p</v>
      </c>
      <c r="B122" s="606" t="str">
        <f>+VLOOKUP(LEFT($A122,LEN(A122)-1)*1,Master!$D$30:$G$229,4,FALSE)</f>
        <v>Izdaci budžeta</v>
      </c>
      <c r="C122" s="607"/>
      <c r="D122" s="607"/>
      <c r="E122" s="607"/>
      <c r="F122" s="607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3">
        <f>+SUM(G122:R122)</f>
        <v>2040879206.795902</v>
      </c>
      <c r="T122" s="424">
        <f t="shared" si="20"/>
        <v>44.296642432572263</v>
      </c>
    </row>
    <row r="123" spans="1:20">
      <c r="A123" s="105" t="str">
        <f t="shared" si="16"/>
        <v>41p</v>
      </c>
      <c r="B123" s="626" t="str">
        <f>+VLOOKUP(LEFT($A123,LEN(A123)-1)*1,Master!$D$30:$G$229,4,FALSE)</f>
        <v>Tekući izdaci</v>
      </c>
      <c r="C123" s="627"/>
      <c r="D123" s="627"/>
      <c r="E123" s="627"/>
      <c r="F123" s="627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7">
        <f t="shared" si="20"/>
        <v>18.234006898745513</v>
      </c>
    </row>
    <row r="124" spans="1:20">
      <c r="A124" s="105" t="str">
        <f t="shared" si="16"/>
        <v>411p</v>
      </c>
      <c r="B124" s="622" t="str">
        <f>+VLOOKUP(LEFT($A124,LEN(A124)-1)*1,Master!$D$30:$G$229,4,FALSE)</f>
        <v>Bruto zarade i doprinosi na teret poslodavca</v>
      </c>
      <c r="C124" s="623"/>
      <c r="D124" s="623"/>
      <c r="E124" s="623"/>
      <c r="F124" s="623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8">
        <f t="shared" si="20"/>
        <v>10.81917370889675</v>
      </c>
    </row>
    <row r="125" spans="1:20">
      <c r="A125" s="105" t="str">
        <f t="shared" si="16"/>
        <v>412p</v>
      </c>
      <c r="B125" s="622" t="str">
        <f>+VLOOKUP(LEFT($A125,LEN(A125)-1)*1,Master!$D$30:$G$229,4,FALSE)</f>
        <v>Ostala lična primanja</v>
      </c>
      <c r="C125" s="623"/>
      <c r="D125" s="623"/>
      <c r="E125" s="623"/>
      <c r="F125" s="623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8">
        <f t="shared" si="20"/>
        <v>0.32417865148785635</v>
      </c>
    </row>
    <row r="126" spans="1:20">
      <c r="A126" s="105" t="str">
        <f t="shared" si="16"/>
        <v>413p</v>
      </c>
      <c r="B126" s="622" t="str">
        <f>+VLOOKUP(LEFT($A126,LEN(A126)-1)*1,Master!$D$30:$G$229,4,FALSE)</f>
        <v>Rashodi za materijal</v>
      </c>
      <c r="C126" s="623"/>
      <c r="D126" s="623"/>
      <c r="E126" s="623"/>
      <c r="F126" s="623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8">
        <f t="shared" si="20"/>
        <v>0.77555155266429454</v>
      </c>
    </row>
    <row r="127" spans="1:20">
      <c r="A127" s="105" t="str">
        <f t="shared" si="16"/>
        <v>414p</v>
      </c>
      <c r="B127" s="622" t="str">
        <f>+VLOOKUP(LEFT($A127,LEN(A127)-1)*1,Master!$D$30:$G$229,4,FALSE)</f>
        <v>Rashodi za usluge</v>
      </c>
      <c r="C127" s="623"/>
      <c r="D127" s="623"/>
      <c r="E127" s="623"/>
      <c r="F127" s="623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8">
        <f t="shared" si="20"/>
        <v>1.3413157254791312</v>
      </c>
    </row>
    <row r="128" spans="1:20">
      <c r="A128" s="105" t="str">
        <f t="shared" si="16"/>
        <v>415p</v>
      </c>
      <c r="B128" s="622" t="str">
        <f>+VLOOKUP(LEFT($A128,LEN(A128)-1)*1,Master!$D$30:$G$229,4,FALSE)</f>
        <v>Rashodi za tekuće održavanje</v>
      </c>
      <c r="C128" s="623"/>
      <c r="D128" s="623"/>
      <c r="E128" s="623"/>
      <c r="F128" s="623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8">
        <f t="shared" si="20"/>
        <v>0.56486301651726611</v>
      </c>
    </row>
    <row r="129" spans="1:20">
      <c r="A129" s="105" t="str">
        <f t="shared" si="16"/>
        <v>416p</v>
      </c>
      <c r="B129" s="622" t="str">
        <f>+VLOOKUP(LEFT($A129,LEN(A129)-1)*1,Master!$D$30:$G$229,4,FALSE)</f>
        <v>Kamate</v>
      </c>
      <c r="C129" s="623"/>
      <c r="D129" s="623"/>
      <c r="E129" s="623"/>
      <c r="F129" s="623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8">
        <f t="shared" si="20"/>
        <v>2.2430494311201787</v>
      </c>
    </row>
    <row r="130" spans="1:20">
      <c r="A130" s="105" t="str">
        <f t="shared" si="16"/>
        <v>417p</v>
      </c>
      <c r="B130" s="622" t="str">
        <f>+VLOOKUP(LEFT($A130,LEN(A130)-1)*1,Master!$D$30:$G$229,4,FALSE)</f>
        <v>Renta</v>
      </c>
      <c r="C130" s="623"/>
      <c r="D130" s="623"/>
      <c r="E130" s="623"/>
      <c r="F130" s="623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8">
        <f t="shared" si="20"/>
        <v>0.24149152996331913</v>
      </c>
    </row>
    <row r="131" spans="1:20">
      <c r="A131" s="105" t="str">
        <f t="shared" si="16"/>
        <v>418p</v>
      </c>
      <c r="B131" s="622" t="str">
        <f>+VLOOKUP(LEFT($A131,LEN(A131)-1)*1,Master!$D$30:$G$229,4,FALSE)</f>
        <v>Subvencije</v>
      </c>
      <c r="C131" s="623"/>
      <c r="D131" s="623"/>
      <c r="E131" s="623"/>
      <c r="F131" s="623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8">
        <f t="shared" si="20"/>
        <v>0.84831977448831197</v>
      </c>
    </row>
    <row r="132" spans="1:20">
      <c r="A132" s="105" t="str">
        <f t="shared" si="16"/>
        <v>419p</v>
      </c>
      <c r="B132" s="622" t="str">
        <f>+VLOOKUP(LEFT($A132,LEN(A132)-1)*1,Master!$D$30:$G$229,4,FALSE)</f>
        <v>Ostali izdaci</v>
      </c>
      <c r="C132" s="623"/>
      <c r="D132" s="623"/>
      <c r="E132" s="623"/>
      <c r="F132" s="623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8">
        <f t="shared" si="20"/>
        <v>1.0760635081284049</v>
      </c>
    </row>
    <row r="133" spans="1:20">
      <c r="A133" s="105" t="str">
        <f t="shared" si="16"/>
        <v>42p</v>
      </c>
      <c r="B133" s="618" t="str">
        <f>+VLOOKUP(LEFT($A133,LEN(A133)-1)*1,Master!$D$30:$G$229,4,FALSE)</f>
        <v>Transferi za socijalnu zaštitu</v>
      </c>
      <c r="C133" s="619"/>
      <c r="D133" s="619"/>
      <c r="E133" s="619"/>
      <c r="F133" s="619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9">
        <f t="shared" si="20"/>
        <v>12.538545292470646</v>
      </c>
    </row>
    <row r="134" spans="1:20">
      <c r="A134" s="105" t="str">
        <f t="shared" si="16"/>
        <v>421p</v>
      </c>
      <c r="B134" s="622" t="str">
        <f>+VLOOKUP(LEFT($A134,LEN(A134)-1)*1,Master!$D$30:$G$229,4,FALSE)</f>
        <v>Prava iz oblasti socijalne zaštite</v>
      </c>
      <c r="C134" s="623"/>
      <c r="D134" s="623"/>
      <c r="E134" s="623"/>
      <c r="F134" s="623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8">
        <f t="shared" si="20"/>
        <v>1.8346971111062882</v>
      </c>
    </row>
    <row r="135" spans="1:20">
      <c r="A135" s="105" t="str">
        <f t="shared" si="16"/>
        <v>422p</v>
      </c>
      <c r="B135" s="622" t="str">
        <f>+VLOOKUP(LEFT($A135,LEN(A135)-1)*1,Master!$D$30:$G$229,4,FALSE)</f>
        <v>Sredstva za tehnološke viškove</v>
      </c>
      <c r="C135" s="623"/>
      <c r="D135" s="623"/>
      <c r="E135" s="623"/>
      <c r="F135" s="623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8">
        <f t="shared" si="20"/>
        <v>0.44186401406463649</v>
      </c>
    </row>
    <row r="136" spans="1:20">
      <c r="A136" s="105" t="str">
        <f t="shared" si="16"/>
        <v>423p</v>
      </c>
      <c r="B136" s="622" t="str">
        <f>+VLOOKUP(LEFT($A136,LEN(A136)-1)*1,Master!$D$30:$G$229,4,FALSE)</f>
        <v>Prava iz oblasti penzijskog i invalidskog osiguranja</v>
      </c>
      <c r="C136" s="623"/>
      <c r="D136" s="623"/>
      <c r="E136" s="623"/>
      <c r="F136" s="623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8">
        <f t="shared" si="20"/>
        <v>9.5972781138627852</v>
      </c>
    </row>
    <row r="137" spans="1:20">
      <c r="A137" s="105" t="str">
        <f t="shared" si="16"/>
        <v>424p</v>
      </c>
      <c r="B137" s="622" t="str">
        <f>+VLOOKUP(LEFT($A137,LEN(A137)-1)*1,Master!$D$30:$G$229,4,FALSE)</f>
        <v>Ostala prava iz oblasti zdravstvene zaštite</v>
      </c>
      <c r="C137" s="623"/>
      <c r="D137" s="623"/>
      <c r="E137" s="623"/>
      <c r="F137" s="623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8">
        <f t="shared" si="20"/>
        <v>0.43409374253901412</v>
      </c>
    </row>
    <row r="138" spans="1:20">
      <c r="A138" s="105" t="str">
        <f t="shared" si="16"/>
        <v>425p</v>
      </c>
      <c r="B138" s="622" t="str">
        <f>+VLOOKUP(LEFT($A138,LEN(A138)-1)*1,Master!$D$30:$G$229,4,FALSE)</f>
        <v>Ostala prava iz zdravstvenog osiguranja</v>
      </c>
      <c r="C138" s="623"/>
      <c r="D138" s="623"/>
      <c r="E138" s="623"/>
      <c r="F138" s="623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8">
        <f t="shared" si="20"/>
        <v>0.23061231089792286</v>
      </c>
    </row>
    <row r="139" spans="1:20">
      <c r="A139" s="105" t="str">
        <f t="shared" si="16"/>
        <v>43p</v>
      </c>
      <c r="B139" s="620" t="str">
        <f>+VLOOKUP(LEFT($A139,LEN(A139)-1)*1,Master!$D$30:$G$229,4,FALSE)</f>
        <v xml:space="preserve">Transferi institucijama, pojedincima, nevladinom i javnom sektoru </v>
      </c>
      <c r="C139" s="621"/>
      <c r="D139" s="621"/>
      <c r="E139" s="621"/>
      <c r="F139" s="621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9">
        <f t="shared" si="20"/>
        <v>6.0063028847698297</v>
      </c>
    </row>
    <row r="140" spans="1:20">
      <c r="A140" s="105" t="str">
        <f t="shared" si="16"/>
        <v>44p</v>
      </c>
      <c r="B140" s="620" t="str">
        <f>+VLOOKUP(LEFT($A140,LEN(A140)-1)*1,Master!$D$30:$G$229,4,FALSE)</f>
        <v>Kapitalni izdaci</v>
      </c>
      <c r="C140" s="621"/>
      <c r="D140" s="621"/>
      <c r="E140" s="621"/>
      <c r="F140" s="621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9">
        <f t="shared" si="20"/>
        <v>4.229181139713063</v>
      </c>
    </row>
    <row r="141" spans="1:20">
      <c r="A141" s="105" t="str">
        <f t="shared" si="16"/>
        <v>451p</v>
      </c>
      <c r="B141" s="612" t="str">
        <f>+VLOOKUP(LEFT($A141,LEN(A141)-1)*1,Master!$D$30:$G$229,4,FALSE)</f>
        <v>Pozajmice i krediti</v>
      </c>
      <c r="C141" s="613"/>
      <c r="D141" s="613"/>
      <c r="E141" s="613"/>
      <c r="F141" s="613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8">
        <f t="shared" si="20"/>
        <v>3.4293447355283994E-2</v>
      </c>
    </row>
    <row r="142" spans="1:20">
      <c r="A142" s="105" t="str">
        <f t="shared" si="16"/>
        <v>47p</v>
      </c>
      <c r="B142" s="612" t="str">
        <f>+VLOOKUP(LEFT($A142,LEN(A142)-1)*1,Master!$D$30:$G$229,4,FALSE)</f>
        <v>Rezerve</v>
      </c>
      <c r="C142" s="613"/>
      <c r="D142" s="613"/>
      <c r="E142" s="613"/>
      <c r="F142" s="613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8">
        <f t="shared" si="20"/>
        <v>2.9004080480975842</v>
      </c>
    </row>
    <row r="143" spans="1:20">
      <c r="A143" s="105" t="str">
        <f t="shared" si="16"/>
        <v>462p</v>
      </c>
      <c r="B143" s="612" t="str">
        <f>+VLOOKUP(LEFT($A143,LEN(A143)-1)*1,Master!$D$30:$G$229,4,FALSE)</f>
        <v>Otplata garancija</v>
      </c>
      <c r="C143" s="613"/>
      <c r="D143" s="613"/>
      <c r="E143" s="613"/>
      <c r="F143" s="613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8">
        <f t="shared" si="20"/>
        <v>0</v>
      </c>
    </row>
    <row r="144" spans="1:20">
      <c r="A144" s="106" t="str">
        <f t="shared" si="16"/>
        <v>4630p</v>
      </c>
      <c r="B144" s="612" t="str">
        <f>+VLOOKUP(LEFT($A144,LEN(A144)-1)*1,Master!$D$30:$G$229,4,FALSE)</f>
        <v>Otplata obaveza iz prethodnog perioda</v>
      </c>
      <c r="C144" s="613"/>
      <c r="D144" s="613"/>
      <c r="E144" s="613"/>
      <c r="F144" s="613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6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612" t="str">
        <f>+VLOOKUP(LEFT($A145,LEN(A145)-1)*1,Master!$D$30:$G$229,4,FALSE)</f>
        <v>Neto povećanje obaveza</v>
      </c>
      <c r="C145" s="613"/>
      <c r="D145" s="613"/>
      <c r="E145" s="613"/>
      <c r="F145" s="613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3">
        <f t="shared" si="20"/>
        <v>0</v>
      </c>
    </row>
    <row r="146" spans="1:23" ht="13.5" thickBot="1">
      <c r="A146" s="106" t="str">
        <f t="shared" si="25"/>
        <v>1000p</v>
      </c>
      <c r="B146" s="614" t="str">
        <f>+VLOOKUP(LEFT($A146,LEN(A146)-1)*1,Master!$D$30:$G$226,4,FALSE)</f>
        <v>Suficit / deficit</v>
      </c>
      <c r="C146" s="615"/>
      <c r="D146" s="615"/>
      <c r="E146" s="615"/>
      <c r="F146" s="615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4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616" t="str">
        <f>+VLOOKUP(LEFT($A147,LEN(A147)-1)*1,Master!$D$30:$G$226,4,FALSE)</f>
        <v>Primarni suficit/deficit</v>
      </c>
      <c r="C147" s="617"/>
      <c r="D147" s="617"/>
      <c r="E147" s="617"/>
      <c r="F147" s="617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4">
        <f t="shared" si="20"/>
        <v>-5.0473336053247726</v>
      </c>
    </row>
    <row r="148" spans="1:23">
      <c r="A148" s="106" t="str">
        <f t="shared" si="25"/>
        <v>46p</v>
      </c>
      <c r="B148" s="618" t="str">
        <f>+VLOOKUP(LEFT($A148,LEN(A148)-1)*1,Master!$D$30:$G$226,4,FALSE)</f>
        <v>Otplata dugova</v>
      </c>
      <c r="C148" s="619"/>
      <c r="D148" s="619"/>
      <c r="E148" s="619"/>
      <c r="F148" s="619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5">
        <f t="shared" si="20"/>
        <v>11.711631541249758</v>
      </c>
    </row>
    <row r="149" spans="1:23">
      <c r="A149" s="106" t="str">
        <f t="shared" si="25"/>
        <v>4611p</v>
      </c>
      <c r="B149" s="610" t="str">
        <f>+VLOOKUP(LEFT($A149,LEN(A149)-1)*1,Master!$D$30:$G$226,4,FALSE)</f>
        <v>Otplata hartija od vrijednosti i kredita rezidentima</v>
      </c>
      <c r="C149" s="611"/>
      <c r="D149" s="611"/>
      <c r="E149" s="611"/>
      <c r="F149" s="611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6">
        <f t="shared" si="20"/>
        <v>2.598267966053871</v>
      </c>
    </row>
    <row r="150" spans="1:23" ht="13.5" thickBot="1">
      <c r="A150" s="106" t="str">
        <f t="shared" si="25"/>
        <v>4612p</v>
      </c>
      <c r="B150" s="612" t="str">
        <f>+VLOOKUP(LEFT($A150,LEN(A150)-1)*1,Master!$D$30:$G$226,4,FALSE)</f>
        <v>Otplata hartija od vrijednosti i kredita nerezidentima</v>
      </c>
      <c r="C150" s="613"/>
      <c r="D150" s="613"/>
      <c r="E150" s="613"/>
      <c r="F150" s="613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6">
        <f t="shared" si="20"/>
        <v>9.1133635751958835</v>
      </c>
    </row>
    <row r="151" spans="1:23" ht="13.5" thickBot="1">
      <c r="A151" s="106" t="str">
        <f t="shared" si="25"/>
        <v>4418p</v>
      </c>
      <c r="B151" s="606" t="str">
        <f>+VLOOKUP(LEFT($A151,LEN(A151)-1)*1,Master!$D$30:$G$226,4,FALSE)</f>
        <v>Izdaci za kupovinu hartija od vrijednosti</v>
      </c>
      <c r="C151" s="607"/>
      <c r="D151" s="607"/>
      <c r="E151" s="607"/>
      <c r="F151" s="607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1">
        <f t="shared" si="19"/>
        <v>2010000</v>
      </c>
      <c r="T151" s="422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608" t="str">
        <f>+VLOOKUP(LEFT($A152,LEN(A152)-1)*1,Master!$D$30:$G$226,4,FALSE)</f>
        <v>Nedostajuća sredstva</v>
      </c>
      <c r="C152" s="609"/>
      <c r="D152" s="609"/>
      <c r="E152" s="609"/>
      <c r="F152" s="609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8">
        <f t="shared" si="20"/>
        <v>-19.045640996638557</v>
      </c>
    </row>
    <row r="153" spans="1:23" ht="13.5" thickBot="1">
      <c r="A153" s="106" t="str">
        <f t="shared" si="29"/>
        <v>1003p</v>
      </c>
      <c r="B153" s="606" t="str">
        <f>+VLOOKUP(LEFT($A153,LEN(A153)-1)*1,Master!$D$30:$G$226,4,FALSE)</f>
        <v>Finansiranje</v>
      </c>
      <c r="C153" s="607"/>
      <c r="D153" s="607"/>
      <c r="E153" s="607"/>
      <c r="F153" s="607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9">
        <f t="shared" si="20"/>
        <v>19.045640996638557</v>
      </c>
    </row>
    <row r="154" spans="1:23">
      <c r="A154" s="106" t="str">
        <f t="shared" si="29"/>
        <v>7511p</v>
      </c>
      <c r="B154" s="610" t="str">
        <f>+VLOOKUP(LEFT($A154,LEN(A154)-1)*1,Master!$D$30:$G$226,4,FALSE)</f>
        <v>Pozajmice i krediti od domaćih izvora</v>
      </c>
      <c r="C154" s="611"/>
      <c r="D154" s="611"/>
      <c r="E154" s="611"/>
      <c r="F154" s="611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6">
        <f t="shared" si="20"/>
        <v>0</v>
      </c>
    </row>
    <row r="155" spans="1:23">
      <c r="A155" s="106" t="str">
        <f t="shared" si="29"/>
        <v>7512p</v>
      </c>
      <c r="B155" s="612" t="str">
        <f>+VLOOKUP(LEFT($A155,LEN(A155)-1)*1,Master!$D$30:$G$226,4,FALSE)</f>
        <v>Pozajmice i krediti od inostranih izvora</v>
      </c>
      <c r="C155" s="613"/>
      <c r="D155" s="613"/>
      <c r="E155" s="613"/>
      <c r="F155" s="613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6">
        <f t="shared" si="20"/>
        <v>7.1948775823150264</v>
      </c>
    </row>
    <row r="156" spans="1:23">
      <c r="A156" s="106" t="str">
        <f t="shared" si="29"/>
        <v>72p</v>
      </c>
      <c r="B156" s="612" t="str">
        <f>+VLOOKUP(LEFT($A156,LEN(A156)-1)*1,Master!$D$30:$G$226,4,FALSE)</f>
        <v>Primici od prodaje imovine</v>
      </c>
      <c r="C156" s="613"/>
      <c r="D156" s="613"/>
      <c r="E156" s="613"/>
      <c r="F156" s="613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6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20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W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86" t="s">
        <v>553</v>
      </c>
      <c r="C7" s="587"/>
      <c r="D7" s="587"/>
      <c r="E7" s="587"/>
      <c r="F7" s="587"/>
      <c r="G7" s="595">
        <v>2019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">
        <v>419</v>
      </c>
      <c r="T7" s="221">
        <v>4951000000</v>
      </c>
    </row>
    <row r="8" spans="1:20" ht="16.5" customHeight="1">
      <c r="A8" s="129"/>
      <c r="B8" s="588"/>
      <c r="C8" s="589"/>
      <c r="D8" s="589"/>
      <c r="E8" s="589"/>
      <c r="F8" s="590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95" t="s">
        <v>806</v>
      </c>
      <c r="T8" s="599"/>
    </row>
    <row r="9" spans="1:20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66" t="s">
        <v>680</v>
      </c>
      <c r="C10" s="567"/>
      <c r="D10" s="567"/>
      <c r="E10" s="567"/>
      <c r="F10" s="567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6">
        <f>+SUM(G10:O10)</f>
        <v>1338151716.3200002</v>
      </c>
      <c r="T10" s="341">
        <f>+S10/$T$7</f>
        <v>0.2702790782306605</v>
      </c>
    </row>
    <row r="11" spans="1:20" ht="13.5" thickBot="1">
      <c r="A11" s="135">
        <v>711</v>
      </c>
      <c r="B11" s="556" t="s">
        <v>21</v>
      </c>
      <c r="C11" s="557"/>
      <c r="D11" s="557"/>
      <c r="E11" s="557"/>
      <c r="F11" s="557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6">
        <f t="shared" ref="S11:S28" si="3">+SUM(G11:O11)</f>
        <v>878844461.47000003</v>
      </c>
      <c r="T11" s="342">
        <f t="shared" ref="T11:T64" si="4">+S11/$T$7</f>
        <v>0.17750847535245406</v>
      </c>
    </row>
    <row r="12" spans="1:20" ht="13.5" thickBot="1">
      <c r="A12" s="135">
        <v>7111</v>
      </c>
      <c r="B12" s="558" t="s">
        <v>23</v>
      </c>
      <c r="C12" s="559"/>
      <c r="D12" s="559"/>
      <c r="E12" s="559"/>
      <c r="F12" s="559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6">
        <f t="shared" si="3"/>
        <v>85547113.409999996</v>
      </c>
      <c r="T12" s="343">
        <f t="shared" si="4"/>
        <v>1.727875447586346E-2</v>
      </c>
    </row>
    <row r="13" spans="1:20" ht="13.5" thickBot="1">
      <c r="A13" s="135">
        <v>7112</v>
      </c>
      <c r="B13" s="558" t="s">
        <v>25</v>
      </c>
      <c r="C13" s="559"/>
      <c r="D13" s="559"/>
      <c r="E13" s="559"/>
      <c r="F13" s="559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6">
        <f t="shared" si="3"/>
        <v>63460533.5</v>
      </c>
      <c r="T13" s="343">
        <f t="shared" si="4"/>
        <v>1.2817720359523329E-2</v>
      </c>
    </row>
    <row r="14" spans="1:20" ht="13.5" thickBot="1">
      <c r="A14" s="135">
        <v>7113</v>
      </c>
      <c r="B14" s="558" t="s">
        <v>27</v>
      </c>
      <c r="C14" s="559"/>
      <c r="D14" s="559"/>
      <c r="E14" s="559"/>
      <c r="F14" s="559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6">
        <f t="shared" si="3"/>
        <v>1401042.18</v>
      </c>
      <c r="T14" s="343">
        <f t="shared" si="4"/>
        <v>2.8298165623106441E-4</v>
      </c>
    </row>
    <row r="15" spans="1:20" ht="13.5" thickBot="1">
      <c r="A15" s="135">
        <v>7114</v>
      </c>
      <c r="B15" s="558" t="s">
        <v>29</v>
      </c>
      <c r="C15" s="559"/>
      <c r="D15" s="559"/>
      <c r="E15" s="559"/>
      <c r="F15" s="559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6">
        <f t="shared" si="3"/>
        <v>517818183.34000003</v>
      </c>
      <c r="T15" s="343">
        <f t="shared" si="4"/>
        <v>0.10458860499697031</v>
      </c>
    </row>
    <row r="16" spans="1:20" ht="13.5" thickBot="1">
      <c r="A16" s="135">
        <v>7115</v>
      </c>
      <c r="B16" s="558" t="s">
        <v>31</v>
      </c>
      <c r="C16" s="559"/>
      <c r="D16" s="559"/>
      <c r="E16" s="559"/>
      <c r="F16" s="559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6">
        <f t="shared" si="3"/>
        <v>178709360.70000002</v>
      </c>
      <c r="T16" s="343">
        <f t="shared" si="4"/>
        <v>3.6095609109270857E-2</v>
      </c>
    </row>
    <row r="17" spans="1:23" ht="13.5" thickBot="1">
      <c r="A17" s="135">
        <v>7116</v>
      </c>
      <c r="B17" s="558" t="s">
        <v>33</v>
      </c>
      <c r="C17" s="559"/>
      <c r="D17" s="559"/>
      <c r="E17" s="559"/>
      <c r="F17" s="559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6">
        <f t="shared" si="3"/>
        <v>21570886.120000001</v>
      </c>
      <c r="T17" s="343">
        <f t="shared" si="4"/>
        <v>4.3568745950313074E-3</v>
      </c>
    </row>
    <row r="18" spans="1:23" ht="13.5" thickBot="1">
      <c r="A18" s="135">
        <v>7118</v>
      </c>
      <c r="B18" s="558" t="s">
        <v>721</v>
      </c>
      <c r="C18" s="559"/>
      <c r="D18" s="559"/>
      <c r="E18" s="559"/>
      <c r="F18" s="559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6">
        <f t="shared" si="3"/>
        <v>10337342.220000001</v>
      </c>
      <c r="T18" s="343">
        <f t="shared" si="4"/>
        <v>2.0879301595637246E-3</v>
      </c>
    </row>
    <row r="19" spans="1:23" ht="13.5" thickBot="1">
      <c r="A19" s="135">
        <v>712</v>
      </c>
      <c r="B19" s="562" t="s">
        <v>37</v>
      </c>
      <c r="C19" s="563"/>
      <c r="D19" s="563"/>
      <c r="E19" s="563"/>
      <c r="F19" s="563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6">
        <f t="shared" si="3"/>
        <v>370571042.34999996</v>
      </c>
      <c r="T19" s="344">
        <f t="shared" si="4"/>
        <v>7.4847716087659055E-2</v>
      </c>
    </row>
    <row r="20" spans="1:23" ht="13.5" thickBot="1">
      <c r="A20" s="135">
        <v>7121</v>
      </c>
      <c r="B20" s="558" t="s">
        <v>39</v>
      </c>
      <c r="C20" s="559"/>
      <c r="D20" s="559"/>
      <c r="E20" s="559"/>
      <c r="F20" s="559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6">
        <f t="shared" si="3"/>
        <v>220192746.31</v>
      </c>
      <c r="T20" s="343">
        <f t="shared" si="4"/>
        <v>4.447439836598667E-2</v>
      </c>
    </row>
    <row r="21" spans="1:23" ht="13.5" thickBot="1">
      <c r="A21" s="135">
        <v>7122</v>
      </c>
      <c r="B21" s="558" t="s">
        <v>41</v>
      </c>
      <c r="C21" s="559"/>
      <c r="D21" s="559"/>
      <c r="E21" s="559"/>
      <c r="F21" s="559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6">
        <f t="shared" si="3"/>
        <v>130738336.89</v>
      </c>
      <c r="T21" s="343">
        <f t="shared" si="4"/>
        <v>2.6406450593819429E-2</v>
      </c>
    </row>
    <row r="22" spans="1:23" ht="13.5" thickBot="1">
      <c r="A22" s="135">
        <v>7123</v>
      </c>
      <c r="B22" s="558" t="s">
        <v>43</v>
      </c>
      <c r="C22" s="559"/>
      <c r="D22" s="559"/>
      <c r="E22" s="559"/>
      <c r="F22" s="559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6">
        <f t="shared" si="3"/>
        <v>10196734.950000001</v>
      </c>
      <c r="T22" s="343">
        <f t="shared" si="4"/>
        <v>2.0595303878004445E-3</v>
      </c>
    </row>
    <row r="23" spans="1:23" ht="13.5" thickBot="1">
      <c r="A23" s="135">
        <v>7124</v>
      </c>
      <c r="B23" s="558" t="s">
        <v>45</v>
      </c>
      <c r="C23" s="559"/>
      <c r="D23" s="559"/>
      <c r="E23" s="559"/>
      <c r="F23" s="559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6">
        <f t="shared" si="3"/>
        <v>9443224.1999999993</v>
      </c>
      <c r="T23" s="343">
        <f t="shared" si="4"/>
        <v>1.9073367400525144E-3</v>
      </c>
    </row>
    <row r="24" spans="1:23" ht="13.5" thickBot="1">
      <c r="A24" s="135">
        <v>713</v>
      </c>
      <c r="B24" s="560" t="s">
        <v>47</v>
      </c>
      <c r="C24" s="561"/>
      <c r="D24" s="561"/>
      <c r="E24" s="561"/>
      <c r="F24" s="561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6">
        <f t="shared" si="3"/>
        <v>11793221.899999999</v>
      </c>
      <c r="T24" s="344">
        <f t="shared" si="4"/>
        <v>2.3819878610381738E-3</v>
      </c>
    </row>
    <row r="25" spans="1:23" ht="13.5" thickBot="1">
      <c r="A25" s="135">
        <v>714</v>
      </c>
      <c r="B25" s="560" t="s">
        <v>61</v>
      </c>
      <c r="C25" s="561"/>
      <c r="D25" s="561"/>
      <c r="E25" s="561"/>
      <c r="F25" s="561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6">
        <f t="shared" si="3"/>
        <v>20484439.07</v>
      </c>
      <c r="T25" s="344">
        <f t="shared" si="4"/>
        <v>4.1374346738032725E-3</v>
      </c>
      <c r="W25" s="276"/>
    </row>
    <row r="26" spans="1:23" ht="13.5" thickBot="1">
      <c r="A26" s="135">
        <v>715</v>
      </c>
      <c r="B26" s="560" t="s">
        <v>81</v>
      </c>
      <c r="C26" s="561"/>
      <c r="D26" s="561"/>
      <c r="E26" s="561"/>
      <c r="F26" s="561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6">
        <f t="shared" si="3"/>
        <v>28696128.32</v>
      </c>
      <c r="T26" s="344">
        <f t="shared" si="4"/>
        <v>5.7960267259139567E-3</v>
      </c>
      <c r="W26" s="292"/>
    </row>
    <row r="27" spans="1:23" ht="13.5" thickBot="1">
      <c r="A27" s="135">
        <v>73</v>
      </c>
      <c r="B27" s="560" t="s">
        <v>99</v>
      </c>
      <c r="C27" s="561"/>
      <c r="D27" s="561"/>
      <c r="E27" s="561"/>
      <c r="F27" s="561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6">
        <f t="shared" si="3"/>
        <v>4775383.3</v>
      </c>
      <c r="T27" s="344">
        <f t="shared" si="4"/>
        <v>9.6452904463744694E-4</v>
      </c>
    </row>
    <row r="28" spans="1:23" ht="13.5" thickBot="1">
      <c r="A28" s="135">
        <v>74</v>
      </c>
      <c r="B28" s="564" t="s">
        <v>105</v>
      </c>
      <c r="C28" s="565"/>
      <c r="D28" s="565"/>
      <c r="E28" s="565"/>
      <c r="F28" s="565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6">
        <f t="shared" si="3"/>
        <v>22987039.909999996</v>
      </c>
      <c r="T28" s="345">
        <f t="shared" si="4"/>
        <v>4.6429084851545132E-3</v>
      </c>
    </row>
    <row r="29" spans="1:23" ht="13.5" thickBot="1">
      <c r="A29" s="135">
        <v>4</v>
      </c>
      <c r="B29" s="566" t="s">
        <v>801</v>
      </c>
      <c r="C29" s="567"/>
      <c r="D29" s="567"/>
      <c r="E29" s="567"/>
      <c r="F29" s="567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60">
        <f t="shared" ref="S29:S63" si="6">+SUM(G29:R29)</f>
        <v>2028496341.4899998</v>
      </c>
      <c r="T29" s="346">
        <f t="shared" si="4"/>
        <v>0.40971447010502926</v>
      </c>
    </row>
    <row r="30" spans="1:23" ht="13.5" thickBot="1">
      <c r="A30" s="135">
        <v>40</v>
      </c>
      <c r="B30" s="568" t="s">
        <v>120</v>
      </c>
      <c r="C30" s="569"/>
      <c r="D30" s="569"/>
      <c r="E30" s="569"/>
      <c r="F30" s="569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1">
        <f t="shared" si="6"/>
        <v>822772770.01999998</v>
      </c>
      <c r="T30" s="347">
        <f t="shared" si="4"/>
        <v>0.16618314886285598</v>
      </c>
      <c r="U30" s="227"/>
    </row>
    <row r="31" spans="1:23">
      <c r="A31" s="135">
        <v>411</v>
      </c>
      <c r="B31" s="558" t="s">
        <v>122</v>
      </c>
      <c r="C31" s="559"/>
      <c r="D31" s="559"/>
      <c r="E31" s="559"/>
      <c r="F31" s="559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8">
        <f>+SUM(G31:R31)</f>
        <v>472853876.71000004</v>
      </c>
      <c r="T31" s="343">
        <f t="shared" si="4"/>
        <v>9.5506741407796414E-2</v>
      </c>
      <c r="U31" s="429"/>
      <c r="W31" s="242"/>
    </row>
    <row r="32" spans="1:23">
      <c r="A32" s="135">
        <v>412</v>
      </c>
      <c r="B32" s="558" t="s">
        <v>133</v>
      </c>
      <c r="C32" s="559"/>
      <c r="D32" s="559"/>
      <c r="E32" s="559"/>
      <c r="F32" s="559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8">
        <f t="shared" si="6"/>
        <v>15228326.93</v>
      </c>
      <c r="T32" s="343">
        <f t="shared" si="4"/>
        <v>3.0758083074126437E-3</v>
      </c>
    </row>
    <row r="33" spans="1:23">
      <c r="A33" s="135">
        <v>413</v>
      </c>
      <c r="B33" s="558" t="s">
        <v>148</v>
      </c>
      <c r="C33" s="559"/>
      <c r="D33" s="559"/>
      <c r="E33" s="559"/>
      <c r="F33" s="559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8">
        <f t="shared" si="6"/>
        <v>33231725.990000002</v>
      </c>
      <c r="T33" s="343">
        <f t="shared" si="4"/>
        <v>6.7121240133306403E-3</v>
      </c>
      <c r="U33" s="277"/>
    </row>
    <row r="34" spans="1:23">
      <c r="A34" s="333">
        <v>414</v>
      </c>
      <c r="B34" s="558" t="s">
        <v>162</v>
      </c>
      <c r="C34" s="559"/>
      <c r="D34" s="559"/>
      <c r="E34" s="559"/>
      <c r="F34" s="559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8">
        <f t="shared" si="6"/>
        <v>77664645.890000001</v>
      </c>
      <c r="T34" s="343">
        <f t="shared" si="4"/>
        <v>1.5686658430620077E-2</v>
      </c>
      <c r="U34" s="292"/>
      <c r="V34" s="275"/>
    </row>
    <row r="35" spans="1:23" s="334" customFormat="1">
      <c r="A35" s="135">
        <v>415</v>
      </c>
      <c r="B35" s="653" t="s">
        <v>182</v>
      </c>
      <c r="C35" s="654"/>
      <c r="D35" s="654"/>
      <c r="E35" s="654"/>
      <c r="F35" s="654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8">
        <f t="shared" si="6"/>
        <v>22511706.030000001</v>
      </c>
      <c r="T35" s="343">
        <f t="shared" si="4"/>
        <v>4.5469008341749145E-3</v>
      </c>
      <c r="U35" s="292"/>
    </row>
    <row r="36" spans="1:23">
      <c r="A36" s="135">
        <v>416</v>
      </c>
      <c r="B36" s="558" t="s">
        <v>190</v>
      </c>
      <c r="C36" s="559"/>
      <c r="D36" s="559"/>
      <c r="E36" s="559"/>
      <c r="F36" s="559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8">
        <f t="shared" si="6"/>
        <v>105803340.84999999</v>
      </c>
      <c r="T36" s="343">
        <f t="shared" si="4"/>
        <v>2.1370095101999595E-2</v>
      </c>
      <c r="U36" s="292"/>
    </row>
    <row r="37" spans="1:23">
      <c r="A37" s="135">
        <v>417</v>
      </c>
      <c r="B37" s="558" t="s">
        <v>196</v>
      </c>
      <c r="C37" s="559"/>
      <c r="D37" s="559"/>
      <c r="E37" s="559"/>
      <c r="F37" s="559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8">
        <f>+SUM(G37:R37)</f>
        <v>10953661.65</v>
      </c>
      <c r="T37" s="343">
        <f t="shared" si="4"/>
        <v>2.2124139870733188E-3</v>
      </c>
      <c r="U37" s="292"/>
    </row>
    <row r="38" spans="1:23">
      <c r="A38" s="135">
        <v>418</v>
      </c>
      <c r="B38" s="558" t="s">
        <v>204</v>
      </c>
      <c r="C38" s="559"/>
      <c r="D38" s="559"/>
      <c r="E38" s="559"/>
      <c r="F38" s="559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8">
        <f t="shared" si="6"/>
        <v>34566147.960000001</v>
      </c>
      <c r="T38" s="343">
        <f t="shared" si="4"/>
        <v>6.9816497596445161E-3</v>
      </c>
      <c r="U38" s="292"/>
    </row>
    <row r="39" spans="1:23">
      <c r="A39" s="333">
        <v>419</v>
      </c>
      <c r="B39" s="558" t="s">
        <v>212</v>
      </c>
      <c r="C39" s="559"/>
      <c r="D39" s="559"/>
      <c r="E39" s="559"/>
      <c r="F39" s="559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8">
        <f t="shared" si="6"/>
        <v>49959338.009999998</v>
      </c>
      <c r="T39" s="343">
        <f t="shared" si="4"/>
        <v>1.0090757020803878E-2</v>
      </c>
      <c r="U39" s="292"/>
    </row>
    <row r="40" spans="1:23" s="334" customFormat="1">
      <c r="A40" s="135">
        <v>42</v>
      </c>
      <c r="B40" s="574" t="s">
        <v>230</v>
      </c>
      <c r="C40" s="575"/>
      <c r="D40" s="575"/>
      <c r="E40" s="575"/>
      <c r="F40" s="575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9">
        <f t="shared" si="6"/>
        <v>554348899.89999998</v>
      </c>
      <c r="T40" s="344">
        <f t="shared" si="4"/>
        <v>0.11196705713997172</v>
      </c>
      <c r="U40" s="292"/>
    </row>
    <row r="41" spans="1:23">
      <c r="A41" s="135">
        <v>421</v>
      </c>
      <c r="B41" s="558" t="s">
        <v>232</v>
      </c>
      <c r="C41" s="559"/>
      <c r="D41" s="559"/>
      <c r="E41" s="559"/>
      <c r="F41" s="559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8">
        <f t="shared" si="6"/>
        <v>79857118.899999991</v>
      </c>
      <c r="T41" s="343">
        <f t="shared" si="4"/>
        <v>1.6129492809533425E-2</v>
      </c>
      <c r="W41" s="290"/>
    </row>
    <row r="42" spans="1:23">
      <c r="A42" s="135">
        <v>422</v>
      </c>
      <c r="B42" s="558" t="s">
        <v>248</v>
      </c>
      <c r="C42" s="559"/>
      <c r="D42" s="559"/>
      <c r="E42" s="559"/>
      <c r="F42" s="559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8">
        <f t="shared" si="6"/>
        <v>20398152.109999999</v>
      </c>
      <c r="T42" s="343">
        <f t="shared" si="4"/>
        <v>4.1200064855584726E-3</v>
      </c>
    </row>
    <row r="43" spans="1:23">
      <c r="A43" s="135">
        <v>423</v>
      </c>
      <c r="B43" s="558" t="s">
        <v>259</v>
      </c>
      <c r="C43" s="559"/>
      <c r="D43" s="559"/>
      <c r="E43" s="559"/>
      <c r="F43" s="559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8">
        <f t="shared" si="6"/>
        <v>420870901.67999995</v>
      </c>
      <c r="T43" s="343">
        <f t="shared" si="4"/>
        <v>8.5007251399717224E-2</v>
      </c>
      <c r="V43" s="275"/>
    </row>
    <row r="44" spans="1:23">
      <c r="A44" s="135">
        <v>424</v>
      </c>
      <c r="B44" s="558" t="s">
        <v>274</v>
      </c>
      <c r="C44" s="559"/>
      <c r="D44" s="559"/>
      <c r="E44" s="559"/>
      <c r="F44" s="559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8">
        <f t="shared" si="6"/>
        <v>21699290.620000005</v>
      </c>
      <c r="T44" s="343">
        <f t="shared" si="4"/>
        <v>4.3828096586548178E-3</v>
      </c>
    </row>
    <row r="45" spans="1:23">
      <c r="A45" s="333">
        <v>425</v>
      </c>
      <c r="B45" s="558" t="s">
        <v>278</v>
      </c>
      <c r="C45" s="559"/>
      <c r="D45" s="559"/>
      <c r="E45" s="559"/>
      <c r="F45" s="559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8">
        <f t="shared" si="6"/>
        <v>11523436.590000002</v>
      </c>
      <c r="T45" s="343">
        <f t="shared" si="4"/>
        <v>2.3274967865077765E-3</v>
      </c>
      <c r="U45" s="62"/>
    </row>
    <row r="46" spans="1:23" s="334" customFormat="1">
      <c r="A46" s="135">
        <v>43</v>
      </c>
      <c r="B46" s="572" t="s">
        <v>286</v>
      </c>
      <c r="C46" s="573"/>
      <c r="D46" s="573"/>
      <c r="E46" s="573"/>
      <c r="F46" s="573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9">
        <f t="shared" si="6"/>
        <v>219689949.60999998</v>
      </c>
      <c r="T46" s="344">
        <f t="shared" si="4"/>
        <v>4.4372843791153298E-2</v>
      </c>
    </row>
    <row r="47" spans="1:23">
      <c r="A47" s="135">
        <v>44</v>
      </c>
      <c r="B47" s="572" t="s">
        <v>320</v>
      </c>
      <c r="C47" s="573"/>
      <c r="D47" s="573"/>
      <c r="E47" s="573"/>
      <c r="F47" s="573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9">
        <f t="shared" si="6"/>
        <v>344885621.69999993</v>
      </c>
      <c r="T47" s="344">
        <f t="shared" si="4"/>
        <v>6.965979028479094E-2</v>
      </c>
      <c r="U47" s="275"/>
    </row>
    <row r="48" spans="1:23">
      <c r="A48" s="135">
        <v>451</v>
      </c>
      <c r="B48" s="651" t="s">
        <v>113</v>
      </c>
      <c r="C48" s="652"/>
      <c r="D48" s="652"/>
      <c r="E48" s="652"/>
      <c r="F48" s="652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8">
        <f t="shared" si="6"/>
        <v>3176935.98</v>
      </c>
      <c r="T48" s="343">
        <f t="shared" si="4"/>
        <v>6.416756170470612E-4</v>
      </c>
    </row>
    <row r="49" spans="1:22" s="334" customFormat="1">
      <c r="A49" s="333">
        <v>47</v>
      </c>
      <c r="B49" s="643" t="s">
        <v>366</v>
      </c>
      <c r="C49" s="644"/>
      <c r="D49" s="644"/>
      <c r="E49" s="644"/>
      <c r="F49" s="644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8">
        <f t="shared" si="6"/>
        <v>24296455.589999996</v>
      </c>
      <c r="T49" s="343">
        <f t="shared" si="4"/>
        <v>4.9073834760654409E-3</v>
      </c>
    </row>
    <row r="50" spans="1:22" ht="13.5" thickBot="1">
      <c r="A50" s="135">
        <v>462</v>
      </c>
      <c r="B50" s="578" t="s">
        <v>359</v>
      </c>
      <c r="C50" s="579"/>
      <c r="D50" s="579"/>
      <c r="E50" s="579"/>
      <c r="F50" s="579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8">
        <f t="shared" si="6"/>
        <v>38684699.409999996</v>
      </c>
      <c r="T50" s="348">
        <f t="shared" si="4"/>
        <v>7.8135123025651378E-3</v>
      </c>
      <c r="U50" s="276"/>
      <c r="V50" s="277"/>
    </row>
    <row r="51" spans="1:22" ht="13.5" thickBot="1">
      <c r="A51" s="129">
        <v>4630</v>
      </c>
      <c r="B51" s="645" t="s">
        <v>794</v>
      </c>
      <c r="C51" s="646"/>
      <c r="D51" s="646"/>
      <c r="E51" s="646"/>
      <c r="F51" s="646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3">
        <f>+SUM(G51:R51)</f>
        <v>20641009.280000001</v>
      </c>
      <c r="T51" s="348">
        <f>+S51/$T$7</f>
        <v>4.1690586305796811E-3</v>
      </c>
    </row>
    <row r="52" spans="1:22" ht="13.5" thickBot="1">
      <c r="A52" s="61">
        <v>1005</v>
      </c>
      <c r="B52" s="647" t="s">
        <v>684</v>
      </c>
      <c r="C52" s="648"/>
      <c r="D52" s="648"/>
      <c r="E52" s="648"/>
      <c r="F52" s="648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4">
        <f>+SUM(G52:R52)</f>
        <v>0</v>
      </c>
      <c r="T52" s="349">
        <f>+S52/$T$7</f>
        <v>0</v>
      </c>
    </row>
    <row r="53" spans="1:22" ht="13.5" thickBot="1">
      <c r="A53" s="129">
        <v>1000</v>
      </c>
      <c r="B53" s="580" t="s">
        <v>545</v>
      </c>
      <c r="C53" s="581"/>
      <c r="D53" s="581"/>
      <c r="E53" s="581"/>
      <c r="F53" s="581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5">
        <f t="shared" si="6"/>
        <v>-143283723.32999992</v>
      </c>
      <c r="T53" s="350">
        <f t="shared" si="4"/>
        <v>-2.8940360195920001E-2</v>
      </c>
    </row>
    <row r="54" spans="1:22" ht="13.5" thickBot="1">
      <c r="A54" s="129">
        <v>1001</v>
      </c>
      <c r="B54" s="582" t="s">
        <v>792</v>
      </c>
      <c r="C54" s="583"/>
      <c r="D54" s="583"/>
      <c r="E54" s="583"/>
      <c r="F54" s="583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5">
        <f t="shared" si="6"/>
        <v>-37480382.479999945</v>
      </c>
      <c r="T54" s="350">
        <f t="shared" si="4"/>
        <v>-7.5702650939204093E-3</v>
      </c>
    </row>
    <row r="55" spans="1:22">
      <c r="A55" s="129">
        <v>46</v>
      </c>
      <c r="B55" s="604" t="s">
        <v>352</v>
      </c>
      <c r="C55" s="605"/>
      <c r="D55" s="605"/>
      <c r="E55" s="605"/>
      <c r="F55" s="605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6">
        <f t="shared" si="6"/>
        <v>507341253.08999997</v>
      </c>
      <c r="T55" s="351">
        <f t="shared" si="4"/>
        <v>0.10247248093112502</v>
      </c>
      <c r="V55" s="290"/>
    </row>
    <row r="56" spans="1:22">
      <c r="A56" s="129">
        <v>4611</v>
      </c>
      <c r="B56" s="600" t="s">
        <v>355</v>
      </c>
      <c r="C56" s="601"/>
      <c r="D56" s="601"/>
      <c r="E56" s="601"/>
      <c r="F56" s="601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7">
        <f t="shared" si="6"/>
        <v>178415558.27999997</v>
      </c>
      <c r="T56" s="352">
        <f t="shared" si="4"/>
        <v>3.6036267073318515E-2</v>
      </c>
      <c r="V56" s="62"/>
    </row>
    <row r="57" spans="1:22">
      <c r="A57" s="129">
        <v>4612</v>
      </c>
      <c r="B57" s="576" t="s">
        <v>357</v>
      </c>
      <c r="C57" s="577"/>
      <c r="D57" s="577"/>
      <c r="E57" s="577"/>
      <c r="F57" s="577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7">
        <f t="shared" si="6"/>
        <v>328925694.81</v>
      </c>
      <c r="T57" s="352">
        <f t="shared" si="4"/>
        <v>6.64362138578065E-2</v>
      </c>
      <c r="V57" s="297"/>
    </row>
    <row r="58" spans="1:22" ht="13.5" thickBot="1">
      <c r="A58" s="129">
        <v>4418</v>
      </c>
      <c r="B58" s="659" t="s">
        <v>336</v>
      </c>
      <c r="C58" s="660"/>
      <c r="D58" s="660"/>
      <c r="E58" s="660"/>
      <c r="F58" s="660"/>
      <c r="G58" s="466">
        <f>DataEx!FF167</f>
        <v>0</v>
      </c>
      <c r="H58" s="466">
        <f>DataEx!FG167</f>
        <v>35272.089999999997</v>
      </c>
      <c r="I58" s="466">
        <f>DataEx!FH167</f>
        <v>0</v>
      </c>
      <c r="J58" s="466">
        <f>DataEx!FI167</f>
        <v>39948396.369999997</v>
      </c>
      <c r="K58" s="466">
        <f>DataEx!FJ167</f>
        <v>0</v>
      </c>
      <c r="L58" s="466">
        <f>DataEx!FK167</f>
        <v>0</v>
      </c>
      <c r="M58" s="466">
        <f>DataEx!FL167</f>
        <v>0</v>
      </c>
      <c r="N58" s="466">
        <f>DataEx!FM167</f>
        <v>0</v>
      </c>
      <c r="O58" s="466">
        <f>DataEx!FN167</f>
        <v>0</v>
      </c>
      <c r="P58" s="466">
        <f>DataEx!FO167</f>
        <v>0</v>
      </c>
      <c r="Q58" s="466">
        <f>DataEx!FP167</f>
        <v>14495201.140000001</v>
      </c>
      <c r="R58" s="466">
        <f>DataEx!FQ167</f>
        <v>2849828.78</v>
      </c>
      <c r="S58" s="467">
        <f>SUM(G58:R58)</f>
        <v>57328698.380000003</v>
      </c>
      <c r="T58" s="468">
        <f>+S58/$T$7</f>
        <v>1.1579215992728742E-2</v>
      </c>
      <c r="V58" s="297"/>
    </row>
    <row r="59" spans="1:22" ht="13.5" thickBot="1">
      <c r="A59" s="129">
        <v>1002</v>
      </c>
      <c r="B59" s="602" t="s">
        <v>543</v>
      </c>
      <c r="C59" s="603"/>
      <c r="D59" s="603"/>
      <c r="E59" s="603"/>
      <c r="F59" s="603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8">
        <f t="shared" si="6"/>
        <v>-707953674.79999995</v>
      </c>
      <c r="T59" s="353">
        <f t="shared" si="4"/>
        <v>-0.14299205711977378</v>
      </c>
    </row>
    <row r="60" spans="1:22" ht="13.5" thickBot="1">
      <c r="A60" s="129">
        <v>1003</v>
      </c>
      <c r="B60" s="566" t="s">
        <v>544</v>
      </c>
      <c r="C60" s="567"/>
      <c r="D60" s="567"/>
      <c r="E60" s="567"/>
      <c r="F60" s="567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9">
        <f t="shared" si="6"/>
        <v>707953674.79999995</v>
      </c>
      <c r="T60" s="354">
        <f t="shared" si="4"/>
        <v>0.14299205711977378</v>
      </c>
    </row>
    <row r="61" spans="1:22">
      <c r="A61" s="129">
        <v>7511</v>
      </c>
      <c r="B61" s="600" t="s">
        <v>114</v>
      </c>
      <c r="C61" s="601"/>
      <c r="D61" s="601"/>
      <c r="E61" s="601"/>
      <c r="F61" s="601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7">
        <f t="shared" si="6"/>
        <v>363438000</v>
      </c>
      <c r="T61" s="352">
        <f t="shared" si="4"/>
        <v>7.3406988487174307E-2</v>
      </c>
    </row>
    <row r="62" spans="1:22">
      <c r="A62" s="129">
        <v>7512</v>
      </c>
      <c r="B62" s="576" t="s">
        <v>116</v>
      </c>
      <c r="C62" s="577"/>
      <c r="D62" s="577"/>
      <c r="E62" s="577"/>
      <c r="F62" s="577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7">
        <f t="shared" si="6"/>
        <v>651580293.42999995</v>
      </c>
      <c r="T62" s="352">
        <f t="shared" si="4"/>
        <v>0.13160579548172086</v>
      </c>
    </row>
    <row r="63" spans="1:22">
      <c r="A63" s="129">
        <v>72</v>
      </c>
      <c r="B63" s="576" t="s">
        <v>93</v>
      </c>
      <c r="C63" s="577"/>
      <c r="D63" s="577"/>
      <c r="E63" s="577"/>
      <c r="F63" s="577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7">
        <f t="shared" si="6"/>
        <v>4278082.92</v>
      </c>
      <c r="T63" s="352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70">
        <f>+SUM(G64:R64)</f>
        <v>-311342701.55000001</v>
      </c>
      <c r="T64" s="355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632" t="s">
        <v>551</v>
      </c>
      <c r="C100" s="633"/>
      <c r="D100" s="633"/>
      <c r="E100" s="633"/>
      <c r="F100" s="633"/>
      <c r="G100" s="640">
        <v>2019</v>
      </c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2"/>
      <c r="S100" s="96" t="str">
        <f>+S7</f>
        <v>BDP</v>
      </c>
      <c r="T100" s="97">
        <f>+T7</f>
        <v>4951000000</v>
      </c>
    </row>
    <row r="101" spans="1:21" ht="15.75" customHeight="1">
      <c r="B101" s="634"/>
      <c r="C101" s="635"/>
      <c r="D101" s="635"/>
      <c r="E101" s="635"/>
      <c r="F101" s="636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640" t="s">
        <v>806</v>
      </c>
      <c r="T101" s="642">
        <f>+T8</f>
        <v>0</v>
      </c>
    </row>
    <row r="102" spans="1:21" ht="13.5" thickBot="1">
      <c r="B102" s="637"/>
      <c r="C102" s="638"/>
      <c r="D102" s="638"/>
      <c r="E102" s="638"/>
      <c r="F102" s="639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655" t="s">
        <v>680</v>
      </c>
      <c r="C103" s="656"/>
      <c r="D103" s="656"/>
      <c r="E103" s="656"/>
      <c r="F103" s="656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1">
        <f>+SUM(G103:R103)</f>
        <v>1834032913.7635608</v>
      </c>
      <c r="T103" s="384">
        <f>+S103/$T$7</f>
        <v>0.37043686402010922</v>
      </c>
    </row>
    <row r="104" spans="1:21">
      <c r="A104" s="105" t="str">
        <f t="shared" si="17"/>
        <v>711p</v>
      </c>
      <c r="B104" s="630" t="s">
        <v>21</v>
      </c>
      <c r="C104" s="631"/>
      <c r="D104" s="631"/>
      <c r="E104" s="631"/>
      <c r="F104" s="631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2">
        <f t="shared" ref="S104:S159" si="20">+SUM(G104:R104)</f>
        <v>1122669950.9867301</v>
      </c>
      <c r="T104" s="385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622" t="s">
        <v>23</v>
      </c>
      <c r="C105" s="623"/>
      <c r="D105" s="623"/>
      <c r="E105" s="623"/>
      <c r="F105" s="623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3">
        <f t="shared" si="20"/>
        <v>120237518.04497004</v>
      </c>
      <c r="T105" s="386">
        <f t="shared" si="21"/>
        <v>2.4285501523928506E-2</v>
      </c>
    </row>
    <row r="106" spans="1:21">
      <c r="A106" s="105" t="str">
        <f t="shared" si="17"/>
        <v>7112p</v>
      </c>
      <c r="B106" s="622" t="s">
        <v>25</v>
      </c>
      <c r="C106" s="623"/>
      <c r="D106" s="623"/>
      <c r="E106" s="623"/>
      <c r="F106" s="623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3">
        <f t="shared" si="20"/>
        <v>71194860.131909981</v>
      </c>
      <c r="T106" s="386">
        <f t="shared" si="21"/>
        <v>1.4379894997356086E-2</v>
      </c>
    </row>
    <row r="107" spans="1:21">
      <c r="A107" s="105" t="str">
        <f t="shared" si="17"/>
        <v>7113p</v>
      </c>
      <c r="B107" s="622" t="s">
        <v>27</v>
      </c>
      <c r="C107" s="623"/>
      <c r="D107" s="623"/>
      <c r="E107" s="623"/>
      <c r="F107" s="623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3">
        <f t="shared" si="20"/>
        <v>1862816.4104000002</v>
      </c>
      <c r="T107" s="386">
        <f t="shared" si="21"/>
        <v>3.7625053734599074E-4</v>
      </c>
    </row>
    <row r="108" spans="1:21">
      <c r="A108" s="105" t="str">
        <f t="shared" si="17"/>
        <v>7114p</v>
      </c>
      <c r="B108" s="622" t="s">
        <v>29</v>
      </c>
      <c r="C108" s="623"/>
      <c r="D108" s="623"/>
      <c r="E108" s="623"/>
      <c r="F108" s="623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3">
        <f t="shared" si="20"/>
        <v>657905657.67184997</v>
      </c>
      <c r="T108" s="386">
        <f t="shared" si="21"/>
        <v>0.1328833887440618</v>
      </c>
    </row>
    <row r="109" spans="1:21">
      <c r="A109" s="105" t="str">
        <f t="shared" si="17"/>
        <v>7115p</v>
      </c>
      <c r="B109" s="622" t="s">
        <v>31</v>
      </c>
      <c r="C109" s="623"/>
      <c r="D109" s="623"/>
      <c r="E109" s="623"/>
      <c r="F109" s="623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3">
        <f t="shared" si="20"/>
        <v>234801605.29820004</v>
      </c>
      <c r="T109" s="386">
        <f t="shared" si="21"/>
        <v>4.7425086911371449E-2</v>
      </c>
    </row>
    <row r="110" spans="1:21">
      <c r="A110" s="105" t="str">
        <f t="shared" si="17"/>
        <v>7116p</v>
      </c>
      <c r="B110" s="622" t="s">
        <v>33</v>
      </c>
      <c r="C110" s="623"/>
      <c r="D110" s="623"/>
      <c r="E110" s="623"/>
      <c r="F110" s="623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3">
        <f t="shared" si="20"/>
        <v>27167589.829800002</v>
      </c>
      <c r="T110" s="386">
        <f t="shared" si="21"/>
        <v>5.4872934416885484E-3</v>
      </c>
    </row>
    <row r="111" spans="1:21">
      <c r="A111" s="105" t="str">
        <f t="shared" si="17"/>
        <v>7118p</v>
      </c>
      <c r="B111" s="622" t="s">
        <v>721</v>
      </c>
      <c r="C111" s="623"/>
      <c r="D111" s="623"/>
      <c r="E111" s="623"/>
      <c r="F111" s="623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3">
        <f t="shared" si="20"/>
        <v>9499903.5996000003</v>
      </c>
      <c r="T111" s="386">
        <f t="shared" si="21"/>
        <v>1.918784811068471E-3</v>
      </c>
    </row>
    <row r="112" spans="1:21">
      <c r="A112" s="105" t="str">
        <f t="shared" si="17"/>
        <v>712p</v>
      </c>
      <c r="B112" s="657" t="s">
        <v>37</v>
      </c>
      <c r="C112" s="658"/>
      <c r="D112" s="658"/>
      <c r="E112" s="658"/>
      <c r="F112" s="658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4">
        <f t="shared" si="20"/>
        <v>534213514.07533062</v>
      </c>
      <c r="T112" s="387">
        <f t="shared" si="21"/>
        <v>0.10790012403056566</v>
      </c>
    </row>
    <row r="113" spans="1:20">
      <c r="A113" s="105" t="str">
        <f t="shared" si="17"/>
        <v>7121p</v>
      </c>
      <c r="B113" s="622" t="s">
        <v>39</v>
      </c>
      <c r="C113" s="623"/>
      <c r="D113" s="623"/>
      <c r="E113" s="623"/>
      <c r="F113" s="623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3">
        <f t="shared" si="20"/>
        <v>327876749.17454183</v>
      </c>
      <c r="T113" s="386">
        <f t="shared" si="21"/>
        <v>6.6224348449715573E-2</v>
      </c>
    </row>
    <row r="114" spans="1:20">
      <c r="A114" s="105" t="str">
        <f t="shared" si="17"/>
        <v>7122p</v>
      </c>
      <c r="B114" s="622" t="s">
        <v>41</v>
      </c>
      <c r="C114" s="623"/>
      <c r="D114" s="623"/>
      <c r="E114" s="623"/>
      <c r="F114" s="623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3">
        <f t="shared" si="20"/>
        <v>178851341.72447601</v>
      </c>
      <c r="T114" s="386">
        <f t="shared" si="21"/>
        <v>3.6124286351136341E-2</v>
      </c>
    </row>
    <row r="115" spans="1:20">
      <c r="A115" s="105" t="str">
        <f t="shared" si="17"/>
        <v>7123p</v>
      </c>
      <c r="B115" s="622" t="s">
        <v>43</v>
      </c>
      <c r="C115" s="623"/>
      <c r="D115" s="623"/>
      <c r="E115" s="623"/>
      <c r="F115" s="623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3">
        <f t="shared" si="20"/>
        <v>14950709.439620741</v>
      </c>
      <c r="T115" s="386">
        <f t="shared" si="21"/>
        <v>3.0197352938034216E-3</v>
      </c>
    </row>
    <row r="116" spans="1:20">
      <c r="A116" s="105" t="str">
        <f t="shared" si="17"/>
        <v>7124p</v>
      </c>
      <c r="B116" s="622" t="s">
        <v>45</v>
      </c>
      <c r="C116" s="623"/>
      <c r="D116" s="623"/>
      <c r="E116" s="623"/>
      <c r="F116" s="623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3">
        <f t="shared" si="20"/>
        <v>12534713.736692008</v>
      </c>
      <c r="T116" s="386">
        <f t="shared" si="21"/>
        <v>2.5317539359103226E-3</v>
      </c>
    </row>
    <row r="117" spans="1:20">
      <c r="A117" s="105" t="str">
        <f t="shared" si="17"/>
        <v>713p</v>
      </c>
      <c r="B117" s="628" t="s">
        <v>47</v>
      </c>
      <c r="C117" s="629"/>
      <c r="D117" s="629"/>
      <c r="E117" s="629"/>
      <c r="F117" s="629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4">
        <f t="shared" si="20"/>
        <v>15318488.925500004</v>
      </c>
      <c r="T117" s="387">
        <f t="shared" si="21"/>
        <v>3.0940191729953554E-3</v>
      </c>
    </row>
    <row r="118" spans="1:20">
      <c r="A118" s="105" t="str">
        <f t="shared" si="17"/>
        <v>714p</v>
      </c>
      <c r="B118" s="628" t="s">
        <v>61</v>
      </c>
      <c r="C118" s="629"/>
      <c r="D118" s="629"/>
      <c r="E118" s="629"/>
      <c r="F118" s="629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4">
        <f t="shared" si="20"/>
        <v>31390844.861600004</v>
      </c>
      <c r="T118" s="387">
        <f t="shared" si="21"/>
        <v>6.3403039510401948E-3</v>
      </c>
    </row>
    <row r="119" spans="1:20">
      <c r="A119" s="105" t="str">
        <f t="shared" si="17"/>
        <v>715p</v>
      </c>
      <c r="B119" s="628" t="s">
        <v>81</v>
      </c>
      <c r="C119" s="629"/>
      <c r="D119" s="629"/>
      <c r="E119" s="629"/>
      <c r="F119" s="629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4">
        <f t="shared" si="20"/>
        <v>77448450.912399963</v>
      </c>
      <c r="T119" s="387">
        <f t="shared" si="21"/>
        <v>1.5642991499171876E-2</v>
      </c>
    </row>
    <row r="120" spans="1:20">
      <c r="A120" s="105" t="str">
        <f t="shared" si="17"/>
        <v>73p</v>
      </c>
      <c r="B120" s="628" t="s">
        <v>99</v>
      </c>
      <c r="C120" s="629"/>
      <c r="D120" s="629"/>
      <c r="E120" s="629"/>
      <c r="F120" s="629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4">
        <f t="shared" si="20"/>
        <v>8511664.0019999985</v>
      </c>
      <c r="T120" s="387">
        <f t="shared" si="21"/>
        <v>1.7191807719652591E-3</v>
      </c>
    </row>
    <row r="121" spans="1:20" ht="13.5" thickBot="1">
      <c r="A121" s="105" t="str">
        <f t="shared" si="17"/>
        <v>74p</v>
      </c>
      <c r="B121" s="624" t="s">
        <v>105</v>
      </c>
      <c r="C121" s="625"/>
      <c r="D121" s="625"/>
      <c r="E121" s="625"/>
      <c r="F121" s="625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5">
        <f t="shared" si="20"/>
        <v>44480000</v>
      </c>
      <c r="T121" s="388">
        <f t="shared" si="21"/>
        <v>8.98404362754999E-3</v>
      </c>
    </row>
    <row r="122" spans="1:20" ht="13.5" thickBot="1">
      <c r="A122" s="105" t="str">
        <f t="shared" si="17"/>
        <v>4p</v>
      </c>
      <c r="B122" s="606" t="s">
        <v>808</v>
      </c>
      <c r="C122" s="607"/>
      <c r="D122" s="607"/>
      <c r="E122" s="607"/>
      <c r="F122" s="607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6">
        <f>+SUM(G122:R122)</f>
        <v>1976630978.4000001</v>
      </c>
      <c r="T122" s="389">
        <f t="shared" si="21"/>
        <v>0.39923873528580089</v>
      </c>
    </row>
    <row r="123" spans="1:20" ht="13.5" thickBot="1">
      <c r="A123" s="105" t="str">
        <f t="shared" si="17"/>
        <v>40p</v>
      </c>
      <c r="B123" s="661" t="s">
        <v>773</v>
      </c>
      <c r="C123" s="662"/>
      <c r="D123" s="662"/>
      <c r="E123" s="662"/>
      <c r="F123" s="662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7">
        <f t="shared" si="20"/>
        <v>1680705978.4000001</v>
      </c>
      <c r="T123" s="390">
        <f t="shared" si="21"/>
        <v>0.33946798190264593</v>
      </c>
    </row>
    <row r="124" spans="1:20">
      <c r="A124" s="105" t="e">
        <f>+CONCATENATE(#REF!,"p")</f>
        <v>#REF!</v>
      </c>
      <c r="B124" s="626" t="e">
        <v>#REF!</v>
      </c>
      <c r="C124" s="627"/>
      <c r="D124" s="627"/>
      <c r="E124" s="627"/>
      <c r="F124" s="627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2">
        <f t="shared" si="20"/>
        <v>846670934.61000013</v>
      </c>
      <c r="T124" s="385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622" t="s">
        <v>122</v>
      </c>
      <c r="C125" s="623"/>
      <c r="D125" s="623"/>
      <c r="E125" s="623"/>
      <c r="F125" s="623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3">
        <f t="shared" si="20"/>
        <v>472054247.1500001</v>
      </c>
      <c r="T125" s="386">
        <f t="shared" si="21"/>
        <v>9.5345232710563541E-2</v>
      </c>
    </row>
    <row r="126" spans="1:20">
      <c r="A126" s="105" t="str">
        <f t="shared" si="26"/>
        <v>412p</v>
      </c>
      <c r="B126" s="622" t="s">
        <v>133</v>
      </c>
      <c r="C126" s="623"/>
      <c r="D126" s="623"/>
      <c r="E126" s="623"/>
      <c r="F126" s="623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3">
        <f t="shared" si="20"/>
        <v>15077125.449999996</v>
      </c>
      <c r="T126" s="386">
        <f t="shared" si="21"/>
        <v>3.0452687234902029E-3</v>
      </c>
    </row>
    <row r="127" spans="1:20">
      <c r="A127" s="105" t="str">
        <f t="shared" si="26"/>
        <v>413p</v>
      </c>
      <c r="B127" s="622" t="s">
        <v>148</v>
      </c>
      <c r="C127" s="623"/>
      <c r="D127" s="623"/>
      <c r="E127" s="623"/>
      <c r="F127" s="623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3">
        <f t="shared" si="20"/>
        <v>36652827.660000004</v>
      </c>
      <c r="T127" s="386">
        <f t="shared" si="21"/>
        <v>7.4031160694809136E-3</v>
      </c>
    </row>
    <row r="128" spans="1:20">
      <c r="A128" s="105" t="str">
        <f t="shared" si="26"/>
        <v>414p</v>
      </c>
      <c r="B128" s="622" t="s">
        <v>162</v>
      </c>
      <c r="C128" s="623"/>
      <c r="D128" s="623"/>
      <c r="E128" s="623"/>
      <c r="F128" s="623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3">
        <f t="shared" si="20"/>
        <v>63127045.969999991</v>
      </c>
      <c r="T128" s="386">
        <f t="shared" si="21"/>
        <v>1.2750362748939606E-2</v>
      </c>
    </row>
    <row r="129" spans="1:20">
      <c r="A129" s="105" t="str">
        <f t="shared" si="26"/>
        <v>415p</v>
      </c>
      <c r="B129" s="622" t="s">
        <v>182</v>
      </c>
      <c r="C129" s="623"/>
      <c r="D129" s="623"/>
      <c r="E129" s="623"/>
      <c r="F129" s="623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3">
        <f t="shared" si="20"/>
        <v>23117903.600000001</v>
      </c>
      <c r="T129" s="386">
        <f t="shared" si="21"/>
        <v>4.6693402544940423E-3</v>
      </c>
    </row>
    <row r="130" spans="1:20">
      <c r="A130" s="105" t="str">
        <f t="shared" si="26"/>
        <v>416p</v>
      </c>
      <c r="B130" s="622" t="s">
        <v>190</v>
      </c>
      <c r="C130" s="623"/>
      <c r="D130" s="623"/>
      <c r="E130" s="623"/>
      <c r="F130" s="623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3">
        <f t="shared" si="20"/>
        <v>95752699.999999985</v>
      </c>
      <c r="T130" s="386">
        <f t="shared" si="21"/>
        <v>1.9340072712583315E-2</v>
      </c>
    </row>
    <row r="131" spans="1:20">
      <c r="A131" s="105" t="str">
        <f t="shared" si="26"/>
        <v>417p</v>
      </c>
      <c r="B131" s="622" t="s">
        <v>196</v>
      </c>
      <c r="C131" s="623"/>
      <c r="D131" s="623"/>
      <c r="E131" s="623"/>
      <c r="F131" s="623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3">
        <f t="shared" si="20"/>
        <v>9821101.7599999998</v>
      </c>
      <c r="T131" s="386">
        <f t="shared" si="21"/>
        <v>1.9836602221773377E-3</v>
      </c>
    </row>
    <row r="132" spans="1:20">
      <c r="A132" s="105" t="str">
        <f t="shared" si="26"/>
        <v>418p</v>
      </c>
      <c r="B132" s="622" t="s">
        <v>204</v>
      </c>
      <c r="C132" s="623"/>
      <c r="D132" s="623"/>
      <c r="E132" s="623"/>
      <c r="F132" s="623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3">
        <f t="shared" si="20"/>
        <v>30814599.999999993</v>
      </c>
      <c r="T132" s="386">
        <f t="shared" si="21"/>
        <v>6.2239143607352035E-3</v>
      </c>
    </row>
    <row r="133" spans="1:20">
      <c r="A133" s="105" t="str">
        <f t="shared" si="26"/>
        <v>419p</v>
      </c>
      <c r="B133" s="622" t="s">
        <v>212</v>
      </c>
      <c r="C133" s="623"/>
      <c r="D133" s="623"/>
      <c r="E133" s="623"/>
      <c r="F133" s="623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3">
        <f t="shared" si="20"/>
        <v>41196323.400000006</v>
      </c>
      <c r="T133" s="386">
        <f t="shared" si="21"/>
        <v>8.3208086043223602E-3</v>
      </c>
    </row>
    <row r="134" spans="1:20">
      <c r="A134" s="105" t="e">
        <f>+CONCATENATE(#REF!,"p")</f>
        <v>#REF!</v>
      </c>
      <c r="B134" s="622" t="e">
        <v>#REF!</v>
      </c>
      <c r="C134" s="623"/>
      <c r="D134" s="623"/>
      <c r="E134" s="623"/>
      <c r="F134" s="623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3">
        <f t="shared" si="20"/>
        <v>59057059.620000012</v>
      </c>
      <c r="T134" s="386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618" t="s">
        <v>230</v>
      </c>
      <c r="C135" s="619"/>
      <c r="D135" s="619"/>
      <c r="E135" s="619"/>
      <c r="F135" s="619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4">
        <f t="shared" si="20"/>
        <v>557842584.41999996</v>
      </c>
      <c r="T135" s="387">
        <f t="shared" si="21"/>
        <v>0.11267270943647748</v>
      </c>
    </row>
    <row r="136" spans="1:20">
      <c r="A136" s="105" t="str">
        <f t="shared" si="27"/>
        <v>421p</v>
      </c>
      <c r="B136" s="622" t="s">
        <v>232</v>
      </c>
      <c r="C136" s="623"/>
      <c r="D136" s="623"/>
      <c r="E136" s="623"/>
      <c r="F136" s="623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3">
        <f t="shared" si="20"/>
        <v>80990000.000000015</v>
      </c>
      <c r="T136" s="386">
        <f t="shared" si="21"/>
        <v>1.6358311452231874E-2</v>
      </c>
    </row>
    <row r="137" spans="1:20">
      <c r="A137" s="105" t="str">
        <f t="shared" si="27"/>
        <v>422p</v>
      </c>
      <c r="B137" s="622" t="s">
        <v>248</v>
      </c>
      <c r="C137" s="623"/>
      <c r="D137" s="623"/>
      <c r="E137" s="623"/>
      <c r="F137" s="623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3">
        <f t="shared" si="20"/>
        <v>18202468.969999999</v>
      </c>
      <c r="T137" s="386">
        <f t="shared" si="21"/>
        <v>3.6765237265198947E-3</v>
      </c>
    </row>
    <row r="138" spans="1:20">
      <c r="A138" s="105" t="str">
        <f t="shared" si="27"/>
        <v>423p</v>
      </c>
      <c r="B138" s="622" t="s">
        <v>259</v>
      </c>
      <c r="C138" s="623"/>
      <c r="D138" s="623"/>
      <c r="E138" s="623"/>
      <c r="F138" s="623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3">
        <f t="shared" si="20"/>
        <v>429025014.44999993</v>
      </c>
      <c r="T138" s="386">
        <f t="shared" si="21"/>
        <v>8.6654214189052697E-2</v>
      </c>
    </row>
    <row r="139" spans="1:20">
      <c r="A139" s="105" t="str">
        <f t="shared" si="27"/>
        <v>424p</v>
      </c>
      <c r="B139" s="622" t="s">
        <v>274</v>
      </c>
      <c r="C139" s="623"/>
      <c r="D139" s="623"/>
      <c r="E139" s="623"/>
      <c r="F139" s="623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3">
        <f t="shared" si="20"/>
        <v>19000100</v>
      </c>
      <c r="T139" s="386">
        <f t="shared" si="21"/>
        <v>3.8376287618662897E-3</v>
      </c>
    </row>
    <row r="140" spans="1:20">
      <c r="A140" s="105" t="str">
        <f t="shared" si="27"/>
        <v>425p</v>
      </c>
      <c r="B140" s="622" t="s">
        <v>278</v>
      </c>
      <c r="C140" s="623"/>
      <c r="D140" s="623"/>
      <c r="E140" s="623"/>
      <c r="F140" s="623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3">
        <f t="shared" si="20"/>
        <v>10625001</v>
      </c>
      <c r="T140" s="386">
        <f t="shared" si="21"/>
        <v>2.1460313068067055E-3</v>
      </c>
    </row>
    <row r="141" spans="1:20">
      <c r="A141" s="105" t="str">
        <f t="shared" si="27"/>
        <v>43p</v>
      </c>
      <c r="B141" s="620" t="s">
        <v>286</v>
      </c>
      <c r="C141" s="621"/>
      <c r="D141" s="621"/>
      <c r="E141" s="621"/>
      <c r="F141" s="621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4">
        <f>+SUM(G141:R141)</f>
        <v>220947786.96000001</v>
      </c>
      <c r="T141" s="387">
        <f t="shared" si="21"/>
        <v>4.4626901022015754E-2</v>
      </c>
    </row>
    <row r="142" spans="1:20">
      <c r="A142" s="105" t="str">
        <f t="shared" si="27"/>
        <v>44p</v>
      </c>
      <c r="B142" s="620" t="s">
        <v>809</v>
      </c>
      <c r="C142" s="621"/>
      <c r="D142" s="621"/>
      <c r="E142" s="621"/>
      <c r="F142" s="621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4">
        <f t="shared" si="20"/>
        <v>295925000</v>
      </c>
      <c r="T142" s="387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612" t="s">
        <v>113</v>
      </c>
      <c r="C143" s="613"/>
      <c r="D143" s="613"/>
      <c r="E143" s="613"/>
      <c r="F143" s="613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3">
        <f t="shared" si="20"/>
        <v>2280000.9999999995</v>
      </c>
      <c r="T143" s="386">
        <f t="shared" si="21"/>
        <v>4.6051322965057553E-4</v>
      </c>
    </row>
    <row r="144" spans="1:20">
      <c r="A144" s="105" t="str">
        <f t="shared" si="29"/>
        <v>47p</v>
      </c>
      <c r="B144" s="612" t="s">
        <v>366</v>
      </c>
      <c r="C144" s="613"/>
      <c r="D144" s="613"/>
      <c r="E144" s="613"/>
      <c r="F144" s="613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3">
        <f t="shared" si="20"/>
        <v>24999999.999999996</v>
      </c>
      <c r="T144" s="386">
        <f t="shared" si="21"/>
        <v>5.0494849525348409E-3</v>
      </c>
    </row>
    <row r="145" spans="1:20">
      <c r="A145" s="105" t="str">
        <f t="shared" si="29"/>
        <v>462p</v>
      </c>
      <c r="B145" s="612" t="s">
        <v>359</v>
      </c>
      <c r="C145" s="613"/>
      <c r="D145" s="613"/>
      <c r="E145" s="613"/>
      <c r="F145" s="613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3">
        <f t="shared" si="20"/>
        <v>9434672.4100000001</v>
      </c>
      <c r="T145" s="386">
        <f t="shared" si="21"/>
        <v>1.9056094546556252E-3</v>
      </c>
    </row>
    <row r="146" spans="1:20">
      <c r="A146" s="106" t="str">
        <f>+CONCATENATE(A51,"p")</f>
        <v>4630p</v>
      </c>
      <c r="B146" s="612" t="s">
        <v>365</v>
      </c>
      <c r="C146" s="613"/>
      <c r="D146" s="613"/>
      <c r="E146" s="613"/>
      <c r="F146" s="613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8">
        <f>+SUM(G146:R146)</f>
        <v>18529999</v>
      </c>
      <c r="T146" s="391">
        <f>+S146/$T$7</f>
        <v>3.7426780448394266E-3</v>
      </c>
    </row>
    <row r="147" spans="1:20" ht="13.5" thickBot="1">
      <c r="A147" s="105"/>
      <c r="B147" s="663" t="s">
        <v>685</v>
      </c>
      <c r="C147" s="664"/>
      <c r="D147" s="664"/>
      <c r="E147" s="664"/>
      <c r="F147" s="664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4">
        <f>SUM(G147:R147)</f>
        <v>0</v>
      </c>
      <c r="T147" s="349">
        <f t="shared" si="21"/>
        <v>0</v>
      </c>
    </row>
    <row r="148" spans="1:20" ht="13.5" thickBot="1">
      <c r="A148" s="106" t="str">
        <f>+CONCATENATE(A53,"p")</f>
        <v>1000p</v>
      </c>
      <c r="B148" s="614" t="s">
        <v>545</v>
      </c>
      <c r="C148" s="615"/>
      <c r="D148" s="615"/>
      <c r="E148" s="615"/>
      <c r="F148" s="615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9">
        <f t="shared" si="20"/>
        <v>-142598064.63643947</v>
      </c>
      <c r="T148" s="392">
        <f t="shared" si="21"/>
        <v>-2.8801871265691673E-2</v>
      </c>
    </row>
    <row r="149" spans="1:20" ht="13.5" thickBot="1">
      <c r="A149" s="106" t="str">
        <f>+CONCATENATE(A54,"p")</f>
        <v>1001p</v>
      </c>
      <c r="B149" s="616" t="s">
        <v>810</v>
      </c>
      <c r="C149" s="617"/>
      <c r="D149" s="617"/>
      <c r="E149" s="617"/>
      <c r="F149" s="617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9">
        <f t="shared" si="20"/>
        <v>-46845364.63643948</v>
      </c>
      <c r="T149" s="392">
        <f t="shared" si="21"/>
        <v>-9.4617985531083582E-3</v>
      </c>
    </row>
    <row r="150" spans="1:20">
      <c r="A150" s="106" t="str">
        <f>+CONCATENATE(A55,"p")</f>
        <v>46p</v>
      </c>
      <c r="B150" s="618" t="s">
        <v>352</v>
      </c>
      <c r="C150" s="619"/>
      <c r="D150" s="619"/>
      <c r="E150" s="619"/>
      <c r="F150" s="619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80">
        <f t="shared" si="20"/>
        <v>373600000</v>
      </c>
      <c r="T150" s="393">
        <f t="shared" si="21"/>
        <v>7.5459503130680672E-2</v>
      </c>
    </row>
    <row r="151" spans="1:20">
      <c r="A151" s="106" t="str">
        <f>+CONCATENATE(A56,"p")</f>
        <v>4611p</v>
      </c>
      <c r="B151" s="610" t="s">
        <v>355</v>
      </c>
      <c r="C151" s="611"/>
      <c r="D151" s="611"/>
      <c r="E151" s="611"/>
      <c r="F151" s="611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8">
        <f t="shared" si="20"/>
        <v>44100000.039999999</v>
      </c>
      <c r="T151" s="391">
        <f t="shared" si="21"/>
        <v>8.9072914643506355E-3</v>
      </c>
    </row>
    <row r="152" spans="1:20">
      <c r="A152" s="106" t="str">
        <f>+CONCATENATE(A57,"p")</f>
        <v>4612p</v>
      </c>
      <c r="B152" s="612" t="s">
        <v>357</v>
      </c>
      <c r="C152" s="613"/>
      <c r="D152" s="613"/>
      <c r="E152" s="613"/>
      <c r="F152" s="613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8">
        <f t="shared" si="20"/>
        <v>329499999.95999998</v>
      </c>
      <c r="T152" s="391">
        <f t="shared" si="21"/>
        <v>6.6552211666330033E-2</v>
      </c>
    </row>
    <row r="153" spans="1:20" ht="13.5" thickBot="1">
      <c r="A153" s="106"/>
      <c r="B153" s="659" t="s">
        <v>336</v>
      </c>
      <c r="C153" s="660"/>
      <c r="D153" s="660"/>
      <c r="E153" s="660"/>
      <c r="F153" s="660"/>
      <c r="G153" s="463">
        <v>26666.67</v>
      </c>
      <c r="H153" s="463">
        <v>26666.67</v>
      </c>
      <c r="I153" s="463">
        <v>26666.67</v>
      </c>
      <c r="J153" s="463">
        <v>39926666.670000002</v>
      </c>
      <c r="K153" s="463">
        <v>26666.67</v>
      </c>
      <c r="L153" s="463">
        <v>26666.67</v>
      </c>
      <c r="M153" s="463">
        <v>26666.67</v>
      </c>
      <c r="N153" s="463">
        <v>26666.67</v>
      </c>
      <c r="O153" s="463">
        <v>26666.67</v>
      </c>
      <c r="P153" s="463">
        <v>26666.67</v>
      </c>
      <c r="Q153" s="463">
        <v>26666.67</v>
      </c>
      <c r="R153" s="463">
        <v>26666.63</v>
      </c>
      <c r="S153" s="464">
        <f t="shared" si="20"/>
        <v>40220000.000000015</v>
      </c>
      <c r="T153" s="465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608" t="s">
        <v>543</v>
      </c>
      <c r="C154" s="609"/>
      <c r="D154" s="609"/>
      <c r="E154" s="609"/>
      <c r="F154" s="609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1">
        <f t="shared" si="20"/>
        <v>-556418064.63643956</v>
      </c>
      <c r="T154" s="394">
        <f t="shared" si="21"/>
        <v>-0.11238498578801041</v>
      </c>
    </row>
    <row r="155" spans="1:20" ht="13.5" thickBot="1">
      <c r="A155" s="106" t="str">
        <f t="shared" si="33"/>
        <v>1003p</v>
      </c>
      <c r="B155" s="606" t="s">
        <v>544</v>
      </c>
      <c r="C155" s="607"/>
      <c r="D155" s="607"/>
      <c r="E155" s="607"/>
      <c r="F155" s="607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2">
        <f t="shared" si="20"/>
        <v>556418064.63643956</v>
      </c>
      <c r="T155" s="395">
        <f t="shared" si="21"/>
        <v>0.11238498578801041</v>
      </c>
    </row>
    <row r="156" spans="1:20">
      <c r="A156" s="106" t="str">
        <f t="shared" si="33"/>
        <v>7511p</v>
      </c>
      <c r="B156" s="610" t="s">
        <v>114</v>
      </c>
      <c r="C156" s="611"/>
      <c r="D156" s="611"/>
      <c r="E156" s="611"/>
      <c r="F156" s="611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8">
        <f t="shared" si="20"/>
        <v>190000000</v>
      </c>
      <c r="T156" s="391">
        <f t="shared" si="21"/>
        <v>3.8376085639264798E-2</v>
      </c>
    </row>
    <row r="157" spans="1:20">
      <c r="A157" s="106" t="str">
        <f t="shared" si="33"/>
        <v>7512p</v>
      </c>
      <c r="B157" s="612" t="s">
        <v>116</v>
      </c>
      <c r="C157" s="613"/>
      <c r="D157" s="613"/>
      <c r="E157" s="613"/>
      <c r="F157" s="613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8">
        <f t="shared" si="20"/>
        <v>180405268.74155378</v>
      </c>
      <c r="T157" s="391">
        <f t="shared" si="21"/>
        <v>3.6438147594739199E-2</v>
      </c>
    </row>
    <row r="158" spans="1:20">
      <c r="A158" s="106" t="str">
        <f t="shared" si="33"/>
        <v>72p</v>
      </c>
      <c r="B158" s="612" t="s">
        <v>93</v>
      </c>
      <c r="C158" s="613"/>
      <c r="D158" s="613"/>
      <c r="E158" s="613"/>
      <c r="F158" s="613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8">
        <f t="shared" si="20"/>
        <v>6000000</v>
      </c>
      <c r="T158" s="391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3">
        <f t="shared" si="20"/>
        <v>180012795.89488566</v>
      </c>
      <c r="T159" s="396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Analitika - 2014</vt:lpstr>
      <vt:lpstr>Pregled</vt:lpstr>
      <vt:lpstr>Analitika 2024</vt:lpstr>
      <vt:lpstr>2024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  <vt:lpstr>'2024'!_2015plan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Bojan Paunovic</cp:lastModifiedBy>
  <cp:lastPrinted>2024-02-28T06:44:55Z</cp:lastPrinted>
  <dcterms:created xsi:type="dcterms:W3CDTF">2014-09-15T13:41:17Z</dcterms:created>
  <dcterms:modified xsi:type="dcterms:W3CDTF">2024-03-31T10:17:56Z</dcterms:modified>
</cp:coreProperties>
</file>