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Arhiva GDDS_ montly data_f\"/>
    </mc:Choice>
  </mc:AlternateContent>
  <bookViews>
    <workbookView xWindow="0" yWindow="0" windowWidth="24240" windowHeight="10635" tabRatio="587" firstSheet="1" activeTab="2"/>
  </bookViews>
  <sheets>
    <sheet name="Analitika - 2014" sheetId="3" state="hidden" r:id="rId1"/>
    <sheet name="Breakdown" sheetId="1" r:id="rId2"/>
    <sheet name="Analitika - 2017" sheetId="11" r:id="rId3"/>
    <sheet name="2017" sheetId="13" r:id="rId4"/>
    <sheet name="2016" sheetId="12" state="hidden" r:id="rId5"/>
    <sheet name="2015" sheetId="10" state="hidden" r:id="rId6"/>
    <sheet name="2014" sheetId="4" state="hidden" r:id="rId7"/>
    <sheet name="2013" sheetId="8" state="hidden" r:id="rId8"/>
    <sheet name="Dug" sheetId="9" state="hidden" r:id="rId9"/>
    <sheet name="DataEx" sheetId="6" state="hidden" r:id="rId10"/>
    <sheet name="Master" sheetId="2" state="hidden" r:id="rId11"/>
    <sheet name="Sheet1" sheetId="14" state="hidden" r:id="rId12"/>
  </sheets>
  <definedNames>
    <definedName name="_2013plan" localSheetId="7">'2013'!$A$102:$A$160</definedName>
    <definedName name="_2013plan" localSheetId="8">Dug!$A$101:$A$159</definedName>
    <definedName name="_2014plan" localSheetId="6">'2014'!$A$101:$A$159</definedName>
    <definedName name="_2015plan" localSheetId="5">'2015'!$A$101:$A$158</definedName>
    <definedName name="_2015plan" localSheetId="4">'2016'!$A$101:$A$159</definedName>
    <definedName name="_2015plan" localSheetId="3">'2017'!$A$101:$A$159</definedName>
  </definedNames>
  <calcPr calcId="162913"/>
</workbook>
</file>

<file path=xl/calcChain.xml><?xml version="1.0" encoding="utf-8"?>
<calcChain xmlns="http://schemas.openxmlformats.org/spreadsheetml/2006/main">
  <c r="H123" i="13" l="1"/>
  <c r="H29" i="11" s="1"/>
  <c r="M60" i="11"/>
  <c r="L60" i="11"/>
  <c r="J60" i="11"/>
  <c r="I60" i="11"/>
  <c r="H60" i="11"/>
  <c r="H57" i="11"/>
  <c r="H59" i="11"/>
  <c r="H58" i="11"/>
  <c r="B7" i="11" l="1"/>
  <c r="N7" i="11"/>
  <c r="I20" i="1"/>
  <c r="I16" i="1"/>
  <c r="I12" i="1"/>
  <c r="EI9" i="6" l="1"/>
  <c r="EI8" i="6" s="1"/>
  <c r="EI10" i="6"/>
  <c r="EI18" i="6"/>
  <c r="EH8" i="6" l="1"/>
  <c r="G126" i="13" l="1"/>
  <c r="T60" i="11" l="1"/>
  <c r="S60" i="11"/>
  <c r="G63" i="13"/>
  <c r="EH18" i="6" l="1"/>
  <c r="EH10" i="6"/>
  <c r="EH9" i="6" s="1"/>
  <c r="H144" i="13" l="1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G153" i="13"/>
  <c r="O60" i="11" s="1"/>
  <c r="G152" i="13"/>
  <c r="G151" i="13"/>
  <c r="G146" i="13"/>
  <c r="G145" i="13"/>
  <c r="G144" i="13"/>
  <c r="G143" i="13"/>
  <c r="G142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41" i="13"/>
  <c r="G140" i="13"/>
  <c r="G139" i="13"/>
  <c r="G138" i="13"/>
  <c r="G137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G132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G112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Q60" i="11" l="1"/>
  <c r="P60" i="11"/>
  <c r="EE394" i="6"/>
  <c r="EH394" i="6"/>
  <c r="EH393" i="6" s="1"/>
  <c r="EI394" i="6"/>
  <c r="EI393" i="6" s="1"/>
  <c r="EJ394" i="6"/>
  <c r="EJ393" i="6" s="1"/>
  <c r="EK394" i="6"/>
  <c r="EK393" i="6" s="1"/>
  <c r="EL394" i="6"/>
  <c r="EL393" i="6" s="1"/>
  <c r="EM394" i="6"/>
  <c r="EM393" i="6" s="1"/>
  <c r="EN394" i="6"/>
  <c r="EN393" i="6" s="1"/>
  <c r="EO394" i="6"/>
  <c r="EO393" i="6" s="1"/>
  <c r="EP394" i="6"/>
  <c r="EP393" i="6" s="1"/>
  <c r="EQ394" i="6"/>
  <c r="EQ393" i="6" s="1"/>
  <c r="ER394" i="6"/>
  <c r="ER393" i="6" s="1"/>
  <c r="ES394" i="6"/>
  <c r="ES393" i="6" s="1"/>
  <c r="DV394" i="6"/>
  <c r="DW394" i="6"/>
  <c r="DX394" i="6"/>
  <c r="DY394" i="6"/>
  <c r="DZ394" i="6"/>
  <c r="EA394" i="6"/>
  <c r="EB394" i="6"/>
  <c r="EC394" i="6"/>
  <c r="ED394" i="6"/>
  <c r="EF394" i="6"/>
  <c r="EG394" i="6"/>
  <c r="EH267" i="6"/>
  <c r="EI267" i="6"/>
  <c r="EJ267" i="6"/>
  <c r="EK267" i="6"/>
  <c r="EL267" i="6"/>
  <c r="EM267" i="6"/>
  <c r="EN267" i="6"/>
  <c r="EO267" i="6"/>
  <c r="EP267" i="6"/>
  <c r="EQ267" i="6"/>
  <c r="ER267" i="6"/>
  <c r="ES267" i="6"/>
  <c r="EG267" i="6" l="1"/>
  <c r="EH251" i="6"/>
  <c r="G120" i="13" s="1"/>
  <c r="EI251" i="6"/>
  <c r="H120" i="13" s="1"/>
  <c r="EJ251" i="6"/>
  <c r="I120" i="13" s="1"/>
  <c r="EK251" i="6"/>
  <c r="J120" i="13" s="1"/>
  <c r="EL251" i="6"/>
  <c r="K120" i="13" s="1"/>
  <c r="EM251" i="6"/>
  <c r="L120" i="13" s="1"/>
  <c r="EN251" i="6"/>
  <c r="M120" i="13" s="1"/>
  <c r="EO251" i="6"/>
  <c r="N120" i="13" s="1"/>
  <c r="EP251" i="6"/>
  <c r="O120" i="13" s="1"/>
  <c r="EQ251" i="6"/>
  <c r="P120" i="13" s="1"/>
  <c r="ER251" i="6"/>
  <c r="Q120" i="13" s="1"/>
  <c r="ES251" i="6"/>
  <c r="R120" i="13" s="1"/>
  <c r="EH241" i="6"/>
  <c r="G119" i="13" s="1"/>
  <c r="EI241" i="6"/>
  <c r="H119" i="13" s="1"/>
  <c r="EJ241" i="6"/>
  <c r="I119" i="13" s="1"/>
  <c r="EK241" i="6"/>
  <c r="J119" i="13" s="1"/>
  <c r="EL241" i="6"/>
  <c r="K119" i="13" s="1"/>
  <c r="EM241" i="6"/>
  <c r="L119" i="13" s="1"/>
  <c r="EN241" i="6"/>
  <c r="M119" i="13" s="1"/>
  <c r="EO241" i="6"/>
  <c r="N119" i="13" s="1"/>
  <c r="EP241" i="6"/>
  <c r="O119" i="13" s="1"/>
  <c r="EQ241" i="6"/>
  <c r="P119" i="13" s="1"/>
  <c r="ER241" i="6"/>
  <c r="Q119" i="13" s="1"/>
  <c r="ES241" i="6"/>
  <c r="R119" i="13" s="1"/>
  <c r="EH234" i="6"/>
  <c r="G118" i="13" s="1"/>
  <c r="EI234" i="6"/>
  <c r="H118" i="13" s="1"/>
  <c r="EJ234" i="6"/>
  <c r="I118" i="13" s="1"/>
  <c r="EK234" i="6"/>
  <c r="J118" i="13" s="1"/>
  <c r="EL234" i="6"/>
  <c r="K118" i="13" s="1"/>
  <c r="EM234" i="6"/>
  <c r="L118" i="13" s="1"/>
  <c r="EN234" i="6"/>
  <c r="M118" i="13" s="1"/>
  <c r="EO234" i="6"/>
  <c r="N118" i="13" s="1"/>
  <c r="EP234" i="6"/>
  <c r="O118" i="13" s="1"/>
  <c r="EQ234" i="6"/>
  <c r="P118" i="13" s="1"/>
  <c r="ER234" i="6"/>
  <c r="Q118" i="13" s="1"/>
  <c r="ES234" i="6"/>
  <c r="R118" i="13" s="1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EH220" i="6"/>
  <c r="EH219" i="6" s="1"/>
  <c r="EH218" i="6" s="1"/>
  <c r="EI220" i="6"/>
  <c r="EI219" i="6" s="1"/>
  <c r="EI218" i="6" s="1"/>
  <c r="EJ220" i="6"/>
  <c r="EJ219" i="6" s="1"/>
  <c r="EJ218" i="6" s="1"/>
  <c r="EK220" i="6"/>
  <c r="EK219" i="6" s="1"/>
  <c r="EK218" i="6" s="1"/>
  <c r="EL220" i="6"/>
  <c r="EL219" i="6" s="1"/>
  <c r="EL218" i="6" s="1"/>
  <c r="EM220" i="6"/>
  <c r="EM219" i="6" s="1"/>
  <c r="EM218" i="6" s="1"/>
  <c r="EN220" i="6"/>
  <c r="EN219" i="6" s="1"/>
  <c r="EN218" i="6" s="1"/>
  <c r="EO220" i="6"/>
  <c r="EO219" i="6" s="1"/>
  <c r="EO218" i="6" s="1"/>
  <c r="EP220" i="6"/>
  <c r="EP219" i="6" s="1"/>
  <c r="EP218" i="6" s="1"/>
  <c r="EQ220" i="6"/>
  <c r="EQ219" i="6" s="1"/>
  <c r="EQ218" i="6" s="1"/>
  <c r="ER220" i="6"/>
  <c r="ER219" i="6" s="1"/>
  <c r="ER218" i="6" s="1"/>
  <c r="ES220" i="6"/>
  <c r="ES219" i="6" s="1"/>
  <c r="ES218" i="6" s="1"/>
  <c r="G17" i="2" l="1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G147" i="13"/>
  <c r="S147" i="13" s="1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H53" i="11" l="1"/>
  <c r="G15" i="11"/>
  <c r="G16" i="11"/>
  <c r="G19" i="11"/>
  <c r="G20" i="11"/>
  <c r="G21" i="11"/>
  <c r="G22" i="11"/>
  <c r="G23" i="11"/>
  <c r="G24" i="11"/>
  <c r="H41" i="11"/>
  <c r="G12" i="11"/>
  <c r="G13" i="11"/>
  <c r="G14" i="11"/>
  <c r="G17" i="11"/>
  <c r="G18" i="11"/>
  <c r="G25" i="11"/>
  <c r="G26" i="11"/>
  <c r="G27" i="11"/>
  <c r="G28" i="11"/>
  <c r="G32" i="11"/>
  <c r="G33" i="11"/>
  <c r="G34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G65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H10" i="13" s="1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2" i="11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M136" i="13"/>
  <c r="Q136" i="13"/>
  <c r="O136" i="13"/>
  <c r="H44" i="11"/>
  <c r="H45" i="11"/>
  <c r="H47" i="11"/>
  <c r="H51" i="11"/>
  <c r="J136" i="13"/>
  <c r="N136" i="13"/>
  <c r="R35" i="12"/>
  <c r="R19" i="12"/>
  <c r="L29" i="13" l="1"/>
  <c r="L30" i="13" s="1"/>
  <c r="P29" i="13"/>
  <c r="P30" i="13" s="1"/>
  <c r="G29" i="13"/>
  <c r="G30" i="13" s="1"/>
  <c r="O29" i="13"/>
  <c r="O30" i="13" s="1"/>
  <c r="G11" i="1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G31" i="11"/>
  <c r="G57" i="11"/>
  <c r="I29" i="13"/>
  <c r="I30" i="13" s="1"/>
  <c r="S144" i="13"/>
  <c r="T144" i="13" s="1"/>
  <c r="H50" i="11"/>
  <c r="G42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K136" i="13"/>
  <c r="M125" i="13"/>
  <c r="L136" i="13"/>
  <c r="G150" i="13"/>
  <c r="M105" i="13"/>
  <c r="R136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36" i="13"/>
  <c r="P136" i="13"/>
  <c r="H136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G10" i="11" s="1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123" i="13" l="1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I56" i="13" s="1"/>
  <c r="G29" i="11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P60" i="13" l="1"/>
  <c r="P65" i="13" s="1"/>
  <c r="P61" i="13" s="1"/>
  <c r="L56" i="13"/>
  <c r="H10" i="11"/>
  <c r="O60" i="13"/>
  <c r="O65" i="13" s="1"/>
  <c r="O61" i="13" s="1"/>
  <c r="O56" i="13"/>
  <c r="J56" i="13"/>
  <c r="I60" i="13"/>
  <c r="I65" i="13" s="1"/>
  <c r="I61" i="13" s="1"/>
  <c r="G30" i="11"/>
  <c r="G55" i="1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G61" i="11" l="1"/>
  <c r="S56" i="13"/>
  <c r="T56" i="13" s="1"/>
  <c r="G56" i="11"/>
  <c r="G154" i="13"/>
  <c r="G149" i="13"/>
  <c r="G65" i="13"/>
  <c r="G66" i="11" s="1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1" i="6"/>
  <c r="J35" i="12"/>
  <c r="G40" i="12"/>
  <c r="H35" i="12"/>
  <c r="I35" i="12"/>
  <c r="G242" i="2"/>
  <c r="E251" i="2" s="1"/>
  <c r="G147" i="12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A153" i="12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W219" i="6" s="1"/>
  <c r="DW218" i="6" s="1"/>
  <c r="DX220" i="6"/>
  <c r="DX219" i="6" s="1"/>
  <c r="DX218" i="6" s="1"/>
  <c r="DY220" i="6"/>
  <c r="DY219" i="6" s="1"/>
  <c r="DY218" i="6" s="1"/>
  <c r="DZ220" i="6"/>
  <c r="DZ219" i="6" s="1"/>
  <c r="EA220" i="6"/>
  <c r="EA219" i="6" s="1"/>
  <c r="EA218" i="6" s="1"/>
  <c r="EB220" i="6"/>
  <c r="EB219" i="6" s="1"/>
  <c r="EB218" i="6" s="1"/>
  <c r="EC220" i="6"/>
  <c r="EC219" i="6" s="1"/>
  <c r="EC218" i="6" s="1"/>
  <c r="ED220" i="6"/>
  <c r="ED219" i="6" s="1"/>
  <c r="EE220" i="6"/>
  <c r="EE219" i="6" s="1"/>
  <c r="EE218" i="6" s="1"/>
  <c r="EF220" i="6"/>
  <c r="EF219" i="6" s="1"/>
  <c r="EF218" i="6" s="1"/>
  <c r="EG220" i="6"/>
  <c r="EG219" i="6" s="1"/>
  <c r="EG218" i="6" s="1"/>
  <c r="DV220" i="6"/>
  <c r="DV219" i="6" s="1"/>
  <c r="DV218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10" i="4" s="1"/>
  <c r="CX192" i="6" s="1"/>
  <c r="G43" i="4"/>
  <c r="G44" i="4"/>
  <c r="G45" i="4"/>
  <c r="G46" i="4"/>
  <c r="G47" i="4"/>
  <c r="H19" i="4"/>
  <c r="H43" i="4"/>
  <c r="H44" i="4"/>
  <c r="H45" i="4"/>
  <c r="H46" i="4"/>
  <c r="H47" i="4"/>
  <c r="I19" i="4"/>
  <c r="I10" i="4" s="1"/>
  <c r="CZ192" i="6" s="1"/>
  <c r="I43" i="4"/>
  <c r="I44" i="4"/>
  <c r="I45" i="4"/>
  <c r="I46" i="4"/>
  <c r="I47" i="4"/>
  <c r="J19" i="4"/>
  <c r="J43" i="4"/>
  <c r="J44" i="4"/>
  <c r="J45" i="4"/>
  <c r="J46" i="4"/>
  <c r="J47" i="4"/>
  <c r="K19" i="4"/>
  <c r="K10" i="4" s="1"/>
  <c r="DB192" i="6" s="1"/>
  <c r="K43" i="4"/>
  <c r="K44" i="4"/>
  <c r="K45" i="4"/>
  <c r="K46" i="4"/>
  <c r="K47" i="4"/>
  <c r="L19" i="4"/>
  <c r="L43" i="4"/>
  <c r="L44" i="4"/>
  <c r="L45" i="4"/>
  <c r="L46" i="4"/>
  <c r="L47" i="4"/>
  <c r="M19" i="4"/>
  <c r="M10" i="4" s="1"/>
  <c r="DD192" i="6" s="1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2" i="6" s="1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2" i="6" s="1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O6" i="11" s="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G19" i="2"/>
  <c r="G18" i="2"/>
  <c r="G15" i="2"/>
  <c r="G14" i="2"/>
  <c r="G13" i="2"/>
  <c r="G12" i="2"/>
  <c r="G10" i="2"/>
  <c r="G9" i="2"/>
  <c r="G8" i="2"/>
  <c r="G7" i="2"/>
  <c r="G6" i="2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O393" i="6" s="1"/>
  <c r="CN397" i="6"/>
  <c r="CM397" i="6"/>
  <c r="CM393" i="6" s="1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S357" i="6" s="1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/>
  <c r="DR267" i="6"/>
  <c r="DR218" i="6" s="1"/>
  <c r="DQ267" i="6"/>
  <c r="DQ218" i="6" s="1"/>
  <c r="DP267" i="6"/>
  <c r="DP218" i="6" s="1"/>
  <c r="DO267" i="6"/>
  <c r="DO218" i="6"/>
  <c r="DN267" i="6"/>
  <c r="DN218" i="6" s="1"/>
  <c r="DM267" i="6"/>
  <c r="DM218" i="6" s="1"/>
  <c r="DL267" i="6"/>
  <c r="DL218" i="6" s="1"/>
  <c r="DK267" i="6"/>
  <c r="DK218" i="6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E193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/>
  <c r="A116" i="9"/>
  <c r="A117" i="9"/>
  <c r="A118" i="9"/>
  <c r="B118" i="9"/>
  <c r="A119" i="9"/>
  <c r="A120" i="9"/>
  <c r="A121" i="9"/>
  <c r="B121" i="9"/>
  <c r="A122" i="9"/>
  <c r="A123" i="9"/>
  <c r="A127" i="9"/>
  <c r="A128" i="9"/>
  <c r="A129" i="9"/>
  <c r="B129" i="9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/>
  <c r="A149" i="9"/>
  <c r="A148" i="9"/>
  <c r="B148" i="9" s="1"/>
  <c r="A137" i="9"/>
  <c r="A126" i="9"/>
  <c r="A125" i="9"/>
  <c r="A124" i="9"/>
  <c r="A114" i="9"/>
  <c r="A105" i="9"/>
  <c r="A104" i="9"/>
  <c r="T102" i="9"/>
  <c r="O8" i="9"/>
  <c r="O102" i="9" s="1"/>
  <c r="K8" i="9"/>
  <c r="K102" i="9" s="1"/>
  <c r="I8" i="9"/>
  <c r="I102" i="9" s="1"/>
  <c r="G8" i="9"/>
  <c r="G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20" i="9"/>
  <c r="B18" i="9"/>
  <c r="B17" i="9"/>
  <c r="B16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7" i="8" s="1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 s="1"/>
  <c r="A144" i="8"/>
  <c r="B144" i="8" s="1"/>
  <c r="A145" i="8"/>
  <c r="A146" i="8"/>
  <c r="B146" i="8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/>
  <c r="A138" i="8"/>
  <c r="A127" i="8"/>
  <c r="B127" i="8" s="1"/>
  <c r="A126" i="8"/>
  <c r="A125" i="8"/>
  <c r="B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W7" i="8"/>
  <c r="W102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4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B120" i="4" s="1"/>
  <c r="A121" i="4"/>
  <c r="A122" i="4"/>
  <c r="B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B145" i="4"/>
  <c r="A146" i="4"/>
  <c r="A147" i="4"/>
  <c r="A151" i="4"/>
  <c r="A152" i="4"/>
  <c r="A153" i="4"/>
  <c r="A156" i="4"/>
  <c r="A157" i="4"/>
  <c r="A158" i="4"/>
  <c r="I100" i="4"/>
  <c r="I110" i="4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/>
  <c r="A137" i="4"/>
  <c r="B137" i="4"/>
  <c r="A126" i="4"/>
  <c r="B126" i="4"/>
  <c r="A125" i="4"/>
  <c r="B125" i="4"/>
  <c r="A124" i="4"/>
  <c r="B124" i="4"/>
  <c r="A114" i="4"/>
  <c r="B114" i="4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S7" i="4"/>
  <c r="S101" i="4" s="1"/>
  <c r="B101" i="4"/>
  <c r="B65" i="4"/>
  <c r="B64" i="4"/>
  <c r="B63" i="4"/>
  <c r="B61" i="4"/>
  <c r="B60" i="4"/>
  <c r="B59" i="4"/>
  <c r="B58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2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5" i="4"/>
  <c r="B24" i="4"/>
  <c r="B23" i="4"/>
  <c r="B21" i="4"/>
  <c r="B20" i="4"/>
  <c r="B19" i="4"/>
  <c r="B17" i="4"/>
  <c r="B16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B106" i="10" s="1"/>
  <c r="G100" i="10"/>
  <c r="A107" i="10"/>
  <c r="B107" i="10"/>
  <c r="A108" i="10"/>
  <c r="B108" i="10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B119" i="10" s="1"/>
  <c r="A120" i="10"/>
  <c r="A121" i="10"/>
  <c r="A122" i="10"/>
  <c r="B122" i="10" s="1"/>
  <c r="A126" i="10"/>
  <c r="B126" i="10" s="1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/>
  <c r="A143" i="10"/>
  <c r="A144" i="10"/>
  <c r="B144" i="10" s="1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B158" i="10" s="1"/>
  <c r="B157" i="10"/>
  <c r="A154" i="10"/>
  <c r="B154" i="10"/>
  <c r="A153" i="10"/>
  <c r="B153" i="10"/>
  <c r="A149" i="10"/>
  <c r="B149" i="10"/>
  <c r="A148" i="10"/>
  <c r="B148" i="10"/>
  <c r="A147" i="10"/>
  <c r="B147" i="10"/>
  <c r="A136" i="10"/>
  <c r="B136" i="10" s="1"/>
  <c r="A125" i="10"/>
  <c r="B125" i="10" s="1"/>
  <c r="A124" i="10"/>
  <c r="B124" i="10" s="1"/>
  <c r="A123" i="10"/>
  <c r="B123" i="10" s="1"/>
  <c r="A113" i="10"/>
  <c r="B113" i="10" s="1"/>
  <c r="B109" i="10"/>
  <c r="A105" i="10"/>
  <c r="B105" i="10"/>
  <c r="A104" i="10"/>
  <c r="B104" i="10"/>
  <c r="T102" i="10"/>
  <c r="Q8" i="10"/>
  <c r="Q102" i="10" s="1"/>
  <c r="P8" i="10"/>
  <c r="P102" i="10" s="1"/>
  <c r="O8" i="10"/>
  <c r="O102" i="10" s="1"/>
  <c r="N8" i="10"/>
  <c r="N102" i="10" s="1"/>
  <c r="M8" i="10"/>
  <c r="M102" i="10" s="1"/>
  <c r="L8" i="10"/>
  <c r="L102" i="10" s="1"/>
  <c r="K8" i="10"/>
  <c r="K102" i="10" s="1"/>
  <c r="J8" i="10"/>
  <c r="J102" i="10" s="1"/>
  <c r="I8" i="10"/>
  <c r="I102" i="10" s="1"/>
  <c r="H8" i="10"/>
  <c r="H102" i="10" s="1"/>
  <c r="G8" i="10"/>
  <c r="G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4" i="10"/>
  <c r="B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9" i="10"/>
  <c r="B18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4" i="3"/>
  <c r="E3" i="3"/>
  <c r="E2" i="3"/>
  <c r="B66" i="11"/>
  <c r="B65" i="11"/>
  <c r="B64" i="11"/>
  <c r="B63" i="11"/>
  <c r="B62" i="11"/>
  <c r="B61" i="11"/>
  <c r="B53" i="11"/>
  <c r="B59" i="11"/>
  <c r="B58" i="11"/>
  <c r="B57" i="11"/>
  <c r="B56" i="11"/>
  <c r="B55" i="11"/>
  <c r="B54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D22" i="1"/>
  <c r="H21" i="1"/>
  <c r="D17" i="1"/>
  <c r="D21" i="1"/>
  <c r="H17" i="1"/>
  <c r="H13" i="1"/>
  <c r="E4" i="1"/>
  <c r="E3" i="1"/>
  <c r="E2" i="1"/>
  <c r="S14" i="4"/>
  <c r="T14" i="4" s="1"/>
  <c r="S16" i="4"/>
  <c r="T16" i="4" s="1"/>
  <c r="S12" i="4"/>
  <c r="T12" i="4" s="1"/>
  <c r="H118" i="4"/>
  <c r="B119" i="4"/>
  <c r="B123" i="4"/>
  <c r="B157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S17" i="4"/>
  <c r="S15" i="4"/>
  <c r="S32" i="4"/>
  <c r="T32" i="4" s="1"/>
  <c r="S35" i="4"/>
  <c r="S13" i="4"/>
  <c r="S39" i="4"/>
  <c r="B136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/>
  <c r="S59" i="4"/>
  <c r="T59" i="4"/>
  <c r="S27" i="4"/>
  <c r="T27" i="4"/>
  <c r="S26" i="4"/>
  <c r="S25" i="4"/>
  <c r="S24" i="4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Q143" i="9"/>
  <c r="CZ357" i="6"/>
  <c r="I143" i="4" s="1"/>
  <c r="DD357" i="6"/>
  <c r="M143" i="4" s="1"/>
  <c r="DH357" i="6"/>
  <c r="Q143" i="4" s="1"/>
  <c r="DL357" i="6"/>
  <c r="I142" i="10"/>
  <c r="DP357" i="6"/>
  <c r="M142" i="10" s="1"/>
  <c r="DT357" i="6"/>
  <c r="Q142" i="10" s="1"/>
  <c r="T22" i="4"/>
  <c r="T34" i="4"/>
  <c r="T40" i="4"/>
  <c r="T20" i="4"/>
  <c r="T41" i="4"/>
  <c r="T39" i="4"/>
  <c r="T24" i="4"/>
  <c r="T25" i="4"/>
  <c r="T26" i="4"/>
  <c r="T37" i="4"/>
  <c r="T35" i="4"/>
  <c r="T17" i="4"/>
  <c r="T15" i="4"/>
  <c r="T18" i="4"/>
  <c r="T21" i="4"/>
  <c r="T23" i="4"/>
  <c r="T33" i="4"/>
  <c r="T38" i="4"/>
  <c r="T13" i="4"/>
  <c r="S11" i="4"/>
  <c r="T11" i="4"/>
  <c r="G143" i="9"/>
  <c r="Q144" i="8"/>
  <c r="K143" i="9"/>
  <c r="S31" i="4"/>
  <c r="T31" i="4" s="1"/>
  <c r="S57" i="4"/>
  <c r="T57" i="4" s="1"/>
  <c r="T144" i="8"/>
  <c r="S65" i="4"/>
  <c r="T65" i="4"/>
  <c r="S64" i="4"/>
  <c r="T64" i="4"/>
  <c r="R8" i="10"/>
  <c r="R102" i="10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P8" i="3"/>
  <c r="S8" i="3" s="1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N150" i="4" s="1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7" i="6"/>
  <c r="S144" i="8" s="1"/>
  <c r="DC357" i="6"/>
  <c r="L143" i="4" s="1"/>
  <c r="DI357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8" i="6"/>
  <c r="CU328" i="6"/>
  <c r="Q141" i="4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H144" i="8"/>
  <c r="Q119" i="4"/>
  <c r="M113" i="4"/>
  <c r="N142" i="4"/>
  <c r="P113" i="4"/>
  <c r="DA357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8" i="6"/>
  <c r="CQ357" i="6"/>
  <c r="M144" i="8" s="1"/>
  <c r="L143" i="9"/>
  <c r="DO393" i="6"/>
  <c r="DS393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/>
  <c r="E21" i="1" s="1"/>
  <c r="I13" i="1"/>
  <c r="E2" i="13" l="1"/>
  <c r="E2" i="12"/>
  <c r="B21" i="12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 i="6"/>
  <c r="DZ218" i="6"/>
  <c r="R131" i="4"/>
  <c r="S131" i="4" s="1"/>
  <c r="T131" i="4" s="1"/>
  <c r="DJ270" i="6"/>
  <c r="E3" i="13"/>
  <c r="E3" i="12"/>
  <c r="Q143" i="13"/>
  <c r="L152" i="13"/>
  <c r="R152" i="13"/>
  <c r="M152" i="13"/>
  <c r="H156" i="13"/>
  <c r="R156" i="13"/>
  <c r="M156" i="13"/>
  <c r="L153" i="13"/>
  <c r="R153" i="13"/>
  <c r="M153" i="13"/>
  <c r="H157" i="13"/>
  <c r="R157" i="13"/>
  <c r="M157" i="13"/>
  <c r="H158" i="13"/>
  <c r="R158" i="13"/>
  <c r="M158" i="13"/>
  <c r="H151" i="13"/>
  <c r="N151" i="13"/>
  <c r="I151" i="13"/>
  <c r="N142" i="13"/>
  <c r="K143" i="13"/>
  <c r="M143" i="13"/>
  <c r="H142" i="13"/>
  <c r="N152" i="13"/>
  <c r="O156" i="13"/>
  <c r="I156" i="13"/>
  <c r="N153" i="13"/>
  <c r="O157" i="13"/>
  <c r="I157" i="13"/>
  <c r="N158" i="13"/>
  <c r="O151" i="13"/>
  <c r="J142" i="13"/>
  <c r="O152" i="13"/>
  <c r="P156" i="13"/>
  <c r="J156" i="13"/>
  <c r="P157" i="13"/>
  <c r="P158" i="13"/>
  <c r="P151" i="13"/>
  <c r="I143" i="13"/>
  <c r="H152" i="13"/>
  <c r="I152" i="13"/>
  <c r="N156" i="13"/>
  <c r="H153" i="13"/>
  <c r="I153" i="13"/>
  <c r="N157" i="13"/>
  <c r="O158" i="13"/>
  <c r="I158" i="13"/>
  <c r="J151" i="13"/>
  <c r="O142" i="13"/>
  <c r="R143" i="13"/>
  <c r="P142" i="13"/>
  <c r="J153" i="13"/>
  <c r="J157" i="13"/>
  <c r="J158" i="13"/>
  <c r="Q151" i="13"/>
  <c r="M142" i="13"/>
  <c r="H143" i="13"/>
  <c r="L142" i="13"/>
  <c r="I142" i="13"/>
  <c r="I123" i="13" s="1"/>
  <c r="J152" i="13"/>
  <c r="K156" i="13"/>
  <c r="O153" i="13"/>
  <c r="K157" i="13"/>
  <c r="K158" i="13"/>
  <c r="K151" i="13"/>
  <c r="K142" i="13"/>
  <c r="N143" i="13"/>
  <c r="L143" i="13"/>
  <c r="Q142" i="13"/>
  <c r="Q123" i="13" s="1"/>
  <c r="P152" i="13"/>
  <c r="K152" i="13"/>
  <c r="Q152" i="13"/>
  <c r="L156" i="13"/>
  <c r="G156" i="13"/>
  <c r="O63" i="11" s="1"/>
  <c r="Q156" i="13"/>
  <c r="P153" i="13"/>
  <c r="K153" i="13"/>
  <c r="Q153" i="13"/>
  <c r="L157" i="13"/>
  <c r="G157" i="13"/>
  <c r="O64" i="11" s="1"/>
  <c r="Q157" i="13"/>
  <c r="L158" i="13"/>
  <c r="G158" i="13"/>
  <c r="O65" i="11" s="1"/>
  <c r="Q158" i="13"/>
  <c r="L151" i="13"/>
  <c r="R151" i="13"/>
  <c r="M151" i="13"/>
  <c r="R142" i="13"/>
  <c r="O143" i="13"/>
  <c r="J143" i="13"/>
  <c r="P143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3" i="6" s="1"/>
  <c r="CX194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H106" i="8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L30" i="9" s="1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S30" i="8" s="1"/>
  <c r="CU193" i="6" s="1"/>
  <c r="V19" i="8"/>
  <c r="V14" i="8"/>
  <c r="T32" i="8"/>
  <c r="T30" i="8" s="1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3" i="6" s="1"/>
  <c r="DH194" i="6" s="1"/>
  <c r="P42" i="4"/>
  <c r="P29" i="4" s="1"/>
  <c r="P30" i="4" s="1"/>
  <c r="N42" i="4"/>
  <c r="N29" i="4" s="1"/>
  <c r="N30" i="4" s="1"/>
  <c r="M42" i="4"/>
  <c r="M29" i="4" s="1"/>
  <c r="DD193" i="6" s="1"/>
  <c r="DD194" i="6" s="1"/>
  <c r="L42" i="4"/>
  <c r="L29" i="4" s="1"/>
  <c r="DC193" i="6" s="1"/>
  <c r="DC194" i="6" s="1"/>
  <c r="J42" i="4"/>
  <c r="J29" i="4" s="1"/>
  <c r="J30" i="4" s="1"/>
  <c r="I42" i="4"/>
  <c r="I29" i="4" s="1"/>
  <c r="CZ193" i="6" s="1"/>
  <c r="CZ194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2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2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2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2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48" i="11"/>
  <c r="O52" i="11"/>
  <c r="O13" i="11"/>
  <c r="O17" i="11"/>
  <c r="O21" i="11"/>
  <c r="O25" i="11"/>
  <c r="O33" i="11"/>
  <c r="O37" i="11"/>
  <c r="O41" i="11"/>
  <c r="O45" i="11"/>
  <c r="O49" i="11"/>
  <c r="O11" i="11"/>
  <c r="O19" i="11"/>
  <c r="O23" i="11"/>
  <c r="O31" i="11"/>
  <c r="O39" i="11"/>
  <c r="O47" i="11"/>
  <c r="O59" i="11"/>
  <c r="O14" i="11"/>
  <c r="O18" i="11"/>
  <c r="O22" i="11"/>
  <c r="O26" i="11"/>
  <c r="O34" i="11"/>
  <c r="O38" i="11"/>
  <c r="O42" i="11"/>
  <c r="O46" i="11"/>
  <c r="O50" i="11"/>
  <c r="O58" i="11"/>
  <c r="O10" i="11"/>
  <c r="O15" i="11"/>
  <c r="O27" i="11"/>
  <c r="O35" i="11"/>
  <c r="O43" i="11"/>
  <c r="O51" i="11"/>
  <c r="O42" i="12"/>
  <c r="H149" i="10"/>
  <c r="M105" i="10"/>
  <c r="S142" i="12"/>
  <c r="T142" i="12" s="1"/>
  <c r="N13" i="11"/>
  <c r="N17" i="11"/>
  <c r="N21" i="11"/>
  <c r="N25" i="11"/>
  <c r="N29" i="11"/>
  <c r="N33" i="11"/>
  <c r="N37" i="11"/>
  <c r="N41" i="11"/>
  <c r="N45" i="11"/>
  <c r="N49" i="11"/>
  <c r="N53" i="11"/>
  <c r="N57" i="11"/>
  <c r="N66" i="11"/>
  <c r="N14" i="11"/>
  <c r="N18" i="11"/>
  <c r="N22" i="11"/>
  <c r="N26" i="11"/>
  <c r="N30" i="11"/>
  <c r="N34" i="11"/>
  <c r="N38" i="11"/>
  <c r="N42" i="11"/>
  <c r="N46" i="11"/>
  <c r="N50" i="11"/>
  <c r="N54" i="11"/>
  <c r="N58" i="11"/>
  <c r="N63" i="11"/>
  <c r="N12" i="11"/>
  <c r="N16" i="11"/>
  <c r="N20" i="11"/>
  <c r="N24" i="11"/>
  <c r="N28" i="11"/>
  <c r="N32" i="11"/>
  <c r="N36" i="11"/>
  <c r="N44" i="11"/>
  <c r="N48" i="11"/>
  <c r="N56" i="11"/>
  <c r="N65" i="11"/>
  <c r="N11" i="11"/>
  <c r="N15" i="11"/>
  <c r="N19" i="11"/>
  <c r="N23" i="11"/>
  <c r="N27" i="11"/>
  <c r="N31" i="11"/>
  <c r="N35" i="11"/>
  <c r="N39" i="11"/>
  <c r="N43" i="11"/>
  <c r="N47" i="11"/>
  <c r="N51" i="11"/>
  <c r="N55" i="11"/>
  <c r="N59" i="11"/>
  <c r="N64" i="11"/>
  <c r="N40" i="11"/>
  <c r="N52" i="11"/>
  <c r="N61" i="11"/>
  <c r="N10" i="11"/>
  <c r="S144" i="12"/>
  <c r="T144" i="12" s="1"/>
  <c r="K34" i="11"/>
  <c r="R34" i="11"/>
  <c r="R22" i="11"/>
  <c r="K22" i="11"/>
  <c r="L22" i="11" s="1"/>
  <c r="R16" i="11"/>
  <c r="K16" i="11"/>
  <c r="M16" i="11" s="1"/>
  <c r="R39" i="11"/>
  <c r="K39" i="11"/>
  <c r="L39" i="11" s="1"/>
  <c r="R65" i="11"/>
  <c r="K65" i="11"/>
  <c r="R44" i="11"/>
  <c r="K44" i="11"/>
  <c r="L44" i="11" s="1"/>
  <c r="K48" i="11"/>
  <c r="M48" i="11" s="1"/>
  <c r="R48" i="11"/>
  <c r="R43" i="11"/>
  <c r="K43" i="11"/>
  <c r="L43" i="11" s="1"/>
  <c r="R37" i="11"/>
  <c r="K37" i="11"/>
  <c r="M37" i="11" s="1"/>
  <c r="K54" i="11"/>
  <c r="L54" i="11" s="1"/>
  <c r="R54" i="11"/>
  <c r="K24" i="11"/>
  <c r="L24" i="11" s="1"/>
  <c r="R24" i="11"/>
  <c r="K26" i="11"/>
  <c r="M26" i="11" s="1"/>
  <c r="R26" i="11"/>
  <c r="R41" i="11"/>
  <c r="K41" i="11"/>
  <c r="L41" i="11" s="1"/>
  <c r="R27" i="11"/>
  <c r="K27" i="11"/>
  <c r="M27" i="11" s="1"/>
  <c r="R14" i="11"/>
  <c r="K14" i="11"/>
  <c r="M14" i="11" s="1"/>
  <c r="R33" i="11"/>
  <c r="K33" i="11"/>
  <c r="M33" i="11" s="1"/>
  <c r="K20" i="11"/>
  <c r="L20" i="11" s="1"/>
  <c r="R20" i="11"/>
  <c r="K38" i="11"/>
  <c r="M38" i="11" s="1"/>
  <c r="R38" i="11"/>
  <c r="K52" i="11"/>
  <c r="R52" i="11"/>
  <c r="R51" i="11"/>
  <c r="K51" i="11"/>
  <c r="R35" i="11"/>
  <c r="K35" i="11"/>
  <c r="M35" i="11" s="1"/>
  <c r="R64" i="11"/>
  <c r="K64" i="11"/>
  <c r="M64" i="11" s="1"/>
  <c r="K25" i="11"/>
  <c r="L25" i="11" s="1"/>
  <c r="R25" i="11"/>
  <c r="R49" i="11"/>
  <c r="K49" i="11"/>
  <c r="L49" i="11" s="1"/>
  <c r="K21" i="11"/>
  <c r="M21" i="11" s="1"/>
  <c r="R21" i="11"/>
  <c r="R18" i="11"/>
  <c r="K18" i="11"/>
  <c r="M18" i="11" s="1"/>
  <c r="R13" i="11"/>
  <c r="K13" i="11"/>
  <c r="L13" i="11" s="1"/>
  <c r="R28" i="11"/>
  <c r="K28" i="11"/>
  <c r="L28" i="11" s="1"/>
  <c r="R23" i="11"/>
  <c r="K23" i="11"/>
  <c r="M23" i="11" s="1"/>
  <c r="K50" i="11"/>
  <c r="M50" i="11" s="1"/>
  <c r="R50" i="11"/>
  <c r="K46" i="11"/>
  <c r="L46" i="11" s="1"/>
  <c r="R46" i="11"/>
  <c r="R19" i="11"/>
  <c r="K19" i="11"/>
  <c r="M19" i="11" s="1"/>
  <c r="K32" i="11"/>
  <c r="L32" i="11" s="1"/>
  <c r="R32" i="11"/>
  <c r="R45" i="11"/>
  <c r="K45" i="11"/>
  <c r="M45" i="11" s="1"/>
  <c r="R40" i="11"/>
  <c r="K40" i="11"/>
  <c r="M40" i="11" s="1"/>
  <c r="R36" i="11"/>
  <c r="K36" i="11"/>
  <c r="R59" i="11"/>
  <c r="K59" i="11"/>
  <c r="M59" i="11" s="1"/>
  <c r="K17" i="11"/>
  <c r="M17" i="11" s="1"/>
  <c r="R17" i="11"/>
  <c r="K12" i="11"/>
  <c r="L12" i="11" s="1"/>
  <c r="R12" i="11"/>
  <c r="R53" i="11"/>
  <c r="K53" i="11"/>
  <c r="L53" i="11" s="1"/>
  <c r="K58" i="11"/>
  <c r="L58" i="11" s="1"/>
  <c r="R58" i="11"/>
  <c r="R47" i="11"/>
  <c r="K47" i="11"/>
  <c r="R15" i="11"/>
  <c r="K15" i="11"/>
  <c r="L15" i="11" s="1"/>
  <c r="K63" i="11"/>
  <c r="L63" i="11" s="1"/>
  <c r="R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G271" i="2"/>
  <c r="H11" i="1" s="1"/>
  <c r="S65" i="13"/>
  <c r="T65" i="13" s="1"/>
  <c r="G61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2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43" i="9"/>
  <c r="T143" i="9" s="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W144" i="8"/>
  <c r="X144" i="8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W107" i="8"/>
  <c r="X107" i="8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R11" i="11" s="1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S8" i="13" l="1"/>
  <c r="R126" i="4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I59" i="11"/>
  <c r="O150" i="13"/>
  <c r="S142" i="13"/>
  <c r="T142" i="13" s="1"/>
  <c r="H48" i="11"/>
  <c r="J48" i="11" s="1"/>
  <c r="O29" i="1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O57" i="11" s="1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3" i="6"/>
  <c r="DE194" i="6" s="1"/>
  <c r="L30" i="4"/>
  <c r="K30" i="8"/>
  <c r="K31" i="8" s="1"/>
  <c r="P104" i="9"/>
  <c r="H55" i="4"/>
  <c r="H56" i="4" s="1"/>
  <c r="N104" i="12"/>
  <c r="CY193" i="6"/>
  <c r="CY194" i="6" s="1"/>
  <c r="G30" i="4"/>
  <c r="DF193" i="6"/>
  <c r="DF194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3" i="6"/>
  <c r="DB194" i="6" s="1"/>
  <c r="N29" i="12"/>
  <c r="N30" i="12" s="1"/>
  <c r="L30" i="8"/>
  <c r="CP193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3" i="6"/>
  <c r="DG194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3" i="6"/>
  <c r="DI194" i="6" s="1"/>
  <c r="U30" i="8"/>
  <c r="U31" i="8" s="1"/>
  <c r="T56" i="8"/>
  <c r="T57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4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3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K11" i="11"/>
  <c r="L11" i="11" s="1"/>
  <c r="M30" i="4"/>
  <c r="S29" i="4"/>
  <c r="T29" i="4" s="1"/>
  <c r="T31" i="8"/>
  <c r="L124" i="9"/>
  <c r="L125" i="9" s="1"/>
  <c r="K105" i="8"/>
  <c r="K149" i="8" s="1"/>
  <c r="K155" i="8" s="1"/>
  <c r="K160" i="8" s="1"/>
  <c r="K156" i="8" s="1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L54" i="9"/>
  <c r="L60" i="9" s="1"/>
  <c r="L65" i="9" s="1"/>
  <c r="L61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3" i="6"/>
  <c r="DA194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L31" i="9"/>
  <c r="J124" i="9"/>
  <c r="J125" i="9" s="1"/>
  <c r="K104" i="4"/>
  <c r="M32" i="11"/>
  <c r="CV193" i="6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Q63" i="11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P63" i="11"/>
  <c r="S63" i="11"/>
  <c r="Q49" i="11"/>
  <c r="Q65" i="11"/>
  <c r="Q16" i="11"/>
  <c r="S19" i="11"/>
  <c r="T16" i="11"/>
  <c r="S41" i="11"/>
  <c r="Q41" i="11"/>
  <c r="S61" i="13"/>
  <c r="T61" i="13" s="1"/>
  <c r="G62" i="11"/>
  <c r="N62" i="11"/>
  <c r="K42" i="11"/>
  <c r="M42" i="11" s="1"/>
  <c r="R42" i="11"/>
  <c r="R57" i="11"/>
  <c r="T57" i="11" s="1"/>
  <c r="K57" i="11"/>
  <c r="M57" i="11" s="1"/>
  <c r="R31" i="11"/>
  <c r="S31" i="11" s="1"/>
  <c r="K31" i="11"/>
  <c r="M31" i="11" s="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Q58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S11" i="1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Q48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2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P49" i="11"/>
  <c r="Q24" i="11"/>
  <c r="P27" i="11"/>
  <c r="S27" i="11"/>
  <c r="Q44" i="11"/>
  <c r="I43" i="11"/>
  <c r="R124" i="4"/>
  <c r="R125" i="4" s="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P58" i="11"/>
  <c r="S17" i="11"/>
  <c r="T17" i="11"/>
  <c r="Q47" i="11"/>
  <c r="S24" i="11"/>
  <c r="P65" i="11"/>
  <c r="S48" i="11"/>
  <c r="P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Q59" i="11"/>
  <c r="R104" i="12"/>
  <c r="P15" i="11"/>
  <c r="L27" i="11"/>
  <c r="L18" i="11"/>
  <c r="Q29" i="10"/>
  <c r="Q55" i="10" s="1"/>
  <c r="Q56" i="10" s="1"/>
  <c r="I18" i="11"/>
  <c r="S37" i="11"/>
  <c r="Q64" i="11"/>
  <c r="W127" i="8"/>
  <c r="X127" i="8" s="1"/>
  <c r="Q35" i="11"/>
  <c r="P59" i="11"/>
  <c r="K124" i="4"/>
  <c r="K125" i="4" s="1"/>
  <c r="P53" i="11"/>
  <c r="S53" i="11"/>
  <c r="J18" i="11"/>
  <c r="T37" i="11"/>
  <c r="G124" i="4"/>
  <c r="G125" i="4" s="1"/>
  <c r="P64" i="1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S56" i="8"/>
  <c r="S61" i="8" s="1"/>
  <c r="S66" i="8" s="1"/>
  <c r="S62" i="8" s="1"/>
  <c r="G104" i="10"/>
  <c r="I53" i="11"/>
  <c r="M41" i="11"/>
  <c r="S150" i="4"/>
  <c r="T150" i="4" s="1"/>
  <c r="P40" i="11"/>
  <c r="P43" i="11"/>
  <c r="S31" i="8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T11" i="11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K124" i="13" l="1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H56" i="11"/>
  <c r="S150" i="13"/>
  <c r="T150" i="13" s="1"/>
  <c r="L124" i="13"/>
  <c r="L148" i="13"/>
  <c r="P124" i="13"/>
  <c r="P148" i="13"/>
  <c r="H124" i="13"/>
  <c r="O30" i="11" s="1"/>
  <c r="H148" i="13"/>
  <c r="O55" i="11" s="1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3" i="6"/>
  <c r="CS194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3" i="6"/>
  <c r="N54" i="9"/>
  <c r="N60" i="9" s="1"/>
  <c r="N65" i="9" s="1"/>
  <c r="N61" i="9" s="1"/>
  <c r="Q54" i="9"/>
  <c r="Q55" i="9" s="1"/>
  <c r="CL193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3" i="6"/>
  <c r="L55" i="9"/>
  <c r="T61" i="8"/>
  <c r="T66" i="8" s="1"/>
  <c r="T62" i="8" s="1"/>
  <c r="G56" i="10"/>
  <c r="G60" i="10"/>
  <c r="G65" i="10" s="1"/>
  <c r="G30" i="10"/>
  <c r="L31" i="8"/>
  <c r="L56" i="8"/>
  <c r="CP194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4" i="6"/>
  <c r="R55" i="12"/>
  <c r="CW193" i="6"/>
  <c r="P30" i="10"/>
  <c r="P56" i="4"/>
  <c r="P54" i="9"/>
  <c r="P55" i="9" s="1"/>
  <c r="I56" i="8"/>
  <c r="I57" i="8" s="1"/>
  <c r="CT193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3" i="6"/>
  <c r="H31" i="8"/>
  <c r="L60" i="4"/>
  <c r="L56" i="4"/>
  <c r="K54" i="9"/>
  <c r="K55" i="9" s="1"/>
  <c r="M56" i="8"/>
  <c r="CQ194" i="6" s="1"/>
  <c r="S55" i="4"/>
  <c r="T55" i="4" s="1"/>
  <c r="W105" i="8"/>
  <c r="X105" i="8" s="1"/>
  <c r="CQ193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K10" i="11"/>
  <c r="M10" i="11" s="1"/>
  <c r="R10" i="11"/>
  <c r="S10" i="11" s="1"/>
  <c r="G30" i="12"/>
  <c r="K29" i="11"/>
  <c r="R29" i="11"/>
  <c r="S29" i="11" s="1"/>
  <c r="G252" i="2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2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G155" i="8"/>
  <c r="W155" i="8" s="1"/>
  <c r="X155" i="8" s="1"/>
  <c r="I57" i="11"/>
  <c r="K150" i="8"/>
  <c r="R148" i="12"/>
  <c r="R149" i="12" s="1"/>
  <c r="S10" i="12"/>
  <c r="T10" i="12" s="1"/>
  <c r="P30" i="1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CU194" i="6"/>
  <c r="S123" i="10"/>
  <c r="T123" i="10" s="1"/>
  <c r="I147" i="10"/>
  <c r="I153" i="10" s="1"/>
  <c r="I158" i="10" s="1"/>
  <c r="I154" i="10" s="1"/>
  <c r="P29" i="11"/>
  <c r="N149" i="9"/>
  <c r="J57" i="11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P57" i="11"/>
  <c r="Q57" i="11"/>
  <c r="R149" i="13" l="1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O56" i="11" s="1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4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4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4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R55" i="11"/>
  <c r="S55" i="11" s="1"/>
  <c r="K55" i="11"/>
  <c r="M55" i="11" s="1"/>
  <c r="R30" i="11"/>
  <c r="K30" i="11"/>
  <c r="L30" i="11" s="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O149" i="4"/>
  <c r="O154" i="4"/>
  <c r="O159" i="4" s="1"/>
  <c r="O155" i="4" s="1"/>
  <c r="G160" i="8"/>
  <c r="W160" i="8" s="1"/>
  <c r="X160" i="8" s="1"/>
  <c r="S124" i="10"/>
  <c r="T124" i="10" s="1"/>
  <c r="Q30" i="11"/>
  <c r="L10" i="11"/>
  <c r="H12" i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Q55" i="11"/>
  <c r="P55" i="1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O61" i="11" l="1"/>
  <c r="Q61" i="11" s="1"/>
  <c r="H61" i="11"/>
  <c r="H55" i="11"/>
  <c r="I55" i="11" s="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G156" i="8"/>
  <c r="W156" i="8" s="1"/>
  <c r="X156" i="8" s="1"/>
  <c r="M30" i="11"/>
  <c r="T55" i="11"/>
  <c r="S56" i="12"/>
  <c r="T56" i="12" s="1"/>
  <c r="R56" i="11"/>
  <c r="K56" i="11"/>
  <c r="L56" i="11" s="1"/>
  <c r="G65" i="12"/>
  <c r="R61" i="11"/>
  <c r="S61" i="11" s="1"/>
  <c r="K61" i="11"/>
  <c r="L61" i="11" s="1"/>
  <c r="S154" i="9"/>
  <c r="T154" i="9" s="1"/>
  <c r="L55" i="11"/>
  <c r="H20" i="1"/>
  <c r="T30" i="11"/>
  <c r="S30" i="11"/>
  <c r="G61" i="8"/>
  <c r="G57" i="8"/>
  <c r="W57" i="8" s="1"/>
  <c r="X57" i="8" s="1"/>
  <c r="W56" i="8"/>
  <c r="X56" i="8" s="1"/>
  <c r="CL194" i="6"/>
  <c r="P56" i="11"/>
  <c r="S153" i="10"/>
  <c r="T153" i="10" s="1"/>
  <c r="P159" i="12"/>
  <c r="S148" i="10"/>
  <c r="T148" i="10" s="1"/>
  <c r="S159" i="4"/>
  <c r="T159" i="4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J55" i="11" l="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K66" i="11"/>
  <c r="L66" i="11" s="1"/>
  <c r="R66" i="11"/>
  <c r="S66" i="11" s="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K62" i="11"/>
  <c r="M62" i="11" s="1"/>
  <c r="R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<sst xmlns="http://schemas.openxmlformats.org/spreadsheetml/2006/main" count="1468" uniqueCount="762">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</sst>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  <numFmt numFmtId="173" formatCode="#,##0.0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516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21" fillId="0" borderId="14" xfId="0" applyNumberFormat="1" applyFont="1" applyFill="1" applyBorder="1" applyAlignment="1" applyProtection="1">
      <alignment horizontal="center" vertical="center"/>
      <protection hidden="1"/>
    </xf>
    <xf numFmtId="164" fontId="28" fillId="0" borderId="13" xfId="0" applyNumberFormat="1" applyFont="1" applyFill="1" applyBorder="1" applyAlignment="1" applyProtection="1">
      <alignment horizontal="center"/>
      <protection hidden="1"/>
    </xf>
    <xf numFmtId="165" fontId="28" fillId="0" borderId="15" xfId="0" applyNumberFormat="1" applyFont="1" applyFill="1" applyBorder="1" applyAlignment="1" applyProtection="1">
      <alignment horizontal="center"/>
      <protection hidden="1"/>
    </xf>
    <xf numFmtId="164" fontId="23" fillId="0" borderId="33" xfId="0" applyNumberFormat="1" applyFont="1" applyFill="1" applyBorder="1" applyAlignment="1" applyProtection="1">
      <alignment horizontal="center" vertical="center"/>
      <protection hidden="1"/>
    </xf>
    <xf numFmtId="164" fontId="26" fillId="0" borderId="21" xfId="0" applyNumberFormat="1" applyFont="1" applyFill="1" applyBorder="1" applyAlignment="1" applyProtection="1">
      <alignment horizontal="center"/>
      <protection hidden="1"/>
    </xf>
    <xf numFmtId="165" fontId="26" fillId="0" borderId="23" xfId="0" applyNumberFormat="1" applyFont="1" applyFill="1" applyBorder="1" applyAlignment="1" applyProtection="1">
      <alignment horizontal="center"/>
      <protection hidden="1"/>
    </xf>
    <xf numFmtId="164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4" fontId="21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4" xfId="1" applyNumberFormat="1" applyFont="1" applyFill="1" applyBorder="1" applyAlignment="1" applyProtection="1">
      <alignment horizontal="center" vertical="center"/>
      <protection hidden="1"/>
    </xf>
    <xf numFmtId="165" fontId="26" fillId="3" borderId="0" xfId="1" applyNumberFormat="1" applyFont="1" applyFill="1" applyBorder="1" applyAlignment="1" applyProtection="1">
      <alignment horizontal="center" vertical="center"/>
      <protection hidden="1"/>
    </xf>
    <xf numFmtId="165" fontId="26" fillId="3" borderId="9" xfId="1" applyNumberFormat="1" applyFont="1" applyFill="1" applyBorder="1" applyAlignment="1" applyProtection="1">
      <alignment horizontal="center" vertical="center"/>
      <protection hidden="1"/>
    </xf>
    <xf numFmtId="165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5" fontId="26" fillId="41" borderId="14" xfId="1" applyNumberFormat="1" applyFont="1" applyFill="1" applyBorder="1" applyAlignment="1" applyProtection="1">
      <alignment horizontal="center" vertical="center"/>
      <protection hidden="1"/>
    </xf>
    <xf numFmtId="164" fontId="26" fillId="3" borderId="74" xfId="0" applyNumberFormat="1" applyFont="1" applyFill="1" applyBorder="1" applyAlignment="1" applyProtection="1">
      <alignment horizontal="center" vertical="center"/>
      <protection hidden="1"/>
    </xf>
    <xf numFmtId="164" fontId="26" fillId="3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5" xfId="1" applyNumberFormat="1" applyFont="1" applyFill="1" applyBorder="1" applyAlignment="1" applyProtection="1">
      <alignment horizontal="center" vertical="center"/>
      <protection hidden="1"/>
    </xf>
    <xf numFmtId="165" fontId="26" fillId="3" borderId="48" xfId="1" applyNumberFormat="1" applyFont="1" applyFill="1" applyBorder="1" applyAlignment="1" applyProtection="1">
      <alignment horizontal="center" vertical="center"/>
      <protection hidden="1"/>
    </xf>
    <xf numFmtId="165" fontId="26" fillId="3" borderId="52" xfId="1" applyNumberFormat="1" applyFont="1" applyFill="1" applyBorder="1" applyAlignment="1" applyProtection="1">
      <alignment horizontal="center" vertical="center"/>
      <protection hidden="1"/>
    </xf>
    <xf numFmtId="165" fontId="26" fillId="3" borderId="46" xfId="1" applyNumberFormat="1" applyFont="1" applyFill="1" applyBorder="1" applyAlignment="1" applyProtection="1">
      <alignment horizontal="center" vertical="center"/>
      <protection hidden="1"/>
    </xf>
    <xf numFmtId="165" fontId="26" fillId="41" borderId="49" xfId="1" applyNumberFormat="1" applyFont="1" applyFill="1" applyBorder="1" applyAlignment="1" applyProtection="1">
      <alignment horizontal="center" vertical="center"/>
      <protection hidden="1"/>
    </xf>
    <xf numFmtId="164" fontId="26" fillId="3" borderId="14" xfId="0" applyNumberFormat="1" applyFont="1" applyFill="1" applyBorder="1" applyAlignment="1" applyProtection="1">
      <alignment horizontal="center" vertical="center"/>
      <protection hidden="1"/>
    </xf>
    <xf numFmtId="164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3" fillId="3" borderId="74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4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43" fontId="2" fillId="3" borderId="0" xfId="130" applyFont="1" applyFill="1" applyAlignment="1">
      <alignment vertical="center"/>
    </xf>
    <xf numFmtId="4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3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4" fontId="24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22" xfId="0" applyNumberFormat="1" applyFont="1" applyFill="1" applyBorder="1" applyAlignment="1" applyProtection="1">
      <alignment horizontal="center" vertical="center"/>
      <protection hidden="1"/>
    </xf>
    <xf numFmtId="164" fontId="5" fillId="2" borderId="14" xfId="0" applyNumberFormat="1" applyFont="1" applyFill="1" applyBorder="1" applyAlignment="1" applyProtection="1">
      <alignment horizontal="center" vertical="center"/>
      <protection hidden="1"/>
    </xf>
    <xf numFmtId="164" fontId="28" fillId="3" borderId="14" xfId="0" applyNumberFormat="1" applyFont="1" applyFill="1" applyBorder="1" applyAlignment="1" applyProtection="1">
      <alignment horizontal="center" vertical="center"/>
      <protection hidden="1"/>
    </xf>
    <xf numFmtId="164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4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4" fontId="67" fillId="3" borderId="30" xfId="0" applyNumberFormat="1" applyFont="1" applyFill="1" applyBorder="1" applyAlignment="1" applyProtection="1">
      <alignment horizontal="center" vertical="center"/>
      <protection hidden="1"/>
    </xf>
    <xf numFmtId="4" fontId="0" fillId="4" borderId="0" xfId="0" applyNumberFormat="1" applyFill="1"/>
    <xf numFmtId="0" fontId="69" fillId="3" borderId="0" xfId="0" applyFont="1" applyFill="1" applyAlignment="1">
      <alignment vertical="center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  <xf numFmtId="164" fontId="70" fillId="3" borderId="14" xfId="0" applyNumberFormat="1" applyFont="1" applyFill="1" applyBorder="1" applyAlignment="1" applyProtection="1">
      <alignment horizontal="center" vertical="center"/>
      <protection hidden="1"/>
    </xf>
    <xf numFmtId="164" fontId="71" fillId="8" borderId="14" xfId="0" applyNumberFormat="1" applyFont="1" applyFill="1" applyBorder="1" applyAlignment="1" applyProtection="1">
      <alignment horizontal="center" vertical="center"/>
      <protection hidden="1"/>
    </xf>
    <xf numFmtId="164" fontId="71" fillId="9" borderId="14" xfId="0" applyNumberFormat="1" applyFont="1" applyFill="1" applyBorder="1" applyAlignment="1" applyProtection="1">
      <alignment horizontal="center" vertical="center"/>
      <protection hidden="1"/>
    </xf>
    <xf numFmtId="165" fontId="71" fillId="9" borderId="14" xfId="1" applyNumberFormat="1" applyFont="1" applyFill="1" applyBorder="1" applyAlignment="1" applyProtection="1">
      <alignment horizontal="center" vertical="center"/>
      <protection hidden="1"/>
    </xf>
    <xf numFmtId="165" fontId="71" fillId="8" borderId="14" xfId="1" applyNumberFormat="1" applyFont="1" applyFill="1" applyBorder="1" applyAlignment="1" applyProtection="1">
      <alignment horizontal="center" vertical="center"/>
      <protection hidden="1"/>
    </xf>
    <xf numFmtId="165" fontId="71" fillId="9" borderId="46" xfId="1" applyNumberFormat="1" applyFont="1" applyFill="1" applyBorder="1" applyAlignment="1" applyProtection="1">
      <alignment horizontal="center" vertical="center"/>
      <protection hidden="1"/>
    </xf>
    <xf numFmtId="165" fontId="71" fillId="8" borderId="46" xfId="1" applyNumberFormat="1" applyFont="1" applyFill="1" applyBorder="1" applyAlignment="1" applyProtection="1">
      <alignment horizontal="center" vertical="center"/>
      <protection hidden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393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02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59552"/>
        <c:axId val="63561088"/>
      </c:lineChart>
      <c:catAx>
        <c:axId val="6355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63561088"/>
        <c:crosses val="autoZero"/>
        <c:auto val="1"/>
        <c:lblAlgn val="ctr"/>
        <c:lblOffset val="100"/>
        <c:tickLblSkip val="3"/>
        <c:noMultiLvlLbl val="0"/>
      </c:catAx>
      <c:valAx>
        <c:axId val="63561088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6355955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425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DataEx!$E$194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729664"/>
        <c:axId val="63731200"/>
      </c:lineChart>
      <c:catAx>
        <c:axId val="63729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63731200"/>
        <c:crosses val="autoZero"/>
        <c:auto val="1"/>
        <c:lblAlgn val="ctr"/>
        <c:lblOffset val="100"/>
        <c:tickLblSkip val="3"/>
        <c:noMultiLvlLbl val="0"/>
      </c:catAx>
      <c:valAx>
        <c:axId val="63731200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63729664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147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x-none"/>
            <a:t>Tatjana</a:t>
          </a:r>
          <a:r>
            <a:rPr lang="x-none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280445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289970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282350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2017-02</v>
      </c>
      <c r="O6" s="169" t="str">
        <f>+CONCATENATE(N6,"p")</f>
        <v>2017-02p</v>
      </c>
      <c r="P6" s="153"/>
      <c r="Q6" s="153"/>
      <c r="R6" s="169" t="str">
        <f>+IF(Master!B3-10&gt;=0,CONCATENATE(Master!B4-1,"-",Master!B3),CONCATENATE(Master!B4-1,"-0",Master!B3))</f>
        <v>2016-02</v>
      </c>
      <c r="S6" s="153"/>
      <c r="T6" s="153"/>
    </row>
    <row r="7" spans="1:20">
      <c r="A7" s="170"/>
      <c r="B7" s="437" t="s">
        <v>709</v>
      </c>
      <c r="C7" s="438"/>
      <c r="D7" s="438"/>
      <c r="E7" s="438"/>
      <c r="F7" s="438"/>
      <c r="G7" s="446" t="s">
        <v>707</v>
      </c>
      <c r="H7" s="447"/>
      <c r="I7" s="447"/>
      <c r="J7" s="447"/>
      <c r="K7" s="447"/>
      <c r="L7" s="447"/>
      <c r="M7" s="448"/>
      <c r="N7" s="449" t="str">
        <f>+Master!G240</f>
        <v>Decembar</v>
      </c>
      <c r="O7" s="447"/>
      <c r="P7" s="447"/>
      <c r="Q7" s="447"/>
      <c r="R7" s="447"/>
      <c r="S7" s="447"/>
      <c r="T7" s="450"/>
    </row>
    <row r="8" spans="1:20">
      <c r="A8" s="170"/>
      <c r="B8" s="439"/>
      <c r="C8" s="440"/>
      <c r="D8" s="440"/>
      <c r="E8" s="440"/>
      <c r="F8" s="441"/>
      <c r="G8" s="171" t="str">
        <f>+Master!G21</f>
        <v>Ostvarenje</v>
      </c>
      <c r="H8" s="171" t="str">
        <f>+Master!G20</f>
        <v>Plan</v>
      </c>
      <c r="I8" s="435" t="str">
        <f>+Master!G258</f>
        <v>Odstupanje</v>
      </c>
      <c r="J8" s="435"/>
      <c r="K8" s="171" t="str">
        <f>+CONCATENATE(Master!G243," ",Master!B4-1)</f>
        <v>Jan - Feb 2016</v>
      </c>
      <c r="L8" s="435" t="str">
        <f>+I8</f>
        <v>Odstupanje</v>
      </c>
      <c r="M8" s="445"/>
      <c r="N8" s="172" t="str">
        <f>+G8</f>
        <v>Ostvarenje</v>
      </c>
      <c r="O8" s="171" t="str">
        <f>+H8</f>
        <v>Plan</v>
      </c>
      <c r="P8" s="435" t="str">
        <f>+I8</f>
        <v>Odstupanje</v>
      </c>
      <c r="Q8" s="435"/>
      <c r="R8" s="171" t="str">
        <f>+CONCATENATE(Master!G242," ",Master!B4-1)</f>
        <v>Februar 2016</v>
      </c>
      <c r="S8" s="435" t="str">
        <f>+P8</f>
        <v>Odstupanje</v>
      </c>
      <c r="T8" s="436"/>
    </row>
    <row r="9" spans="1:20" ht="15.75" thickBot="1">
      <c r="A9" s="170"/>
      <c r="B9" s="442"/>
      <c r="C9" s="443"/>
      <c r="D9" s="443"/>
      <c r="E9" s="443"/>
      <c r="F9" s="444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05" t="str">
        <f>+VLOOKUP($A10,Master!$D$25:$G$223,4,FALSE)</f>
        <v>Prihodi budžeta</v>
      </c>
      <c r="C10" s="406"/>
      <c r="D10" s="406"/>
      <c r="E10" s="406"/>
      <c r="F10" s="406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07" t="str">
        <f>+VLOOKUP($A11,Master!$D$25:$G$223,4,FALSE)</f>
        <v>Porezi</v>
      </c>
      <c r="C11" s="408"/>
      <c r="D11" s="408"/>
      <c r="E11" s="408"/>
      <c r="F11" s="408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09" t="str">
        <f>+VLOOKUP($A12,Master!$D$25:$G$223,4,FALSE)</f>
        <v>Porez na dohodak fizičkih lica</v>
      </c>
      <c r="C12" s="410"/>
      <c r="D12" s="410"/>
      <c r="E12" s="410"/>
      <c r="F12" s="410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09" t="str">
        <f>+VLOOKUP($A13,Master!$D$25:$G$223,4,FALSE)</f>
        <v>Porez na dobit pravnih lica</v>
      </c>
      <c r="C13" s="410"/>
      <c r="D13" s="410"/>
      <c r="E13" s="410"/>
      <c r="F13" s="410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09" t="str">
        <f>+VLOOKUP($A14,Master!$D$25:$G$223,4,FALSE)</f>
        <v>Porez na promet nepokretnosti</v>
      </c>
      <c r="C14" s="410"/>
      <c r="D14" s="410"/>
      <c r="E14" s="410"/>
      <c r="F14" s="410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09" t="str">
        <f>+VLOOKUP($A15,Master!$D$25:$G$223,4,FALSE)</f>
        <v>Porez na dodatu vrijednost</v>
      </c>
      <c r="C15" s="410"/>
      <c r="D15" s="410"/>
      <c r="E15" s="410"/>
      <c r="F15" s="410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09" t="str">
        <f>+VLOOKUP($A16,Master!$D$25:$G$223,4,FALSE)</f>
        <v>Akcize</v>
      </c>
      <c r="C16" s="410"/>
      <c r="D16" s="410"/>
      <c r="E16" s="410"/>
      <c r="F16" s="410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09" t="str">
        <f>+VLOOKUP($A17,Master!$D$25:$G$223,4,FALSE)</f>
        <v>Porez na međunarodnu trgovinu i transakcije</v>
      </c>
      <c r="C17" s="410"/>
      <c r="D17" s="410"/>
      <c r="E17" s="410"/>
      <c r="F17" s="410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09" t="e">
        <f>+VLOOKUP($A18,Master!$D$25:$G$223,4,FALSE)</f>
        <v>#N/A</v>
      </c>
      <c r="C18" s="410"/>
      <c r="D18" s="410"/>
      <c r="E18" s="410"/>
      <c r="F18" s="410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09" t="str">
        <f>+VLOOKUP($A19,Master!$D$25:$G$223,4,FALSE)</f>
        <v>Ostali državni porezi</v>
      </c>
      <c r="C19" s="410"/>
      <c r="D19" s="410"/>
      <c r="E19" s="410"/>
      <c r="F19" s="410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13" t="str">
        <f>+VLOOKUP($A20,Master!$D$25:$G$223,4,FALSE)</f>
        <v>Doprinosi</v>
      </c>
      <c r="C20" s="414"/>
      <c r="D20" s="414"/>
      <c r="E20" s="414"/>
      <c r="F20" s="414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09" t="str">
        <f>+VLOOKUP($A21,Master!$D$25:$G$223,4,FALSE)</f>
        <v>Doprinosi za penzijsko i invalidsko osiguranje</v>
      </c>
      <c r="C21" s="410"/>
      <c r="D21" s="410"/>
      <c r="E21" s="410"/>
      <c r="F21" s="410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09" t="str">
        <f>+VLOOKUP($A22,Master!$D$25:$G$223,4,FALSE)</f>
        <v>Doprinosi za zdravstveno osiguranje</v>
      </c>
      <c r="C22" s="410"/>
      <c r="D22" s="410"/>
      <c r="E22" s="410"/>
      <c r="F22" s="410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09" t="str">
        <f>+VLOOKUP($A23,Master!$D$25:$G$223,4,FALSE)</f>
        <v>Doprinosi za osiguranje od nezaposlenosti</v>
      </c>
      <c r="C23" s="410"/>
      <c r="D23" s="410"/>
      <c r="E23" s="410"/>
      <c r="F23" s="410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09" t="str">
        <f>+VLOOKUP($A24,Master!$D$25:$G$223,4,FALSE)</f>
        <v>Ostali doprinosi</v>
      </c>
      <c r="C24" s="410"/>
      <c r="D24" s="410"/>
      <c r="E24" s="410"/>
      <c r="F24" s="410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11" t="str">
        <f>+VLOOKUP($A25,Master!$D$25:$G$223,4,FALSE)</f>
        <v>Takse</v>
      </c>
      <c r="C25" s="412"/>
      <c r="D25" s="412"/>
      <c r="E25" s="412"/>
      <c r="F25" s="412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11" t="str">
        <f>+VLOOKUP($A26,Master!$D$25:$G$223,4,FALSE)</f>
        <v>Naknade</v>
      </c>
      <c r="C26" s="412"/>
      <c r="D26" s="412"/>
      <c r="E26" s="412"/>
      <c r="F26" s="412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11" t="str">
        <f>+VLOOKUP($A27,Master!$D$25:$G$223,4,FALSE)</f>
        <v>Ostali prihodi</v>
      </c>
      <c r="C27" s="412"/>
      <c r="D27" s="412"/>
      <c r="E27" s="412"/>
      <c r="F27" s="412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11" t="str">
        <f>+VLOOKUP($A28,Master!$D$25:$G$223,4,FALSE)</f>
        <v>Primici od otplate kredita i sredstva prenesena iz prethodne godine</v>
      </c>
      <c r="C28" s="412"/>
      <c r="D28" s="412"/>
      <c r="E28" s="412"/>
      <c r="F28" s="412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15" t="str">
        <f>+VLOOKUP($A29,Master!$D$25:$G$223,4,FALSE)</f>
        <v>Donacije i transferi</v>
      </c>
      <c r="C29" s="416"/>
      <c r="D29" s="416"/>
      <c r="E29" s="416"/>
      <c r="F29" s="416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17" t="str">
        <f>+VLOOKUP($A30,Master!$D$25:$G$223,4,FALSE)</f>
        <v>Budžetki izdaci</v>
      </c>
      <c r="C30" s="418"/>
      <c r="D30" s="418"/>
      <c r="E30" s="418"/>
      <c r="F30" s="418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19" t="str">
        <f>+VLOOKUP($A31,Master!$D$25:$G$223,4,FALSE)</f>
        <v>Tekući izdaci</v>
      </c>
      <c r="C31" s="420"/>
      <c r="D31" s="420"/>
      <c r="E31" s="420"/>
      <c r="F31" s="420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21" t="str">
        <f>+VLOOKUP($A32,Master!$D$25:$G$223,4,FALSE)</f>
        <v>Tekući budžetski izdaci</v>
      </c>
      <c r="C32" s="422"/>
      <c r="D32" s="422"/>
      <c r="E32" s="422"/>
      <c r="F32" s="422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09" t="str">
        <f>+VLOOKUP($A33,Master!$D$25:$G$223,4,FALSE)</f>
        <v>Bruto zarade i doprinosi na teret poslodavca</v>
      </c>
      <c r="C33" s="410"/>
      <c r="D33" s="410"/>
      <c r="E33" s="410"/>
      <c r="F33" s="410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09" t="str">
        <f>+VLOOKUP($A34,Master!$D$25:$G$223,4,FALSE)</f>
        <v>Ostala lična primanja</v>
      </c>
      <c r="C34" s="410"/>
      <c r="D34" s="410"/>
      <c r="E34" s="410"/>
      <c r="F34" s="410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09" t="str">
        <f>+VLOOKUP($A35,Master!$D$25:$G$223,4,FALSE)</f>
        <v>Rashodi za materijal</v>
      </c>
      <c r="C35" s="410"/>
      <c r="D35" s="410"/>
      <c r="E35" s="410"/>
      <c r="F35" s="410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09" t="str">
        <f>+VLOOKUP($A36,Master!$D$25:$G$223,4,FALSE)</f>
        <v>Rashodi za usluge</v>
      </c>
      <c r="C36" s="410"/>
      <c r="D36" s="410"/>
      <c r="E36" s="410"/>
      <c r="F36" s="410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09" t="str">
        <f>+VLOOKUP($A37,Master!$D$25:$G$223,4,FALSE)</f>
        <v>Rashodi za tekuće održavanje</v>
      </c>
      <c r="C37" s="410"/>
      <c r="D37" s="410"/>
      <c r="E37" s="410"/>
      <c r="F37" s="410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09" t="str">
        <f>+VLOOKUP($A38,Master!$D$25:$G$223,4,FALSE)</f>
        <v>Kamate</v>
      </c>
      <c r="C38" s="410"/>
      <c r="D38" s="410"/>
      <c r="E38" s="410"/>
      <c r="F38" s="410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09" t="str">
        <f>+VLOOKUP($A39,Master!$D$25:$G$223,4,FALSE)</f>
        <v>Renta</v>
      </c>
      <c r="C39" s="410"/>
      <c r="D39" s="410"/>
      <c r="E39" s="410"/>
      <c r="F39" s="410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09" t="str">
        <f>+VLOOKUP($A40,Master!$D$25:$G$223,4,FALSE)</f>
        <v>Subvencije</v>
      </c>
      <c r="C40" s="410"/>
      <c r="D40" s="410"/>
      <c r="E40" s="410"/>
      <c r="F40" s="410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09" t="str">
        <f>+VLOOKUP($A41,Master!$D$25:$G$223,4,FALSE)</f>
        <v>Ostali izdaci</v>
      </c>
      <c r="C41" s="410"/>
      <c r="D41" s="410"/>
      <c r="E41" s="410"/>
      <c r="F41" s="410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09" t="str">
        <f>+VLOOKUP($A42,Master!$D$25:$G$223,4,FALSE)</f>
        <v>Kapitalni izdaci u tekućem budžetu</v>
      </c>
      <c r="C42" s="410"/>
      <c r="D42" s="410"/>
      <c r="E42" s="410"/>
      <c r="F42" s="410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25" t="str">
        <f>+VLOOKUP($A43,Master!$D$25:$G$223,4,FALSE)</f>
        <v>Transferi za socijalnu zaštitu</v>
      </c>
      <c r="C43" s="426"/>
      <c r="D43" s="426"/>
      <c r="E43" s="426"/>
      <c r="F43" s="426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09" t="str">
        <f>+VLOOKUP($A44,Master!$D$25:$G$223,4,FALSE)</f>
        <v>Prava iz oblasti socijalne zaštite</v>
      </c>
      <c r="C44" s="410"/>
      <c r="D44" s="410"/>
      <c r="E44" s="410"/>
      <c r="F44" s="410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09" t="str">
        <f>+VLOOKUP($A45,Master!$D$25:$G$223,4,FALSE)</f>
        <v>Sredstva za tehnološke viškove</v>
      </c>
      <c r="C45" s="410"/>
      <c r="D45" s="410"/>
      <c r="E45" s="410"/>
      <c r="F45" s="410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09" t="str">
        <f>+VLOOKUP($A46,Master!$D$25:$G$223,4,FALSE)</f>
        <v>Prava iz oblasti penzijskog i invalidskog osiguranja</v>
      </c>
      <c r="C46" s="410"/>
      <c r="D46" s="410"/>
      <c r="E46" s="410"/>
      <c r="F46" s="410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09" t="str">
        <f>+VLOOKUP($A47,Master!$D$25:$G$223,4,FALSE)</f>
        <v>Ostala prava iz oblasti zdravstvene zaštite</v>
      </c>
      <c r="C47" s="410"/>
      <c r="D47" s="410"/>
      <c r="E47" s="410"/>
      <c r="F47" s="410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09" t="str">
        <f>+VLOOKUP($A48,Master!$D$25:$G$223,4,FALSE)</f>
        <v>Ostala prava iz zdravstvenog osiguranja</v>
      </c>
      <c r="C48" s="410"/>
      <c r="D48" s="410"/>
      <c r="E48" s="410"/>
      <c r="F48" s="410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23" t="str">
        <f>+VLOOKUP($A49,Master!$D$25:$G$223,4,FALSE)</f>
        <v xml:space="preserve">Transferi institucijama, pojedincima, nevladinom i javnom sektoru </v>
      </c>
      <c r="C49" s="424"/>
      <c r="D49" s="424"/>
      <c r="E49" s="424"/>
      <c r="F49" s="424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23" t="str">
        <f>+VLOOKUP($A50,Master!$D$25:$G$223,4,FALSE)</f>
        <v>Kapitalni budžet</v>
      </c>
      <c r="C50" s="424"/>
      <c r="D50" s="424"/>
      <c r="E50" s="424"/>
      <c r="F50" s="424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27" t="str">
        <f>+VLOOKUP($A51,Master!$D$25:$G$223,4,FALSE)</f>
        <v>Pozajmice i krediti</v>
      </c>
      <c r="C51" s="428"/>
      <c r="D51" s="428"/>
      <c r="E51" s="428"/>
      <c r="F51" s="428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27" t="str">
        <f>+VLOOKUP($A52,Master!$D$25:$G$223,4,FALSE)</f>
        <v>Rezerve</v>
      </c>
      <c r="C52" s="428"/>
      <c r="D52" s="428"/>
      <c r="E52" s="428"/>
      <c r="F52" s="428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29" t="str">
        <f>+VLOOKUP($A53,Master!$D$25:$G$223,4,FALSE)</f>
        <v>Otplata garancija</v>
      </c>
      <c r="C53" s="430"/>
      <c r="D53" s="430"/>
      <c r="E53" s="430"/>
      <c r="F53" s="430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29" t="str">
        <f>+VLOOKUP($A54,Master!$D$25:$G$223,4,FALSE)</f>
        <v>Otplata obaveza iz prethodnih godina</v>
      </c>
      <c r="C54" s="430"/>
      <c r="D54" s="430"/>
      <c r="E54" s="430"/>
      <c r="F54" s="430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29" t="str">
        <f>+VLOOKUP($A55,Master!$D$25:$G$225,4,FALSE)</f>
        <v>Neto povećanje obaveza</v>
      </c>
      <c r="C55" s="430"/>
      <c r="D55" s="430"/>
      <c r="E55" s="430"/>
      <c r="F55" s="430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31" t="str">
        <f>+VLOOKUP($A56,Master!$D$25:$G$223,4,FALSE)</f>
        <v>Suficit / deficit</v>
      </c>
      <c r="C56" s="432"/>
      <c r="D56" s="432"/>
      <c r="E56" s="432"/>
      <c r="F56" s="432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33" t="str">
        <f>+VLOOKUP($A57,Master!$D$25:$G$223,4,FALSE)</f>
        <v>Primarni bilans</v>
      </c>
      <c r="C57" s="434"/>
      <c r="D57" s="434"/>
      <c r="E57" s="434"/>
      <c r="F57" s="434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25" t="str">
        <f>+VLOOKUP($A58,Master!$D$25:$G$223,4,FALSE)</f>
        <v>Otplata dugova</v>
      </c>
      <c r="C58" s="426"/>
      <c r="D58" s="426"/>
      <c r="E58" s="426"/>
      <c r="F58" s="426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51" t="str">
        <f>+VLOOKUP($A59,Master!$D$25:$G$223,4,FALSE)</f>
        <v>Otplata hartija od vrijednosti i kredita rezidentima</v>
      </c>
      <c r="C59" s="452"/>
      <c r="D59" s="452"/>
      <c r="E59" s="452"/>
      <c r="F59" s="452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27" t="str">
        <f>+VLOOKUP($A60,Master!$D$25:$G$223,4,FALSE)</f>
        <v>Otplata hartija od vrijednosti i kredita nerezidentima</v>
      </c>
      <c r="C60" s="428"/>
      <c r="D60" s="428"/>
      <c r="E60" s="428"/>
      <c r="F60" s="428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700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53" t="str">
        <f>+VLOOKUP($A62,Master!$D$25:$G$223,4,FALSE)</f>
        <v>Nedostajuća sredstva</v>
      </c>
      <c r="C62" s="454"/>
      <c r="D62" s="454"/>
      <c r="E62" s="454"/>
      <c r="F62" s="454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17" t="str">
        <f>+VLOOKUP($A63,Master!$D$25:$G$223,4,FALSE)</f>
        <v>Finansiranje</v>
      </c>
      <c r="C63" s="418"/>
      <c r="D63" s="418"/>
      <c r="E63" s="418"/>
      <c r="F63" s="418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51" t="str">
        <f>+VLOOKUP($A64,Master!$D$25:$G$223,4,FALSE)</f>
        <v>Pozajmice i krediti od domaćih izvora</v>
      </c>
      <c r="C64" s="452"/>
      <c r="D64" s="452"/>
      <c r="E64" s="452"/>
      <c r="F64" s="452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27" t="str">
        <f>+VLOOKUP($A65,Master!$D$25:$G$223,4,FALSE)</f>
        <v>Pozajmice i krediti od inostranih izvora</v>
      </c>
      <c r="C65" s="428"/>
      <c r="D65" s="428"/>
      <c r="E65" s="428"/>
      <c r="F65" s="428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27" t="str">
        <f>+VLOOKUP($A66,Master!$D$25:$G$223,4,FALSE)</f>
        <v>Primici od prodaje imovine</v>
      </c>
      <c r="C66" s="428"/>
      <c r="D66" s="428"/>
      <c r="E66" s="428"/>
      <c r="F66" s="428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6"/>
  <sheetViews>
    <sheetView zoomScaleNormal="100" workbookViewId="0">
      <pane xSplit="5" ySplit="7" topLeftCell="EH8" activePane="bottomRight" state="frozen"/>
      <selection pane="topRight" activeCell="F1" sqref="F1"/>
      <selection pane="bottomLeft" activeCell="A8" sqref="A8"/>
      <selection pane="bottomRight" activeCell="EK56" sqref="EK56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customWidth="1"/>
    <col min="139" max="149" width="13.7109375" style="41" customWidth="1"/>
    <col min="150" max="150" width="13.85546875" style="41" bestFit="1" customWidth="1"/>
    <col min="151" max="151" width="10" style="41" bestFit="1" customWidth="1"/>
    <col min="152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08" t="s">
        <v>570</v>
      </c>
      <c r="F6" s="506">
        <v>2006</v>
      </c>
      <c r="G6" s="505"/>
      <c r="H6" s="505"/>
      <c r="I6" s="505"/>
      <c r="J6" s="505"/>
      <c r="K6" s="505"/>
      <c r="L6" s="505"/>
      <c r="M6" s="505"/>
      <c r="N6" s="505"/>
      <c r="O6" s="505"/>
      <c r="P6" s="505"/>
      <c r="Q6" s="507"/>
      <c r="R6" s="506">
        <v>2007</v>
      </c>
      <c r="S6" s="505"/>
      <c r="T6" s="505"/>
      <c r="U6" s="505"/>
      <c r="V6" s="505"/>
      <c r="W6" s="505"/>
      <c r="X6" s="505"/>
      <c r="Y6" s="505"/>
      <c r="Z6" s="505"/>
      <c r="AA6" s="505"/>
      <c r="AB6" s="505"/>
      <c r="AC6" s="507"/>
      <c r="AD6" s="506">
        <v>2008</v>
      </c>
      <c r="AE6" s="505"/>
      <c r="AF6" s="505"/>
      <c r="AG6" s="505"/>
      <c r="AH6" s="505"/>
      <c r="AI6" s="505"/>
      <c r="AJ6" s="505"/>
      <c r="AK6" s="505"/>
      <c r="AL6" s="505"/>
      <c r="AM6" s="505"/>
      <c r="AN6" s="505"/>
      <c r="AO6" s="507"/>
      <c r="AP6" s="506">
        <v>2009</v>
      </c>
      <c r="AQ6" s="505"/>
      <c r="AR6" s="505"/>
      <c r="AS6" s="505"/>
      <c r="AT6" s="505"/>
      <c r="AU6" s="505"/>
      <c r="AV6" s="505"/>
      <c r="AW6" s="505"/>
      <c r="AX6" s="505"/>
      <c r="AY6" s="505"/>
      <c r="AZ6" s="505"/>
      <c r="BA6" s="507"/>
      <c r="BB6" s="506">
        <v>2010</v>
      </c>
      <c r="BC6" s="505"/>
      <c r="BD6" s="505"/>
      <c r="BE6" s="505"/>
      <c r="BF6" s="505"/>
      <c r="BG6" s="505"/>
      <c r="BH6" s="505"/>
      <c r="BI6" s="505"/>
      <c r="BJ6" s="505"/>
      <c r="BK6" s="505"/>
      <c r="BL6" s="505"/>
      <c r="BM6" s="507"/>
      <c r="BN6" s="506">
        <v>2011</v>
      </c>
      <c r="BO6" s="505"/>
      <c r="BP6" s="505"/>
      <c r="BQ6" s="505"/>
      <c r="BR6" s="505"/>
      <c r="BS6" s="505"/>
      <c r="BT6" s="505"/>
      <c r="BU6" s="505"/>
      <c r="BV6" s="505"/>
      <c r="BW6" s="505"/>
      <c r="BX6" s="505"/>
      <c r="BY6" s="507"/>
      <c r="BZ6" s="505">
        <v>2012</v>
      </c>
      <c r="CA6" s="505"/>
      <c r="CB6" s="505"/>
      <c r="CC6" s="505"/>
      <c r="CD6" s="505"/>
      <c r="CE6" s="505"/>
      <c r="CF6" s="505"/>
      <c r="CG6" s="505"/>
      <c r="CH6" s="505"/>
      <c r="CI6" s="505"/>
      <c r="CJ6" s="505"/>
      <c r="CK6" s="505"/>
      <c r="CL6" s="506">
        <v>2013</v>
      </c>
      <c r="CM6" s="505"/>
      <c r="CN6" s="505"/>
      <c r="CO6" s="505"/>
      <c r="CP6" s="505"/>
      <c r="CQ6" s="505"/>
      <c r="CR6" s="505"/>
      <c r="CS6" s="505"/>
      <c r="CT6" s="505"/>
      <c r="CU6" s="505"/>
      <c r="CV6" s="505"/>
      <c r="CW6" s="507"/>
      <c r="CX6" s="506">
        <v>2014</v>
      </c>
      <c r="CY6" s="505"/>
      <c r="CZ6" s="505"/>
      <c r="DA6" s="505"/>
      <c r="DB6" s="505"/>
      <c r="DC6" s="505"/>
      <c r="DD6" s="505"/>
      <c r="DE6" s="505"/>
      <c r="DF6" s="505"/>
      <c r="DG6" s="505"/>
      <c r="DH6" s="505"/>
      <c r="DI6" s="507"/>
      <c r="DJ6" s="506">
        <v>2015</v>
      </c>
      <c r="DK6" s="505"/>
      <c r="DL6" s="505"/>
      <c r="DM6" s="505"/>
      <c r="DN6" s="505"/>
      <c r="DO6" s="505"/>
      <c r="DP6" s="505"/>
      <c r="DQ6" s="505"/>
      <c r="DR6" s="505"/>
      <c r="DS6" s="505"/>
      <c r="DT6" s="505"/>
      <c r="DU6" s="507"/>
    </row>
    <row r="7" spans="1:321">
      <c r="E7" s="508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710</v>
      </c>
      <c r="DW7" s="42" t="s">
        <v>711</v>
      </c>
      <c r="DX7" s="42" t="s">
        <v>712</v>
      </c>
      <c r="DY7" s="42" t="s">
        <v>713</v>
      </c>
      <c r="DZ7" s="42" t="s">
        <v>714</v>
      </c>
      <c r="EA7" s="42" t="s">
        <v>715</v>
      </c>
      <c r="EB7" s="42" t="s">
        <v>716</v>
      </c>
      <c r="EC7" s="42" t="s">
        <v>717</v>
      </c>
      <c r="ED7" s="42" t="s">
        <v>718</v>
      </c>
      <c r="EE7" s="42" t="s">
        <v>719</v>
      </c>
      <c r="EF7" s="42" t="s">
        <v>720</v>
      </c>
      <c r="EG7" s="42" t="s">
        <v>721</v>
      </c>
      <c r="EH7" s="42" t="s">
        <v>744</v>
      </c>
      <c r="EI7" s="42" t="s">
        <v>745</v>
      </c>
      <c r="EJ7" s="42" t="s">
        <v>746</v>
      </c>
      <c r="EK7" s="42" t="s">
        <v>747</v>
      </c>
      <c r="EL7" s="42" t="s">
        <v>748</v>
      </c>
      <c r="EM7" s="42" t="s">
        <v>749</v>
      </c>
      <c r="EN7" s="42" t="s">
        <v>750</v>
      </c>
      <c r="EO7" s="42" t="s">
        <v>751</v>
      </c>
      <c r="EP7" s="42" t="s">
        <v>752</v>
      </c>
      <c r="EQ7" s="42" t="s">
        <v>753</v>
      </c>
      <c r="ER7" s="42" t="s">
        <v>754</v>
      </c>
      <c r="ES7" s="42" t="s">
        <v>755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f>EH9+EH41+EH50</f>
        <v>74006446.679999977</v>
      </c>
      <c r="EI8" s="377">
        <f>EI9+EI41+EI50</f>
        <v>111905557.74000001</v>
      </c>
      <c r="EJ8" s="377"/>
      <c r="EK8" s="377"/>
      <c r="EL8" s="377"/>
      <c r="EM8" s="377"/>
      <c r="EN8" s="377"/>
      <c r="EO8" s="377"/>
      <c r="EP8" s="377"/>
      <c r="EQ8" s="377"/>
      <c r="ER8" s="377"/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f>EH10+EH18+EH23+EH28+EH35+EH44+EH47</f>
        <v>73650344.109999985</v>
      </c>
      <c r="EI9" s="377">
        <f>EI10+EI18+EI23+EI28+EI35+EI44+EI47</f>
        <v>88762737.360000014</v>
      </c>
      <c r="EJ9" s="377"/>
      <c r="EK9" s="377"/>
      <c r="EL9" s="377"/>
      <c r="EM9" s="377"/>
      <c r="EN9" s="377"/>
      <c r="EO9" s="377"/>
      <c r="EP9" s="377"/>
      <c r="EQ9" s="377"/>
      <c r="ER9" s="377"/>
      <c r="ES9" s="377"/>
      <c r="ET9" s="377"/>
      <c r="EU9" s="377"/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f>SUM(EH11:EH17)</f>
        <v>53512170.450000003</v>
      </c>
      <c r="EI10" s="379">
        <f>SUM(EI11:EI17)</f>
        <v>50615120.200000003</v>
      </c>
      <c r="EJ10" s="379"/>
      <c r="EK10" s="379"/>
      <c r="EL10" s="379"/>
      <c r="EM10" s="379"/>
      <c r="EN10" s="379"/>
      <c r="EO10" s="379"/>
      <c r="EP10" s="379"/>
      <c r="EQ10" s="379"/>
      <c r="ER10" s="379"/>
      <c r="ES10" s="379"/>
      <c r="ET10" s="379"/>
      <c r="EU10" s="379"/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/>
      <c r="EK11" s="377"/>
      <c r="EL11" s="377"/>
      <c r="EM11" s="377"/>
      <c r="EN11" s="377"/>
      <c r="EO11" s="377"/>
      <c r="EP11" s="377"/>
      <c r="EQ11" s="377"/>
      <c r="ER11" s="377"/>
      <c r="ES11" s="377"/>
      <c r="ET11" s="377"/>
      <c r="EU11" s="377"/>
      <c r="EV11" s="377"/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/>
      <c r="EK12" s="377"/>
      <c r="EL12" s="377"/>
      <c r="EM12" s="377"/>
      <c r="EN12" s="377"/>
      <c r="EO12" s="377"/>
      <c r="EP12" s="377"/>
      <c r="EQ12" s="377"/>
      <c r="ER12" s="377"/>
      <c r="ES12" s="377"/>
      <c r="ET12" s="377"/>
      <c r="EU12" s="377"/>
      <c r="EV12" s="377"/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/>
      <c r="EK13" s="377"/>
      <c r="EL13" s="377"/>
      <c r="EM13" s="377"/>
      <c r="EN13" s="377"/>
      <c r="EO13" s="377"/>
      <c r="EP13" s="377"/>
      <c r="EQ13" s="377"/>
      <c r="ER13" s="377"/>
      <c r="ES13" s="377"/>
      <c r="ET13" s="377"/>
      <c r="EU13" s="377"/>
      <c r="EV13" s="377"/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/>
      <c r="EK14" s="377"/>
      <c r="EL14" s="377"/>
      <c r="EM14" s="377"/>
      <c r="EN14" s="377"/>
      <c r="EO14" s="377"/>
      <c r="EP14" s="377"/>
      <c r="EQ14" s="377"/>
      <c r="ER14" s="377"/>
      <c r="ES14" s="377"/>
      <c r="ET14" s="377"/>
      <c r="EU14" s="377"/>
      <c r="EV14" s="377"/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/>
      <c r="EK15" s="377"/>
      <c r="EL15" s="377"/>
      <c r="EM15" s="377"/>
      <c r="EN15" s="377"/>
      <c r="EO15" s="377"/>
      <c r="EP15" s="377"/>
      <c r="EQ15" s="377"/>
      <c r="ER15" s="377"/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/>
      <c r="EK16" s="377"/>
      <c r="EL16" s="377"/>
      <c r="EM16" s="377"/>
      <c r="EN16" s="377"/>
      <c r="EO16" s="377"/>
      <c r="EP16" s="377"/>
      <c r="EQ16" s="377"/>
      <c r="ER16" s="377"/>
      <c r="ES16" s="377"/>
      <c r="ET16" s="377"/>
      <c r="EU16" s="377"/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/>
      <c r="EK17" s="377"/>
      <c r="EL17" s="377"/>
      <c r="EM17" s="377"/>
      <c r="EN17" s="377"/>
      <c r="EO17" s="377"/>
      <c r="EP17" s="377"/>
      <c r="EQ17" s="377"/>
      <c r="ER17" s="377"/>
      <c r="ES17" s="377"/>
      <c r="ET17" s="377"/>
      <c r="EU17" s="377"/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f>SUM(EH19:EH22)</f>
        <v>15942566.910000002</v>
      </c>
      <c r="EI18" s="379">
        <f>SUM(EI19:EI22)</f>
        <v>32105522.039999999</v>
      </c>
      <c r="EJ18" s="379"/>
      <c r="EK18" s="379"/>
      <c r="EL18" s="379"/>
      <c r="EM18" s="379"/>
      <c r="EN18" s="379"/>
      <c r="EO18" s="379"/>
      <c r="EP18" s="379"/>
      <c r="EQ18" s="379"/>
      <c r="ER18" s="379"/>
      <c r="ES18" s="379"/>
      <c r="ET18" s="379"/>
      <c r="EU18" s="379"/>
      <c r="EV18" s="379"/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/>
      <c r="EK19" s="377"/>
      <c r="EL19" s="377"/>
      <c r="EM19" s="377"/>
      <c r="EN19" s="377"/>
      <c r="EO19" s="377"/>
      <c r="EP19" s="377"/>
      <c r="EQ19" s="377"/>
      <c r="ER19" s="377"/>
      <c r="ES19" s="377"/>
      <c r="ET19" s="377"/>
      <c r="EU19" s="377"/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/>
      <c r="EK20" s="377"/>
      <c r="EL20" s="377"/>
      <c r="EM20" s="377"/>
      <c r="EN20" s="377"/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/>
      <c r="EK21" s="377"/>
      <c r="EL21" s="377"/>
      <c r="EM21" s="377"/>
      <c r="EN21" s="377"/>
      <c r="EO21" s="377"/>
      <c r="EP21" s="377"/>
      <c r="EQ21" s="377"/>
      <c r="ER21" s="377"/>
      <c r="ES21" s="377"/>
      <c r="ET21" s="377"/>
      <c r="EU21" s="377"/>
      <c r="EV21" s="377"/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/>
      <c r="EK22" s="377"/>
      <c r="EL22" s="377"/>
      <c r="EM22" s="377"/>
      <c r="EN22" s="377"/>
      <c r="EO22" s="377"/>
      <c r="EP22" s="377"/>
      <c r="EQ22" s="377"/>
      <c r="ER22" s="377"/>
      <c r="ES22" s="377"/>
      <c r="ET22" s="377"/>
      <c r="EU22" s="377"/>
      <c r="EV22" s="377"/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550918.32999999996</v>
      </c>
      <c r="EI23" s="379">
        <v>772214.17</v>
      </c>
      <c r="EJ23" s="379"/>
      <c r="EK23" s="379"/>
      <c r="EL23" s="379"/>
      <c r="EM23" s="379"/>
      <c r="EN23" s="379"/>
      <c r="EO23" s="379"/>
      <c r="EP23" s="379"/>
      <c r="EQ23" s="379"/>
      <c r="ER23" s="379"/>
      <c r="ES23" s="379"/>
      <c r="ET23" s="379"/>
      <c r="EU23" s="379"/>
      <c r="EV23" s="379"/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/>
      <c r="EK24" s="377"/>
      <c r="EL24" s="377"/>
      <c r="EM24" s="377"/>
      <c r="EN24" s="377"/>
      <c r="EO24" s="377"/>
      <c r="EP24" s="377"/>
      <c r="EQ24" s="377"/>
      <c r="ER24" s="377"/>
      <c r="ES24" s="377"/>
      <c r="ET24" s="377"/>
      <c r="EU24" s="377"/>
      <c r="EV24" s="377"/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/>
      <c r="EK25" s="377"/>
      <c r="EL25" s="377"/>
      <c r="EM25" s="377"/>
      <c r="EN25" s="377"/>
      <c r="EO25" s="377"/>
      <c r="EP25" s="377"/>
      <c r="EQ25" s="377"/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/>
      <c r="EK26" s="377"/>
      <c r="EL26" s="377"/>
      <c r="EM26" s="377"/>
      <c r="EN26" s="377"/>
      <c r="EO26" s="377"/>
      <c r="EP26" s="377"/>
      <c r="EQ26" s="377"/>
      <c r="ER26" s="377"/>
      <c r="ES26" s="377"/>
      <c r="ET26" s="377"/>
      <c r="EU26" s="377"/>
      <c r="EV26" s="377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/>
      <c r="EK27" s="377"/>
      <c r="EL27" s="377"/>
      <c r="EM27" s="377"/>
      <c r="EN27" s="377"/>
      <c r="EO27" s="377"/>
      <c r="EP27" s="377"/>
      <c r="EQ27" s="377"/>
      <c r="ER27" s="377"/>
      <c r="ES27" s="377"/>
      <c r="ET27" s="377"/>
      <c r="EU27" s="377"/>
      <c r="EV27" s="377"/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1287615.1399999999</v>
      </c>
      <c r="EJ28" s="379"/>
      <c r="EK28" s="379"/>
      <c r="EL28" s="379"/>
      <c r="EM28" s="379"/>
      <c r="EN28" s="379"/>
      <c r="EO28" s="379"/>
      <c r="EP28" s="379"/>
      <c r="EQ28" s="379"/>
      <c r="ER28" s="379"/>
      <c r="ES28" s="379"/>
      <c r="ET28" s="379"/>
      <c r="EU28" s="379"/>
      <c r="EV28" s="379"/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/>
      <c r="EK29" s="377"/>
      <c r="EL29" s="377"/>
      <c r="EM29" s="377"/>
      <c r="EN29" s="377"/>
      <c r="EO29" s="377"/>
      <c r="EP29" s="377"/>
      <c r="EQ29" s="377"/>
      <c r="ER29" s="377"/>
      <c r="ES29" s="377"/>
      <c r="ET29" s="377"/>
      <c r="EU29" s="377"/>
      <c r="EV29" s="377"/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/>
      <c r="EK30" s="377"/>
      <c r="EL30" s="377"/>
      <c r="EM30" s="377"/>
      <c r="EN30" s="377"/>
      <c r="EO30" s="377"/>
      <c r="EP30" s="377"/>
      <c r="EQ30" s="377"/>
      <c r="ER30" s="377"/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/>
      <c r="EK31" s="377"/>
      <c r="EL31" s="377"/>
      <c r="EM31" s="377"/>
      <c r="EN31" s="377"/>
      <c r="EO31" s="377"/>
      <c r="EP31" s="377"/>
      <c r="EQ31" s="377"/>
      <c r="ER31" s="377"/>
      <c r="ES31" s="377"/>
      <c r="ET31" s="377"/>
      <c r="EU31" s="377"/>
      <c r="EV31" s="377"/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/>
      <c r="EK32" s="377"/>
      <c r="EL32" s="377"/>
      <c r="EM32" s="377"/>
      <c r="EN32" s="377"/>
      <c r="EO32" s="377"/>
      <c r="EP32" s="377"/>
      <c r="EQ32" s="377"/>
      <c r="ER32" s="377"/>
      <c r="ES32" s="377"/>
      <c r="ET32" s="377"/>
      <c r="EU32" s="377"/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/>
      <c r="EK33" s="377"/>
      <c r="EL33" s="377"/>
      <c r="EM33" s="377"/>
      <c r="EN33" s="377"/>
      <c r="EO33" s="377"/>
      <c r="EP33" s="377"/>
      <c r="EQ33" s="377"/>
      <c r="ER33" s="377"/>
      <c r="ES33" s="377"/>
      <c r="ET33" s="377"/>
      <c r="EU33" s="377"/>
      <c r="EV33" s="377"/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/>
      <c r="EK34" s="377"/>
      <c r="EL34" s="377"/>
      <c r="EM34" s="377"/>
      <c r="EN34" s="377"/>
      <c r="EO34" s="377"/>
      <c r="EP34" s="377"/>
      <c r="EQ34" s="377"/>
      <c r="ER34" s="377"/>
      <c r="ES34" s="377"/>
      <c r="ET34" s="377"/>
      <c r="EU34" s="377"/>
      <c r="EV34" s="377"/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1549592.16</v>
      </c>
      <c r="EI35" s="379">
        <v>2362532.17</v>
      </c>
      <c r="EJ35" s="379"/>
      <c r="EK35" s="379"/>
      <c r="EL35" s="379"/>
      <c r="EM35" s="379"/>
      <c r="EN35" s="379"/>
      <c r="EO35" s="379"/>
      <c r="EP35" s="379"/>
      <c r="EQ35" s="379"/>
      <c r="ER35" s="379"/>
      <c r="ES35" s="379"/>
      <c r="ET35" s="379"/>
      <c r="EU35" s="379"/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/>
      <c r="EK36" s="377"/>
      <c r="EL36" s="377"/>
      <c r="EM36" s="377"/>
      <c r="EN36" s="377"/>
      <c r="EO36" s="377"/>
      <c r="EP36" s="377"/>
      <c r="EQ36" s="377"/>
      <c r="ER36" s="377"/>
      <c r="ES36" s="377"/>
      <c r="ET36" s="377"/>
      <c r="EU36" s="377"/>
      <c r="EV36" s="377"/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/>
      <c r="EK37" s="377"/>
      <c r="EL37" s="377"/>
      <c r="EM37" s="377"/>
      <c r="EN37" s="377"/>
      <c r="EO37" s="377"/>
      <c r="EP37" s="377"/>
      <c r="EQ37" s="377"/>
      <c r="ER37" s="377"/>
      <c r="ES37" s="377"/>
      <c r="ET37" s="377"/>
      <c r="EU37" s="377"/>
      <c r="EV37" s="377"/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/>
      <c r="EK38" s="377"/>
      <c r="EL38" s="377"/>
      <c r="EM38" s="377"/>
      <c r="EN38" s="377"/>
      <c r="EO38" s="377"/>
      <c r="EP38" s="377"/>
      <c r="EQ38" s="377"/>
      <c r="ER38" s="377"/>
      <c r="ES38" s="377"/>
      <c r="ET38" s="377"/>
      <c r="EU38" s="377"/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/>
      <c r="EJ39" s="377"/>
      <c r="EK39" s="377"/>
      <c r="EL39" s="377"/>
      <c r="EM39" s="377"/>
      <c r="EN39" s="377"/>
      <c r="EO39" s="377"/>
      <c r="EP39" s="377"/>
      <c r="EQ39" s="377"/>
      <c r="ER39" s="377"/>
      <c r="ES39" s="377"/>
      <c r="ET39" s="377"/>
      <c r="EU39" s="377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/>
      <c r="EI40" s="377">
        <v>1312808.81</v>
      </c>
      <c r="EJ40" s="377"/>
      <c r="EK40" s="377"/>
      <c r="EL40" s="377"/>
      <c r="EM40" s="377"/>
      <c r="EN40" s="377"/>
      <c r="EO40" s="377"/>
      <c r="EP40" s="377"/>
      <c r="EQ40" s="377"/>
      <c r="ER40" s="377"/>
      <c r="ES40" s="377"/>
      <c r="ET40" s="377"/>
      <c r="EU40" s="377"/>
      <c r="EV40" s="377"/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>
        <v>20867.330000000002</v>
      </c>
      <c r="EI41" s="379">
        <v>70916.160000000003</v>
      </c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379"/>
      <c r="EU41" s="379"/>
      <c r="EV41" s="379"/>
      <c r="EW41" s="379"/>
      <c r="EX41" s="379"/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/>
      <c r="EI43" s="377"/>
      <c r="EJ43" s="377"/>
      <c r="EK43" s="377"/>
      <c r="EL43" s="377"/>
      <c r="EM43" s="377"/>
      <c r="EN43" s="377"/>
      <c r="EO43" s="377"/>
      <c r="EP43" s="377"/>
      <c r="EQ43" s="377"/>
      <c r="ER43" s="377"/>
      <c r="ES43" s="377"/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>
        <v>150350.67000000001</v>
      </c>
      <c r="EI44" s="379">
        <v>500193.46</v>
      </c>
      <c r="EJ44" s="379"/>
      <c r="EK44" s="379"/>
      <c r="EL44" s="379"/>
      <c r="EM44" s="379"/>
      <c r="EN44" s="379"/>
      <c r="EO44" s="379"/>
      <c r="EP44" s="379"/>
      <c r="EQ44" s="379"/>
      <c r="ER44" s="379"/>
      <c r="ES44" s="379"/>
      <c r="ET44" s="379"/>
      <c r="EU44" s="379"/>
      <c r="EV44" s="379"/>
      <c r="EW44" s="379"/>
      <c r="EX44" s="379"/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/>
      <c r="EI46" s="377"/>
      <c r="EJ46" s="377"/>
      <c r="EK46" s="377"/>
      <c r="EL46" s="377"/>
      <c r="EM46" s="377"/>
      <c r="EN46" s="377"/>
      <c r="EO46" s="377"/>
      <c r="EP46" s="377"/>
      <c r="EQ46" s="377"/>
      <c r="ER46" s="377"/>
      <c r="ES46" s="377"/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>
        <v>198902.46</v>
      </c>
      <c r="EI47" s="379">
        <v>1119540.18</v>
      </c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379"/>
      <c r="EU47" s="379"/>
      <c r="EV47" s="379"/>
      <c r="EW47" s="379"/>
      <c r="EX47" s="379"/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/>
      <c r="EI49" s="377"/>
      <c r="EJ49" s="377"/>
      <c r="EK49" s="377"/>
      <c r="EL49" s="377"/>
      <c r="EM49" s="377"/>
      <c r="EN49" s="377"/>
      <c r="EO49" s="377"/>
      <c r="EP49" s="377"/>
      <c r="EQ49" s="377"/>
      <c r="ER49" s="377"/>
      <c r="ES49" s="377"/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>
        <v>335235.24</v>
      </c>
      <c r="EI50" s="379">
        <v>23071904.219999999</v>
      </c>
      <c r="EJ50" s="379"/>
      <c r="EK50" s="379"/>
      <c r="EL50" s="379"/>
      <c r="EM50" s="379"/>
      <c r="EN50" s="379"/>
      <c r="EO50" s="379"/>
      <c r="EP50" s="379"/>
      <c r="EQ50" s="379"/>
      <c r="ER50" s="379"/>
      <c r="ES50" s="379"/>
      <c r="ET50" s="379"/>
      <c r="EU50" s="379"/>
      <c r="EV50" s="379"/>
      <c r="EW50" s="379"/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/>
      <c r="EI51" s="377">
        <v>23071904.219999999</v>
      </c>
      <c r="EJ51" s="377"/>
      <c r="EK51" s="377"/>
      <c r="EL51" s="377"/>
      <c r="EM51" s="377"/>
      <c r="EN51" s="377"/>
      <c r="EO51" s="377"/>
      <c r="EP51" s="377"/>
      <c r="EQ51" s="377"/>
      <c r="ER51" s="377"/>
      <c r="ES51" s="377"/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300681.11</v>
      </c>
      <c r="EI52" s="377">
        <v>22749318.890000001</v>
      </c>
      <c r="EJ52" s="377"/>
      <c r="EK52" s="377"/>
      <c r="EL52" s="377"/>
      <c r="EM52" s="377"/>
      <c r="EN52" s="377"/>
      <c r="EO52" s="377"/>
      <c r="EP52" s="377"/>
      <c r="EQ52" s="377"/>
      <c r="ER52" s="377"/>
      <c r="ES52" s="377"/>
      <c r="ET52" s="377"/>
      <c r="EU52" s="377"/>
      <c r="EV52" s="377"/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>
        <v>34554.129999999997</v>
      </c>
      <c r="EI53" s="377">
        <v>322585.33</v>
      </c>
      <c r="EK53" s="377"/>
      <c r="EL53" s="377"/>
      <c r="EM53" s="377"/>
      <c r="EN53" s="377"/>
      <c r="EO53" s="377"/>
      <c r="EP53" s="377"/>
      <c r="EQ53" s="377"/>
      <c r="ER53" s="377"/>
      <c r="ES53" s="377"/>
      <c r="ET53" s="377"/>
      <c r="EU53" s="377"/>
      <c r="EV53" s="377"/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/>
      <c r="ER54" s="377"/>
      <c r="ES54" s="377"/>
      <c r="ET54" s="377"/>
      <c r="EU54" s="377"/>
      <c r="EV54" s="377"/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H55" s="377"/>
      <c r="EI55" s="377"/>
      <c r="EJ55" s="377"/>
      <c r="EK55" s="377"/>
      <c r="EL55" s="377"/>
      <c r="EM55" s="377"/>
      <c r="EN55" s="377"/>
      <c r="EO55" s="377"/>
      <c r="EP55" s="377"/>
      <c r="EQ55" s="377"/>
      <c r="ER55" s="377"/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>
        <v>36273856.270000003</v>
      </c>
      <c r="EI56" s="377">
        <v>36442747.460000001</v>
      </c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377"/>
      <c r="EU56" s="377"/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377"/>
      <c r="EV57" s="377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377"/>
      <c r="EV58" s="377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377"/>
      <c r="EV59" s="377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H61" s="377"/>
      <c r="EI61" s="377"/>
      <c r="EJ61" s="377"/>
      <c r="EK61" s="377"/>
      <c r="EL61" s="377"/>
      <c r="EM61" s="377"/>
      <c r="EN61" s="377"/>
      <c r="EO61" s="377"/>
      <c r="EP61" s="377"/>
      <c r="EQ61" s="377"/>
      <c r="ER61" s="377"/>
      <c r="ES61" s="377"/>
      <c r="ET61" s="377"/>
      <c r="EU61" s="377"/>
      <c r="EV61" s="377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>
        <v>70065.570000000007</v>
      </c>
      <c r="EI62" s="377">
        <v>920424.11</v>
      </c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377"/>
      <c r="EU62" s="377"/>
      <c r="EV62" s="377"/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377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377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377"/>
      <c r="EV66" s="377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377"/>
      <c r="EV67" s="377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377"/>
      <c r="EV68" s="377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H69" s="377"/>
      <c r="EI69" s="377"/>
      <c r="EJ69" s="377"/>
      <c r="EK69" s="377"/>
      <c r="EL69" s="377"/>
      <c r="EM69" s="377"/>
      <c r="EN69" s="377"/>
      <c r="EO69" s="377"/>
      <c r="EP69" s="377"/>
      <c r="EQ69" s="377"/>
      <c r="ER69" s="377"/>
      <c r="ES69" s="377"/>
      <c r="ET69" s="377"/>
      <c r="EU69" s="377"/>
      <c r="EV69" s="377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>
        <v>963799.19</v>
      </c>
      <c r="EI70" s="377">
        <v>2109344.7799999998</v>
      </c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377"/>
      <c r="EV71" s="377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377"/>
      <c r="EV72" s="377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377"/>
      <c r="EV73" s="377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377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H76" s="377"/>
      <c r="EI76" s="377"/>
      <c r="EJ76" s="377"/>
      <c r="EK76" s="377"/>
      <c r="EL76" s="377"/>
      <c r="EM76" s="377"/>
      <c r="EN76" s="377"/>
      <c r="EO76" s="377"/>
      <c r="EP76" s="377"/>
      <c r="EQ76" s="377"/>
      <c r="ER76" s="377"/>
      <c r="ES76" s="377"/>
      <c r="ET76" s="377"/>
      <c r="EU76" s="377"/>
      <c r="EV76" s="377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>
        <v>1449826.12</v>
      </c>
      <c r="EI77" s="377">
        <v>3315172.03</v>
      </c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377"/>
      <c r="EU77" s="377"/>
      <c r="EV77" s="377"/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377"/>
      <c r="EV78" s="377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377"/>
      <c r="EV79" s="377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377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377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377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377"/>
      <c r="EV84" s="377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H86" s="377"/>
      <c r="EI86" s="377"/>
      <c r="EJ86" s="377"/>
      <c r="EK86" s="377"/>
      <c r="EL86" s="377"/>
      <c r="EM86" s="377"/>
      <c r="EN86" s="377"/>
      <c r="EO86" s="377"/>
      <c r="EP86" s="377"/>
      <c r="EQ86" s="377"/>
      <c r="ER86" s="377"/>
      <c r="ES86" s="377"/>
      <c r="ET86" s="377"/>
      <c r="EU86" s="377"/>
      <c r="EV86" s="377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>
        <v>133702.59</v>
      </c>
      <c r="EI87" s="377">
        <v>831406.02</v>
      </c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377"/>
      <c r="EU87" s="377"/>
      <c r="EV87" s="377"/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377"/>
      <c r="EV88" s="377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377"/>
      <c r="EV89" s="377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H90" s="377"/>
      <c r="EI90" s="377"/>
      <c r="EJ90" s="377"/>
      <c r="EK90" s="377"/>
      <c r="EL90" s="377"/>
      <c r="EM90" s="377"/>
      <c r="EN90" s="377"/>
      <c r="EO90" s="377"/>
      <c r="EP90" s="377"/>
      <c r="EQ90" s="377"/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>
        <v>3233271.99</v>
      </c>
      <c r="EI91" s="377">
        <v>1109355.6299999999</v>
      </c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377"/>
      <c r="EU91" s="377"/>
      <c r="EV91" s="377"/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377"/>
      <c r="EV92" s="377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H93" s="377"/>
      <c r="EI93" s="377"/>
      <c r="EJ93" s="377"/>
      <c r="EK93" s="377"/>
      <c r="EL93" s="377"/>
      <c r="EM93" s="377"/>
      <c r="EN93" s="377"/>
      <c r="EO93" s="377"/>
      <c r="EP93" s="377"/>
      <c r="EQ93" s="377"/>
      <c r="ER93" s="377"/>
      <c r="ES93" s="377"/>
      <c r="ET93" s="377"/>
      <c r="EU93" s="377"/>
      <c r="EV93" s="377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>
        <v>576439.54</v>
      </c>
      <c r="EI94" s="377">
        <v>609518.68999999994</v>
      </c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377"/>
      <c r="EU94" s="377"/>
      <c r="EV94" s="377"/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377"/>
      <c r="EV96" s="377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H97" s="377"/>
      <c r="EI97" s="377"/>
      <c r="EJ97" s="377"/>
      <c r="EK97" s="377"/>
      <c r="EL97" s="377"/>
      <c r="EM97" s="377"/>
      <c r="EN97" s="377"/>
      <c r="EO97" s="377"/>
      <c r="EP97" s="377"/>
      <c r="EQ97" s="377"/>
      <c r="ER97" s="377"/>
      <c r="ES97" s="377"/>
      <c r="ET97" s="377"/>
      <c r="EU97" s="377"/>
      <c r="EV97" s="377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>
        <v>1010</v>
      </c>
      <c r="EI98" s="377">
        <v>437077.96</v>
      </c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377"/>
      <c r="EU98" s="377"/>
      <c r="EV98" s="377"/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377"/>
      <c r="EV99" s="377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H101" s="377"/>
      <c r="EI101" s="377"/>
      <c r="EJ101" s="377"/>
      <c r="EK101" s="377"/>
      <c r="EL101" s="377"/>
      <c r="EM101" s="377"/>
      <c r="EN101" s="377"/>
      <c r="EO101" s="377"/>
      <c r="EP101" s="377"/>
      <c r="EQ101" s="377"/>
      <c r="ER101" s="377"/>
      <c r="ES101" s="377"/>
      <c r="ET101" s="377"/>
      <c r="EU101" s="377"/>
      <c r="EV101" s="377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>
        <v>642181.18999999994</v>
      </c>
      <c r="EI102" s="377">
        <v>1813185.28</v>
      </c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377"/>
      <c r="EU102" s="377"/>
      <c r="EV102" s="377"/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377"/>
      <c r="EV103" s="377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377"/>
      <c r="EV104" s="377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377"/>
      <c r="EV106" s="377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377"/>
      <c r="EV107" s="377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377"/>
      <c r="EV108" s="377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377"/>
      <c r="EV109" s="377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377"/>
      <c r="EV110" s="377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377"/>
      <c r="EV111" s="377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H112" s="377"/>
      <c r="EI112" s="377"/>
      <c r="EJ112" s="377"/>
      <c r="EK112" s="377"/>
      <c r="EL112" s="377"/>
      <c r="EM112" s="377"/>
      <c r="EN112" s="377"/>
      <c r="EO112" s="377"/>
      <c r="EP112" s="377"/>
      <c r="EQ112" s="377"/>
      <c r="ER112" s="377"/>
      <c r="ES112" s="377"/>
      <c r="ET112" s="377"/>
      <c r="EU112" s="377"/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>
        <v>10235148.66</v>
      </c>
      <c r="EI113" s="377">
        <v>10418756.810000001</v>
      </c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377"/>
      <c r="EU113" s="377"/>
      <c r="EV113" s="377"/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377"/>
      <c r="EV114" s="377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377"/>
      <c r="EV115" s="377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377"/>
      <c r="EV116" s="377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377"/>
      <c r="EV117" s="377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377"/>
      <c r="EV118" s="377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377"/>
      <c r="EV119" s="377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377"/>
      <c r="EV120" s="377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741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H121" s="377"/>
      <c r="EI121" s="377"/>
      <c r="EJ121" s="377"/>
      <c r="EK121" s="377"/>
      <c r="EL121" s="377"/>
      <c r="EM121" s="377"/>
      <c r="EN121" s="377"/>
      <c r="EO121" s="377"/>
      <c r="EP121" s="377"/>
      <c r="EQ121" s="377"/>
      <c r="ER121" s="377"/>
      <c r="ES121" s="377"/>
      <c r="ET121" s="377"/>
      <c r="EU121" s="377"/>
      <c r="EV121" s="377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>
        <v>173100.67</v>
      </c>
      <c r="EI122" s="377">
        <v>1036027.42</v>
      </c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377"/>
      <c r="EU122" s="377"/>
      <c r="EV122" s="377"/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377"/>
      <c r="EV123" s="377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377"/>
      <c r="EV124" s="377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377"/>
      <c r="EV125" s="377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377"/>
      <c r="EV126" s="377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H127" s="377"/>
      <c r="EI127" s="377"/>
      <c r="EJ127" s="377"/>
      <c r="EK127" s="377"/>
      <c r="EL127" s="377"/>
      <c r="EM127" s="377"/>
      <c r="EN127" s="377"/>
      <c r="EO127" s="377"/>
      <c r="EP127" s="377"/>
      <c r="EQ127" s="377"/>
      <c r="ER127" s="377"/>
      <c r="ES127" s="377"/>
      <c r="ET127" s="377"/>
      <c r="EU127" s="377"/>
      <c r="EV127" s="377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>
        <v>32976338.859999999</v>
      </c>
      <c r="EI128" s="377">
        <v>33304068.809999999</v>
      </c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377"/>
      <c r="EU128" s="377"/>
      <c r="EV128" s="377"/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377"/>
      <c r="EV129" s="377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377"/>
      <c r="EV130" s="377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377"/>
      <c r="EV131" s="377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377"/>
      <c r="EV132" s="377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377"/>
      <c r="EV133" s="377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377"/>
      <c r="EV134" s="377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H135" s="377"/>
      <c r="EI135" s="377"/>
      <c r="EJ135" s="377"/>
      <c r="EK135" s="377"/>
      <c r="EL135" s="377"/>
      <c r="EM135" s="377"/>
      <c r="EN135" s="377"/>
      <c r="EO135" s="377"/>
      <c r="EP135" s="377"/>
      <c r="EQ135" s="377"/>
      <c r="ER135" s="377"/>
      <c r="ES135" s="377"/>
      <c r="ET135" s="377"/>
      <c r="EU135" s="377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>
        <v>202511.01</v>
      </c>
      <c r="EI136" s="377">
        <v>1122393.47</v>
      </c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377"/>
      <c r="EU136" s="377"/>
      <c r="EV136" s="377"/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H137" s="377"/>
      <c r="EI137" s="377"/>
      <c r="EJ137" s="377"/>
      <c r="EK137" s="377"/>
      <c r="EL137" s="377"/>
      <c r="EM137" s="377"/>
      <c r="EN137" s="377"/>
      <c r="EO137" s="377"/>
      <c r="EP137" s="377"/>
      <c r="EQ137" s="377"/>
      <c r="ER137" s="377"/>
      <c r="ES137" s="377"/>
      <c r="ET137" s="377"/>
      <c r="EU137" s="377"/>
      <c r="EV137" s="377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>
        <v>266542</v>
      </c>
      <c r="EI138" s="377">
        <v>813711.97</v>
      </c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377"/>
      <c r="EU138" s="377"/>
      <c r="EV138" s="377"/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377"/>
      <c r="EV139" s="377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377"/>
      <c r="EV140" s="377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H141" s="377"/>
      <c r="EI141" s="377"/>
      <c r="EJ141" s="377"/>
      <c r="EK141" s="377"/>
      <c r="EL141" s="377"/>
      <c r="EM141" s="377"/>
      <c r="EN141" s="377"/>
      <c r="EO141" s="377"/>
      <c r="EP141" s="377"/>
      <c r="EQ141" s="377"/>
      <c r="ER141" s="377"/>
      <c r="ES141" s="377"/>
      <c r="ET141" s="377"/>
      <c r="EU141" s="377"/>
      <c r="EV141" s="377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>
        <v>5367351.82</v>
      </c>
      <c r="EI142" s="377">
        <v>7878426.2999999998</v>
      </c>
      <c r="EJ142" s="377"/>
      <c r="EK142" s="377"/>
      <c r="EL142" s="377"/>
      <c r="EM142" s="377"/>
      <c r="EN142" s="377"/>
      <c r="EO142" s="377"/>
      <c r="EP142" s="377"/>
      <c r="EQ142" s="377"/>
      <c r="ER142" s="377"/>
      <c r="ES142" s="377"/>
      <c r="ET142" s="377"/>
      <c r="EU142" s="377"/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>
        <v>7878426.2999999998</v>
      </c>
      <c r="EJ143" s="377"/>
      <c r="EK143" s="377"/>
      <c r="EL143" s="377"/>
      <c r="EM143" s="377"/>
      <c r="EN143" s="377"/>
      <c r="EO143" s="377"/>
      <c r="EP143" s="377"/>
      <c r="EQ143" s="377"/>
      <c r="ER143" s="377"/>
      <c r="ES143" s="377"/>
      <c r="ET143" s="377"/>
      <c r="EU143" s="377"/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377"/>
      <c r="EU144" s="377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377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377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377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377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377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377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377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H152" s="377"/>
      <c r="EI152" s="377"/>
      <c r="EJ152" s="377"/>
      <c r="EK152" s="377"/>
      <c r="EL152" s="377"/>
      <c r="EM152" s="377"/>
      <c r="EN152" s="377"/>
      <c r="EO152" s="377"/>
      <c r="EP152" s="377"/>
      <c r="EQ152" s="377"/>
      <c r="ER152" s="377"/>
      <c r="ES152" s="377"/>
      <c r="ET152" s="377"/>
      <c r="EU152" s="377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377"/>
      <c r="EU153" s="377"/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377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377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377"/>
      <c r="EV156" s="377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377"/>
      <c r="EV157" s="377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377"/>
      <c r="EV158" s="377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H159" s="377"/>
      <c r="EI159" s="377"/>
      <c r="EJ159" s="377"/>
      <c r="EK159" s="377"/>
      <c r="EL159" s="377"/>
      <c r="EM159" s="377"/>
      <c r="EN159" s="377"/>
      <c r="EO159" s="377"/>
      <c r="EP159" s="377"/>
      <c r="EQ159" s="377"/>
      <c r="ER159" s="377"/>
      <c r="ES159" s="377"/>
      <c r="ET159" s="377"/>
      <c r="EU159" s="377"/>
      <c r="EV159" s="377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736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109644.44</v>
      </c>
      <c r="EI160" s="377">
        <v>1491590.34</v>
      </c>
      <c r="EJ160" s="377"/>
      <c r="EK160" s="377"/>
      <c r="EL160" s="377"/>
      <c r="EM160" s="377"/>
      <c r="EN160" s="377"/>
      <c r="EO160" s="377"/>
      <c r="EP160" s="377"/>
      <c r="EQ160" s="377"/>
      <c r="ER160" s="377"/>
      <c r="ES160" s="377"/>
      <c r="ET160" s="377"/>
      <c r="EU160" s="377"/>
      <c r="EV160" s="377"/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>
        <v>285927.93</v>
      </c>
      <c r="EI161" s="377">
        <v>821880.98</v>
      </c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377"/>
      <c r="EU161" s="377"/>
      <c r="EV161" s="377"/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377"/>
      <c r="EV162" s="377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377"/>
      <c r="EV163" s="377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377"/>
      <c r="EV164" s="377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377"/>
      <c r="EV165" s="377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377"/>
      <c r="EV166" s="377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377"/>
      <c r="EV167" s="377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377"/>
      <c r="EV168" s="377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377"/>
      <c r="EV169" s="377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H170" s="377"/>
      <c r="EI170" s="377"/>
      <c r="EJ170" s="377"/>
      <c r="EK170" s="377"/>
      <c r="EL170" s="377"/>
      <c r="EM170" s="377"/>
      <c r="EN170" s="377"/>
      <c r="EO170" s="377"/>
      <c r="EP170" s="377"/>
      <c r="EQ170" s="377"/>
      <c r="ER170" s="377"/>
      <c r="ES170" s="377"/>
      <c r="ET170" s="377"/>
      <c r="EU170" s="377"/>
      <c r="EV170" s="377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/>
      <c r="EK171" s="377"/>
      <c r="EL171" s="377"/>
      <c r="EM171" s="377"/>
      <c r="EN171" s="377"/>
      <c r="EO171" s="377"/>
      <c r="EP171" s="377"/>
      <c r="EQ171" s="377"/>
      <c r="ER171" s="377"/>
      <c r="ES171" s="377"/>
      <c r="ET171" s="377"/>
      <c r="EU171" s="377"/>
      <c r="EV171" s="377"/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>
        <v>0</v>
      </c>
      <c r="EI172" s="377">
        <v>285802</v>
      </c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377"/>
      <c r="EU172" s="377"/>
      <c r="EV172" s="377"/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377"/>
      <c r="EV173" s="377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377"/>
      <c r="EV174" s="377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377"/>
      <c r="EV175" s="377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377"/>
      <c r="EV176" s="377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377"/>
      <c r="EV177" s="377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377"/>
      <c r="EU178" s="377"/>
      <c r="EV178" s="377"/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H179" s="377"/>
      <c r="EI179" s="377"/>
      <c r="EJ179" s="377"/>
      <c r="EK179" s="377"/>
      <c r="EL179" s="377"/>
      <c r="EM179" s="377"/>
      <c r="EN179" s="377"/>
      <c r="EO179" s="377"/>
      <c r="EP179" s="377"/>
      <c r="EQ179" s="377"/>
      <c r="ER179" s="377"/>
      <c r="ES179" s="377"/>
      <c r="ET179" s="377"/>
      <c r="EU179" s="377"/>
      <c r="EV179" s="377"/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109330.02</v>
      </c>
      <c r="EI180" s="377">
        <v>7869986.2699999996</v>
      </c>
      <c r="EJ180" s="377"/>
      <c r="EK180" s="377"/>
      <c r="EL180" s="377"/>
      <c r="EM180" s="377"/>
      <c r="EN180" s="377"/>
      <c r="EO180" s="377"/>
      <c r="EP180" s="377"/>
      <c r="EQ180" s="377"/>
      <c r="ER180" s="377"/>
      <c r="ES180" s="377"/>
      <c r="ET180" s="377"/>
      <c r="EU180" s="377"/>
      <c r="EV180" s="377"/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>
        <v>1802308.17</v>
      </c>
      <c r="EI181" s="377">
        <v>1892608.13</v>
      </c>
      <c r="EJ181" s="377"/>
      <c r="EK181" s="377"/>
      <c r="EL181" s="377"/>
      <c r="EM181" s="377"/>
      <c r="EN181" s="377"/>
      <c r="EO181" s="377"/>
      <c r="EP181" s="377"/>
      <c r="EQ181" s="377"/>
      <c r="ER181" s="377"/>
      <c r="ES181" s="377"/>
      <c r="ET181" s="377"/>
      <c r="EU181" s="377"/>
      <c r="EV181" s="377"/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377"/>
      <c r="EV182" s="377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377"/>
      <c r="EV183" s="377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H184" s="377"/>
      <c r="EI184" s="377"/>
      <c r="EJ184" s="377"/>
      <c r="EK184" s="377"/>
      <c r="EL184" s="377"/>
      <c r="EM184" s="377"/>
      <c r="EN184" s="377"/>
      <c r="EO184" s="377"/>
      <c r="EP184" s="377"/>
      <c r="EQ184" s="377"/>
      <c r="ER184" s="377"/>
      <c r="ES184" s="377"/>
      <c r="ET184" s="377"/>
      <c r="EU184" s="377"/>
      <c r="EV184" s="377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2325801.86</v>
      </c>
      <c r="EI185" s="377">
        <v>1722446.51</v>
      </c>
      <c r="EJ185" s="377"/>
      <c r="EK185" s="377"/>
      <c r="EL185" s="377"/>
      <c r="EM185" s="377"/>
      <c r="EN185" s="377"/>
      <c r="EO185" s="377"/>
      <c r="EP185" s="377"/>
      <c r="EQ185" s="377"/>
      <c r="ER185" s="377"/>
      <c r="ES185" s="377"/>
      <c r="ET185" s="377"/>
      <c r="EU185" s="377"/>
      <c r="EV185" s="377"/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377"/>
      <c r="EU186" s="377"/>
      <c r="EV186" s="377"/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701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Prihodi budžeta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Budžetki izdaci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Suficit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50">
      <c r="EH213" s="340"/>
    </row>
    <row r="216" spans="1:150">
      <c r="E216" s="508" t="s">
        <v>691</v>
      </c>
      <c r="F216" s="506">
        <v>2006</v>
      </c>
      <c r="G216" s="505"/>
      <c r="H216" s="505"/>
      <c r="I216" s="505"/>
      <c r="J216" s="505"/>
      <c r="K216" s="505"/>
      <c r="L216" s="505"/>
      <c r="M216" s="505"/>
      <c r="N216" s="505"/>
      <c r="O216" s="505"/>
      <c r="P216" s="505"/>
      <c r="Q216" s="507"/>
      <c r="R216" s="506">
        <v>2007</v>
      </c>
      <c r="S216" s="505"/>
      <c r="T216" s="505"/>
      <c r="U216" s="505"/>
      <c r="V216" s="505"/>
      <c r="W216" s="505"/>
      <c r="X216" s="505"/>
      <c r="Y216" s="505"/>
      <c r="Z216" s="505"/>
      <c r="AA216" s="505"/>
      <c r="AB216" s="505"/>
      <c r="AC216" s="507"/>
      <c r="AD216" s="506">
        <v>2008</v>
      </c>
      <c r="AE216" s="505"/>
      <c r="AF216" s="505"/>
      <c r="AG216" s="505"/>
      <c r="AH216" s="505"/>
      <c r="AI216" s="505"/>
      <c r="AJ216" s="505"/>
      <c r="AK216" s="505"/>
      <c r="AL216" s="505"/>
      <c r="AM216" s="505"/>
      <c r="AN216" s="505"/>
      <c r="AO216" s="507"/>
      <c r="AP216" s="506">
        <v>2009</v>
      </c>
      <c r="AQ216" s="505"/>
      <c r="AR216" s="505"/>
      <c r="AS216" s="505"/>
      <c r="AT216" s="505"/>
      <c r="AU216" s="505"/>
      <c r="AV216" s="505"/>
      <c r="AW216" s="505"/>
      <c r="AX216" s="505"/>
      <c r="AY216" s="505"/>
      <c r="AZ216" s="505"/>
      <c r="BA216" s="507"/>
      <c r="BB216" s="506">
        <v>2010</v>
      </c>
      <c r="BC216" s="505"/>
      <c r="BD216" s="505"/>
      <c r="BE216" s="505"/>
      <c r="BF216" s="505"/>
      <c r="BG216" s="505"/>
      <c r="BH216" s="505"/>
      <c r="BI216" s="505"/>
      <c r="BJ216" s="505"/>
      <c r="BK216" s="505"/>
      <c r="BL216" s="505"/>
      <c r="BM216" s="507"/>
      <c r="BN216" s="506">
        <v>2011</v>
      </c>
      <c r="BO216" s="505"/>
      <c r="BP216" s="505"/>
      <c r="BQ216" s="505"/>
      <c r="BR216" s="505"/>
      <c r="BS216" s="505"/>
      <c r="BT216" s="505"/>
      <c r="BU216" s="505"/>
      <c r="BV216" s="505"/>
      <c r="BW216" s="505"/>
      <c r="BX216" s="505"/>
      <c r="BY216" s="507"/>
      <c r="BZ216" s="505">
        <v>2012</v>
      </c>
      <c r="CA216" s="505"/>
      <c r="CB216" s="505"/>
      <c r="CC216" s="505"/>
      <c r="CD216" s="505"/>
      <c r="CE216" s="505"/>
      <c r="CF216" s="505"/>
      <c r="CG216" s="505"/>
      <c r="CH216" s="505"/>
      <c r="CI216" s="505"/>
      <c r="CJ216" s="505"/>
      <c r="CK216" s="505"/>
      <c r="CL216" s="506">
        <v>2013</v>
      </c>
      <c r="CM216" s="505"/>
      <c r="CN216" s="505"/>
      <c r="CO216" s="505"/>
      <c r="CP216" s="505"/>
      <c r="CQ216" s="505"/>
      <c r="CR216" s="505"/>
      <c r="CS216" s="505"/>
      <c r="CT216" s="505"/>
      <c r="CU216" s="505"/>
      <c r="CV216" s="505"/>
      <c r="CW216" s="507"/>
      <c r="CX216" s="506">
        <v>2014</v>
      </c>
      <c r="CY216" s="505"/>
      <c r="CZ216" s="505"/>
      <c r="DA216" s="505"/>
      <c r="DB216" s="505"/>
      <c r="DC216" s="505"/>
      <c r="DD216" s="505"/>
      <c r="DE216" s="505"/>
      <c r="DF216" s="505"/>
      <c r="DG216" s="505"/>
      <c r="DH216" s="505"/>
      <c r="DI216" s="507"/>
      <c r="DJ216" s="506">
        <v>2015</v>
      </c>
      <c r="DK216" s="505"/>
      <c r="DL216" s="505"/>
      <c r="DM216" s="505"/>
      <c r="DN216" s="505"/>
      <c r="DO216" s="505"/>
      <c r="DP216" s="505"/>
      <c r="DQ216" s="505"/>
      <c r="DR216" s="505"/>
      <c r="DS216" s="505"/>
      <c r="DT216" s="505"/>
      <c r="DU216" s="507"/>
    </row>
    <row r="217" spans="1:150">
      <c r="E217" s="508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722</v>
      </c>
      <c r="DW217" s="42" t="s">
        <v>723</v>
      </c>
      <c r="DX217" s="42" t="s">
        <v>724</v>
      </c>
      <c r="DY217" s="42" t="s">
        <v>725</v>
      </c>
      <c r="DZ217" s="42" t="s">
        <v>726</v>
      </c>
      <c r="EA217" s="42" t="s">
        <v>727</v>
      </c>
      <c r="EB217" s="42" t="s">
        <v>728</v>
      </c>
      <c r="EC217" s="42" t="s">
        <v>729</v>
      </c>
      <c r="ED217" s="42" t="s">
        <v>730</v>
      </c>
      <c r="EE217" s="42" t="s">
        <v>731</v>
      </c>
      <c r="EF217" s="42" t="s">
        <v>732</v>
      </c>
      <c r="EG217" s="42" t="s">
        <v>733</v>
      </c>
      <c r="EH217" s="398" t="s">
        <v>744</v>
      </c>
      <c r="EI217" s="398" t="s">
        <v>745</v>
      </c>
      <c r="EJ217" s="398" t="s">
        <v>746</v>
      </c>
      <c r="EK217" s="398" t="s">
        <v>747</v>
      </c>
      <c r="EL217" s="398" t="s">
        <v>748</v>
      </c>
      <c r="EM217" s="398" t="s">
        <v>749</v>
      </c>
      <c r="EN217" s="398" t="s">
        <v>750</v>
      </c>
      <c r="EO217" s="398" t="s">
        <v>751</v>
      </c>
      <c r="EP217" s="398" t="s">
        <v>752</v>
      </c>
      <c r="EQ217" s="398" t="s">
        <v>753</v>
      </c>
      <c r="ER217" s="398" t="s">
        <v>754</v>
      </c>
      <c r="ES217" s="398" t="s">
        <v>755</v>
      </c>
    </row>
    <row r="218" spans="1:150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50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50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</row>
    <row r="221" spans="1:150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338"/>
    </row>
    <row r="222" spans="1:150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</row>
    <row r="223" spans="1:150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338"/>
    </row>
    <row r="224" spans="1:150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338"/>
    </row>
    <row r="225" spans="1:150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338"/>
    </row>
    <row r="226" spans="1:150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338"/>
    </row>
    <row r="227" spans="1:150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338"/>
    </row>
    <row r="228" spans="1:150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338"/>
    </row>
    <row r="229" spans="1:150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</row>
    <row r="230" spans="1:150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338"/>
    </row>
    <row r="231" spans="1:150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338"/>
    </row>
    <row r="232" spans="1:150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338"/>
    </row>
    <row r="233" spans="1:150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338"/>
    </row>
    <row r="234" spans="1:150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339"/>
    </row>
    <row r="235" spans="1:150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338"/>
    </row>
    <row r="236" spans="1:150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338"/>
    </row>
    <row r="237" spans="1:150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338"/>
    </row>
    <row r="238" spans="1:150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50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  <c r="ET239" s="338"/>
    </row>
    <row r="240" spans="1:150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338"/>
    </row>
    <row r="241" spans="1:150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339"/>
    </row>
    <row r="242" spans="1:150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338"/>
    </row>
    <row r="243" spans="1:150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338"/>
    </row>
    <row r="244" spans="1:150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338"/>
    </row>
    <row r="245" spans="1:150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338"/>
    </row>
    <row r="246" spans="1:150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50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50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  <c r="ET248" s="338"/>
    </row>
    <row r="249" spans="1:150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338"/>
    </row>
    <row r="250" spans="1:150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338"/>
    </row>
    <row r="251" spans="1:150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339"/>
    </row>
    <row r="252" spans="1:150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338"/>
    </row>
    <row r="253" spans="1:150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338"/>
    </row>
    <row r="254" spans="1:150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338"/>
    </row>
    <row r="255" spans="1:150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  <c r="ET255" s="338"/>
    </row>
    <row r="256" spans="1:150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338"/>
    </row>
    <row r="257" spans="1:150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  <c r="ET257" s="339"/>
    </row>
    <row r="258" spans="1:150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50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  <c r="ET259" s="338"/>
    </row>
    <row r="260" spans="1:150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339"/>
    </row>
    <row r="261" spans="1:150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/>
    </row>
    <row r="262" spans="1:150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  <c r="ET262" s="338"/>
    </row>
    <row r="263" spans="1:150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339"/>
    </row>
    <row r="264" spans="1:150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</row>
    <row r="265" spans="1:150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50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50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50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50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</row>
    <row r="270" spans="1:150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50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50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</row>
    <row r="273" spans="1:149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49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49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49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49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49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</row>
    <row r="279" spans="1:149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49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49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49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49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49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49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49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</row>
    <row r="287" spans="1:149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49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49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49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49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49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49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</row>
    <row r="294" spans="1:149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49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49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49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49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49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49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49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49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49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</row>
    <row r="304" spans="1:149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50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50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50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03"/>
    </row>
    <row r="308" spans="1:150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50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50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</row>
    <row r="311" spans="1:150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50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50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50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</row>
    <row r="315" spans="1:150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50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50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50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</row>
    <row r="319" spans="1:150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50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49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49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49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49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49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49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49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49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</row>
    <row r="329" spans="1:149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2">+SUM(CL330:CL336)</f>
        <v>5084083.333333333</v>
      </c>
      <c r="CM329" s="143">
        <f t="shared" si="102"/>
        <v>5084083.333333333</v>
      </c>
      <c r="CN329" s="143">
        <f t="shared" si="102"/>
        <v>5084083.333333333</v>
      </c>
      <c r="CO329" s="143">
        <f t="shared" si="102"/>
        <v>5084083.333333333</v>
      </c>
      <c r="CP329" s="143">
        <f t="shared" si="102"/>
        <v>5084083.333333333</v>
      </c>
      <c r="CQ329" s="143">
        <f t="shared" si="102"/>
        <v>5084083.333333333</v>
      </c>
      <c r="CR329" s="143">
        <f t="shared" si="102"/>
        <v>5084083.333333333</v>
      </c>
      <c r="CS329" s="143">
        <f t="shared" si="102"/>
        <v>5084083.333333333</v>
      </c>
      <c r="CT329" s="143">
        <f t="shared" si="102"/>
        <v>5084083.333333333</v>
      </c>
      <c r="CU329" s="143">
        <f t="shared" si="102"/>
        <v>5084083.333333333</v>
      </c>
      <c r="CV329" s="143">
        <f t="shared" si="102"/>
        <v>5084083.333333333</v>
      </c>
      <c r="CW329" s="144">
        <f t="shared" si="102"/>
        <v>5084083.333333333</v>
      </c>
      <c r="CX329" s="315">
        <f t="shared" si="102"/>
        <v>4887083.333333333</v>
      </c>
      <c r="CY329" s="318">
        <f t="shared" ref="CY329:DI329" si="103">+SUM(CY330:CY336)</f>
        <v>4887083.333333333</v>
      </c>
      <c r="CZ329" s="318">
        <f t="shared" si="103"/>
        <v>4887083.333333333</v>
      </c>
      <c r="DA329" s="318">
        <f t="shared" si="103"/>
        <v>4887083.333333333</v>
      </c>
      <c r="DB329" s="318">
        <f t="shared" si="103"/>
        <v>4887083.333333333</v>
      </c>
      <c r="DC329" s="318">
        <f t="shared" si="103"/>
        <v>4887083.333333333</v>
      </c>
      <c r="DD329" s="318">
        <f t="shared" si="103"/>
        <v>4887083.333333333</v>
      </c>
      <c r="DE329" s="318">
        <f t="shared" si="103"/>
        <v>4887083.333333333</v>
      </c>
      <c r="DF329" s="318">
        <f t="shared" si="103"/>
        <v>4887083.333333333</v>
      </c>
      <c r="DG329" s="318">
        <f t="shared" si="103"/>
        <v>4887083.333333333</v>
      </c>
      <c r="DH329" s="318">
        <f t="shared" si="103"/>
        <v>4887083.333333333</v>
      </c>
      <c r="DI329" s="316">
        <f t="shared" si="103"/>
        <v>4887083.333333333</v>
      </c>
      <c r="DJ329" s="142">
        <f>+SUM(DJ330:DJ336)</f>
        <v>5044218.75</v>
      </c>
      <c r="DK329" s="143">
        <f t="shared" ref="DK329:DU329" si="104">+SUM(DK330:DK336)</f>
        <v>5044218.75</v>
      </c>
      <c r="DL329" s="143">
        <f t="shared" si="104"/>
        <v>5044218.75</v>
      </c>
      <c r="DM329" s="143">
        <f t="shared" si="104"/>
        <v>5044218.75</v>
      </c>
      <c r="DN329" s="143">
        <f t="shared" si="104"/>
        <v>5044218.75</v>
      </c>
      <c r="DO329" s="143">
        <f t="shared" si="104"/>
        <v>5044218.75</v>
      </c>
      <c r="DP329" s="143">
        <f t="shared" si="104"/>
        <v>5044218.75</v>
      </c>
      <c r="DQ329" s="143">
        <f t="shared" si="104"/>
        <v>5044218.75</v>
      </c>
      <c r="DR329" s="143">
        <f t="shared" si="104"/>
        <v>5044218.75</v>
      </c>
      <c r="DS329" s="143">
        <f t="shared" si="104"/>
        <v>5044218.75</v>
      </c>
      <c r="DT329" s="143">
        <f t="shared" si="104"/>
        <v>5044218.75</v>
      </c>
      <c r="DU329" s="144">
        <f t="shared" si="104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</row>
    <row r="330" spans="1:149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49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49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49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49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49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49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49" s="9" customFormat="1">
      <c r="A337" s="140"/>
      <c r="B337" s="140"/>
      <c r="C337" s="140">
        <v>422</v>
      </c>
      <c r="D337" s="140" t="str">
        <f t="shared" ref="D337:D346" si="105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6">+SUM(CL338:CL342)</f>
        <v>1280004.1666666665</v>
      </c>
      <c r="CM337" s="143">
        <f t="shared" si="106"/>
        <v>1280004.1666666665</v>
      </c>
      <c r="CN337" s="143">
        <f t="shared" si="106"/>
        <v>1280004.1666666665</v>
      </c>
      <c r="CO337" s="143">
        <f t="shared" si="106"/>
        <v>1280004.1666666665</v>
      </c>
      <c r="CP337" s="143">
        <f t="shared" si="106"/>
        <v>1280004.1666666665</v>
      </c>
      <c r="CQ337" s="143">
        <f t="shared" si="106"/>
        <v>1280004.1666666665</v>
      </c>
      <c r="CR337" s="143">
        <f t="shared" si="106"/>
        <v>1280004.1666666665</v>
      </c>
      <c r="CS337" s="143">
        <f t="shared" si="106"/>
        <v>1280004.1666666665</v>
      </c>
      <c r="CT337" s="143">
        <f t="shared" si="106"/>
        <v>1280004.1666666665</v>
      </c>
      <c r="CU337" s="143">
        <f t="shared" si="106"/>
        <v>1280004.1666666665</v>
      </c>
      <c r="CV337" s="143">
        <f t="shared" si="106"/>
        <v>1280004.1666666665</v>
      </c>
      <c r="CW337" s="144">
        <f t="shared" si="106"/>
        <v>1280004.1666666665</v>
      </c>
      <c r="CX337" s="315">
        <f t="shared" si="106"/>
        <v>1438177</v>
      </c>
      <c r="CY337" s="318">
        <f t="shared" ref="CY337:DI337" si="107">+SUM(CY338:CY342)</f>
        <v>1438177</v>
      </c>
      <c r="CZ337" s="318">
        <f t="shared" si="107"/>
        <v>1438177</v>
      </c>
      <c r="DA337" s="318">
        <f t="shared" si="107"/>
        <v>1438177</v>
      </c>
      <c r="DB337" s="318">
        <f t="shared" si="107"/>
        <v>1438177</v>
      </c>
      <c r="DC337" s="318">
        <f t="shared" si="107"/>
        <v>1438177</v>
      </c>
      <c r="DD337" s="318">
        <f t="shared" si="107"/>
        <v>1438177</v>
      </c>
      <c r="DE337" s="318">
        <f t="shared" si="107"/>
        <v>1438177</v>
      </c>
      <c r="DF337" s="318">
        <f t="shared" si="107"/>
        <v>1438177</v>
      </c>
      <c r="DG337" s="318">
        <f t="shared" si="107"/>
        <v>1438177</v>
      </c>
      <c r="DH337" s="318">
        <f t="shared" si="107"/>
        <v>1438177</v>
      </c>
      <c r="DI337" s="316">
        <f t="shared" si="107"/>
        <v>1438177</v>
      </c>
      <c r="DJ337" s="142">
        <f>+SUM(DJ338:DJ342)</f>
        <v>1620000</v>
      </c>
      <c r="DK337" s="143">
        <f t="shared" ref="DK337:DU337" si="108">+SUM(DK338:DK342)</f>
        <v>1620000</v>
      </c>
      <c r="DL337" s="143">
        <f t="shared" si="108"/>
        <v>1620000</v>
      </c>
      <c r="DM337" s="143">
        <f t="shared" si="108"/>
        <v>1620000</v>
      </c>
      <c r="DN337" s="143">
        <f t="shared" si="108"/>
        <v>1620000</v>
      </c>
      <c r="DO337" s="143">
        <f t="shared" si="108"/>
        <v>1620000</v>
      </c>
      <c r="DP337" s="143">
        <f t="shared" si="108"/>
        <v>1620000</v>
      </c>
      <c r="DQ337" s="143">
        <f t="shared" si="108"/>
        <v>1620000</v>
      </c>
      <c r="DR337" s="143">
        <f t="shared" si="108"/>
        <v>1620000</v>
      </c>
      <c r="DS337" s="143">
        <f t="shared" si="108"/>
        <v>1620000</v>
      </c>
      <c r="DT337" s="143">
        <f t="shared" si="108"/>
        <v>1620000</v>
      </c>
      <c r="DU337" s="144">
        <f t="shared" si="108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</row>
    <row r="338" spans="1:149">
      <c r="D338" s="74" t="str">
        <f t="shared" si="105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49" ht="30">
      <c r="D339" s="74" t="str">
        <f t="shared" si="105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49">
      <c r="D340" s="74" t="str">
        <f t="shared" si="105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49">
      <c r="D341" s="74" t="str">
        <f t="shared" si="105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49">
      <c r="D342" s="74" t="str">
        <f t="shared" si="105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49" s="9" customFormat="1" ht="30">
      <c r="A343" s="140"/>
      <c r="B343" s="140"/>
      <c r="C343" s="140">
        <v>423</v>
      </c>
      <c r="D343" s="140" t="str">
        <f t="shared" si="105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09">+SUM(CL344:CL350)</f>
        <v>33408639.758333333</v>
      </c>
      <c r="CM343" s="143">
        <f t="shared" si="109"/>
        <v>33408639.758333333</v>
      </c>
      <c r="CN343" s="143">
        <f t="shared" si="109"/>
        <v>33408639.758333333</v>
      </c>
      <c r="CO343" s="143">
        <f t="shared" si="109"/>
        <v>33408639.758333333</v>
      </c>
      <c r="CP343" s="143">
        <f t="shared" si="109"/>
        <v>33408639.758333333</v>
      </c>
      <c r="CQ343" s="143">
        <f t="shared" si="109"/>
        <v>33408639.758333333</v>
      </c>
      <c r="CR343" s="143">
        <f t="shared" si="109"/>
        <v>33408639.758333333</v>
      </c>
      <c r="CS343" s="143">
        <f t="shared" si="109"/>
        <v>33408639.758333333</v>
      </c>
      <c r="CT343" s="143">
        <f t="shared" si="109"/>
        <v>33408639.758333333</v>
      </c>
      <c r="CU343" s="143">
        <f t="shared" si="109"/>
        <v>33408639.758333333</v>
      </c>
      <c r="CV343" s="143">
        <f t="shared" si="109"/>
        <v>33408639.758333333</v>
      </c>
      <c r="CW343" s="144">
        <f t="shared" si="109"/>
        <v>33408639.758333333</v>
      </c>
      <c r="CX343" s="315">
        <f t="shared" si="109"/>
        <v>33110022.91416667</v>
      </c>
      <c r="CY343" s="318">
        <f t="shared" ref="CY343:DI343" si="110">+SUM(CY344:CY350)</f>
        <v>33110022.91416667</v>
      </c>
      <c r="CZ343" s="318">
        <f t="shared" si="110"/>
        <v>33110022.91416667</v>
      </c>
      <c r="DA343" s="318">
        <f t="shared" si="110"/>
        <v>33110022.91416667</v>
      </c>
      <c r="DB343" s="318">
        <f t="shared" si="110"/>
        <v>33110022.91416667</v>
      </c>
      <c r="DC343" s="318">
        <f t="shared" si="110"/>
        <v>33110022.91416667</v>
      </c>
      <c r="DD343" s="318">
        <f t="shared" si="110"/>
        <v>33110022.91416667</v>
      </c>
      <c r="DE343" s="318">
        <f t="shared" si="110"/>
        <v>33110022.91416667</v>
      </c>
      <c r="DF343" s="318">
        <f t="shared" si="110"/>
        <v>33110022.91416667</v>
      </c>
      <c r="DG343" s="318">
        <f t="shared" si="110"/>
        <v>33110022.91416667</v>
      </c>
      <c r="DH343" s="318">
        <f t="shared" si="110"/>
        <v>33110022.91416667</v>
      </c>
      <c r="DI343" s="316">
        <f t="shared" si="110"/>
        <v>33110022.91416667</v>
      </c>
      <c r="DJ343" s="142">
        <f>+SUM(DJ344:DJ350)</f>
        <v>33537908.333333332</v>
      </c>
      <c r="DK343" s="143">
        <f t="shared" ref="DK343:DU343" si="111">+SUM(DK344:DK350)</f>
        <v>33537908.333333332</v>
      </c>
      <c r="DL343" s="143">
        <f t="shared" si="111"/>
        <v>33537908.333333332</v>
      </c>
      <c r="DM343" s="143">
        <f t="shared" si="111"/>
        <v>33537908.333333332</v>
      </c>
      <c r="DN343" s="143">
        <f t="shared" si="111"/>
        <v>33537908.333333332</v>
      </c>
      <c r="DO343" s="143">
        <f t="shared" si="111"/>
        <v>33537908.333333332</v>
      </c>
      <c r="DP343" s="143">
        <f t="shared" si="111"/>
        <v>33537908.333333332</v>
      </c>
      <c r="DQ343" s="143">
        <f t="shared" si="111"/>
        <v>33537908.333333332</v>
      </c>
      <c r="DR343" s="143">
        <f t="shared" si="111"/>
        <v>33537908.333333332</v>
      </c>
      <c r="DS343" s="143">
        <f t="shared" si="111"/>
        <v>33537908.333333332</v>
      </c>
      <c r="DT343" s="143">
        <f t="shared" si="111"/>
        <v>33537908.333333332</v>
      </c>
      <c r="DU343" s="144">
        <f t="shared" si="111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</row>
    <row r="344" spans="1:149">
      <c r="D344" s="74" t="str">
        <f t="shared" si="105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49">
      <c r="D345" s="74" t="str">
        <f t="shared" si="105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49">
      <c r="D346" s="74" t="str">
        <f t="shared" si="105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49">
      <c r="D347" s="74" t="str">
        <f t="shared" ref="D347:D404" si="112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49">
      <c r="D348" s="74" t="str">
        <f t="shared" si="112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49">
      <c r="D349" s="74" t="str">
        <f t="shared" si="112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49" ht="30">
      <c r="D350" s="74" t="str">
        <f t="shared" si="112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49" s="9" customFormat="1" ht="30">
      <c r="A351" s="140"/>
      <c r="B351" s="140"/>
      <c r="C351" s="140">
        <v>424</v>
      </c>
      <c r="D351" s="140" t="str">
        <f t="shared" si="112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3">+CL352</f>
        <v>1133333.3333333333</v>
      </c>
      <c r="CM351" s="143">
        <f t="shared" si="113"/>
        <v>1133333.3333333333</v>
      </c>
      <c r="CN351" s="143">
        <f t="shared" si="113"/>
        <v>1133333.3333333333</v>
      </c>
      <c r="CO351" s="143">
        <f t="shared" si="113"/>
        <v>1133333.3333333333</v>
      </c>
      <c r="CP351" s="143">
        <f t="shared" si="113"/>
        <v>1133333.3333333333</v>
      </c>
      <c r="CQ351" s="143">
        <f t="shared" si="113"/>
        <v>1133333.3333333333</v>
      </c>
      <c r="CR351" s="143">
        <f t="shared" si="113"/>
        <v>1133333.3333333333</v>
      </c>
      <c r="CS351" s="143">
        <f t="shared" si="113"/>
        <v>1133333.3333333333</v>
      </c>
      <c r="CT351" s="143">
        <f t="shared" si="113"/>
        <v>1133333.3333333333</v>
      </c>
      <c r="CU351" s="143">
        <f t="shared" si="113"/>
        <v>1133333.3333333333</v>
      </c>
      <c r="CV351" s="143">
        <f t="shared" si="113"/>
        <v>1133333.3333333333</v>
      </c>
      <c r="CW351" s="144">
        <f t="shared" si="113"/>
        <v>1133333.3333333333</v>
      </c>
      <c r="CX351" s="315">
        <f t="shared" si="113"/>
        <v>1208333.3333333333</v>
      </c>
      <c r="CY351" s="318">
        <f t="shared" ref="CY351:DI351" si="114">+CY352</f>
        <v>1208333.3333333333</v>
      </c>
      <c r="CZ351" s="318">
        <f t="shared" si="114"/>
        <v>1208333.3333333333</v>
      </c>
      <c r="DA351" s="318">
        <f t="shared" si="114"/>
        <v>1208333.3333333333</v>
      </c>
      <c r="DB351" s="318">
        <f t="shared" si="114"/>
        <v>1208333.3333333333</v>
      </c>
      <c r="DC351" s="318">
        <f t="shared" si="114"/>
        <v>1208333.3333333333</v>
      </c>
      <c r="DD351" s="318">
        <f t="shared" si="114"/>
        <v>1208333.3333333333</v>
      </c>
      <c r="DE351" s="318">
        <f t="shared" si="114"/>
        <v>1208333.3333333333</v>
      </c>
      <c r="DF351" s="318">
        <f t="shared" si="114"/>
        <v>1208333.3333333333</v>
      </c>
      <c r="DG351" s="318">
        <f t="shared" si="114"/>
        <v>1208333.3333333333</v>
      </c>
      <c r="DH351" s="318">
        <f t="shared" si="114"/>
        <v>1208333.3333333333</v>
      </c>
      <c r="DI351" s="316">
        <f t="shared" si="114"/>
        <v>1208333.3333333333</v>
      </c>
      <c r="DJ351" s="142">
        <f>+DJ352</f>
        <v>1250000</v>
      </c>
      <c r="DK351" s="143">
        <f t="shared" ref="DK351:DU351" si="115">+DK352</f>
        <v>1250000</v>
      </c>
      <c r="DL351" s="143">
        <f t="shared" si="115"/>
        <v>1250000</v>
      </c>
      <c r="DM351" s="143">
        <f t="shared" si="115"/>
        <v>1250000</v>
      </c>
      <c r="DN351" s="143">
        <f t="shared" si="115"/>
        <v>1250000</v>
      </c>
      <c r="DO351" s="143">
        <f t="shared" si="115"/>
        <v>1250000</v>
      </c>
      <c r="DP351" s="143">
        <f t="shared" si="115"/>
        <v>1250000</v>
      </c>
      <c r="DQ351" s="143">
        <f t="shared" si="115"/>
        <v>1250000</v>
      </c>
      <c r="DR351" s="143">
        <f t="shared" si="115"/>
        <v>1250000</v>
      </c>
      <c r="DS351" s="143">
        <f t="shared" si="115"/>
        <v>1250000</v>
      </c>
      <c r="DT351" s="143">
        <f t="shared" si="115"/>
        <v>1250000</v>
      </c>
      <c r="DU351" s="144">
        <f t="shared" si="115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</row>
    <row r="352" spans="1:149">
      <c r="D352" s="74" t="str">
        <f t="shared" si="112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49" s="9" customFormat="1" ht="30">
      <c r="A353" s="140"/>
      <c r="B353" s="140"/>
      <c r="C353" s="140">
        <v>425</v>
      </c>
      <c r="D353" s="140" t="str">
        <f t="shared" si="112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6">+SUM(CL354:CL356)</f>
        <v>583333.33333333326</v>
      </c>
      <c r="CM353" s="143">
        <f t="shared" si="116"/>
        <v>583333.33333333326</v>
      </c>
      <c r="CN353" s="143">
        <f t="shared" si="116"/>
        <v>583333.33333333326</v>
      </c>
      <c r="CO353" s="143">
        <f t="shared" si="116"/>
        <v>583333.33333333326</v>
      </c>
      <c r="CP353" s="143">
        <f t="shared" si="116"/>
        <v>583333.33333333326</v>
      </c>
      <c r="CQ353" s="143">
        <f t="shared" si="116"/>
        <v>583333.33333333326</v>
      </c>
      <c r="CR353" s="143">
        <f t="shared" si="116"/>
        <v>583333.33333333326</v>
      </c>
      <c r="CS353" s="143">
        <f t="shared" si="116"/>
        <v>583333.33333333326</v>
      </c>
      <c r="CT353" s="143">
        <f t="shared" si="116"/>
        <v>583333.33333333326</v>
      </c>
      <c r="CU353" s="143">
        <f t="shared" si="116"/>
        <v>583333.33333333326</v>
      </c>
      <c r="CV353" s="143">
        <f t="shared" si="116"/>
        <v>583333.33333333326</v>
      </c>
      <c r="CW353" s="144">
        <f t="shared" si="116"/>
        <v>583333.33333333326</v>
      </c>
      <c r="CX353" s="315">
        <f t="shared" si="116"/>
        <v>583333.33333333326</v>
      </c>
      <c r="CY353" s="318">
        <f t="shared" ref="CY353:DI353" si="117">+SUM(CY354:CY356)</f>
        <v>583333.33333333326</v>
      </c>
      <c r="CZ353" s="318">
        <f t="shared" si="117"/>
        <v>583333.33333333326</v>
      </c>
      <c r="DA353" s="318">
        <f t="shared" si="117"/>
        <v>583333.33333333326</v>
      </c>
      <c r="DB353" s="318">
        <f t="shared" si="117"/>
        <v>583333.33333333326</v>
      </c>
      <c r="DC353" s="318">
        <f t="shared" si="117"/>
        <v>583333.33333333326</v>
      </c>
      <c r="DD353" s="318">
        <f t="shared" si="117"/>
        <v>583333.33333333326</v>
      </c>
      <c r="DE353" s="318">
        <f t="shared" si="117"/>
        <v>583333.33333333326</v>
      </c>
      <c r="DF353" s="318">
        <f t="shared" si="117"/>
        <v>583333.33333333326</v>
      </c>
      <c r="DG353" s="318">
        <f t="shared" si="117"/>
        <v>583333.33333333326</v>
      </c>
      <c r="DH353" s="318">
        <f t="shared" si="117"/>
        <v>583333.33333333326</v>
      </c>
      <c r="DI353" s="316">
        <f t="shared" si="117"/>
        <v>583333.33333333326</v>
      </c>
      <c r="DJ353" s="142">
        <f>+SUM(DJ354:DJ356)</f>
        <v>618333.33333333326</v>
      </c>
      <c r="DK353" s="143">
        <f t="shared" ref="DK353:DU353" si="118">+SUM(DK354:DK356)</f>
        <v>618333.33333333326</v>
      </c>
      <c r="DL353" s="143">
        <f t="shared" si="118"/>
        <v>618333.33333333326</v>
      </c>
      <c r="DM353" s="143">
        <f t="shared" si="118"/>
        <v>618333.33333333326</v>
      </c>
      <c r="DN353" s="143">
        <f t="shared" si="118"/>
        <v>618333.33333333326</v>
      </c>
      <c r="DO353" s="143">
        <f t="shared" si="118"/>
        <v>618333.33333333326</v>
      </c>
      <c r="DP353" s="143">
        <f t="shared" si="118"/>
        <v>618333.33333333326</v>
      </c>
      <c r="DQ353" s="143">
        <f t="shared" si="118"/>
        <v>618333.33333333326</v>
      </c>
      <c r="DR353" s="143">
        <f t="shared" si="118"/>
        <v>618333.33333333326</v>
      </c>
      <c r="DS353" s="143">
        <f t="shared" si="118"/>
        <v>618333.33333333326</v>
      </c>
      <c r="DT353" s="143">
        <f t="shared" si="118"/>
        <v>618333.33333333326</v>
      </c>
      <c r="DU353" s="144">
        <f t="shared" si="118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</row>
    <row r="354" spans="1:149">
      <c r="D354" s="74" t="str">
        <f t="shared" si="112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49" ht="30">
      <c r="D355" s="74" t="str">
        <f t="shared" si="112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49" ht="30">
      <c r="D356" s="74" t="str">
        <f t="shared" si="112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</row>
    <row r="357" spans="1:149" s="9" customFormat="1" ht="45">
      <c r="A357" s="140" t="s">
        <v>96</v>
      </c>
      <c r="B357" s="140">
        <v>43</v>
      </c>
      <c r="C357" s="140"/>
      <c r="D357" s="140" t="str">
        <f t="shared" si="112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19">+CL358+CL368</f>
        <v>7656724.8525</v>
      </c>
      <c r="CM357" s="143">
        <f t="shared" si="119"/>
        <v>7656724.8525</v>
      </c>
      <c r="CN357" s="143">
        <f t="shared" si="119"/>
        <v>7656724.8525</v>
      </c>
      <c r="CO357" s="143">
        <f t="shared" si="119"/>
        <v>7656724.8525</v>
      </c>
      <c r="CP357" s="143">
        <f t="shared" si="119"/>
        <v>7656724.8525</v>
      </c>
      <c r="CQ357" s="143">
        <f t="shared" si="119"/>
        <v>7656724.8525</v>
      </c>
      <c r="CR357" s="143">
        <f t="shared" si="119"/>
        <v>7656724.8525</v>
      </c>
      <c r="CS357" s="143">
        <f t="shared" si="119"/>
        <v>7656724.8525</v>
      </c>
      <c r="CT357" s="143">
        <f t="shared" si="119"/>
        <v>7656724.8525</v>
      </c>
      <c r="CU357" s="143">
        <f t="shared" si="119"/>
        <v>7656724.8525</v>
      </c>
      <c r="CV357" s="143">
        <f t="shared" si="119"/>
        <v>7656724.8525</v>
      </c>
      <c r="CW357" s="144">
        <f t="shared" si="119"/>
        <v>7656724.8525</v>
      </c>
      <c r="CX357" s="315">
        <f t="shared" si="119"/>
        <v>8288399.6951821186</v>
      </c>
      <c r="CY357" s="318">
        <f t="shared" ref="CY357:DH357" si="120">+CY358+CY368</f>
        <v>8288399.6951821186</v>
      </c>
      <c r="CZ357" s="318">
        <f t="shared" si="120"/>
        <v>8288399.6951821186</v>
      </c>
      <c r="DA357" s="318">
        <f t="shared" si="120"/>
        <v>8288399.6951821186</v>
      </c>
      <c r="DB357" s="318">
        <f t="shared" si="120"/>
        <v>8288399.6951821186</v>
      </c>
      <c r="DC357" s="318">
        <f t="shared" si="120"/>
        <v>8288399.6951821186</v>
      </c>
      <c r="DD357" s="318">
        <f t="shared" si="120"/>
        <v>8288399.6951821186</v>
      </c>
      <c r="DE357" s="318">
        <f t="shared" si="120"/>
        <v>8288399.6951821186</v>
      </c>
      <c r="DF357" s="318">
        <f t="shared" si="120"/>
        <v>8288399.6951821186</v>
      </c>
      <c r="DG357" s="318">
        <f t="shared" si="120"/>
        <v>8288399.6951821186</v>
      </c>
      <c r="DH357" s="318">
        <f t="shared" si="120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1">+DK358+DK368</f>
        <v>10691224.718333334</v>
      </c>
      <c r="DL357" s="143">
        <f t="shared" si="121"/>
        <v>10691224.718333334</v>
      </c>
      <c r="DM357" s="143">
        <f t="shared" si="121"/>
        <v>10691224.718333334</v>
      </c>
      <c r="DN357" s="143">
        <f t="shared" si="121"/>
        <v>10691224.718333334</v>
      </c>
      <c r="DO357" s="143">
        <f t="shared" si="121"/>
        <v>10691224.718333334</v>
      </c>
      <c r="DP357" s="143">
        <f t="shared" si="121"/>
        <v>10691224.718333334</v>
      </c>
      <c r="DQ357" s="143">
        <f t="shared" si="121"/>
        <v>10691224.718333334</v>
      </c>
      <c r="DR357" s="143">
        <f t="shared" si="121"/>
        <v>10691224.718333334</v>
      </c>
      <c r="DS357" s="143">
        <f t="shared" si="121"/>
        <v>10691224.718333334</v>
      </c>
      <c r="DT357" s="143">
        <f t="shared" si="121"/>
        <v>10691224.718333334</v>
      </c>
      <c r="DU357" s="144">
        <f t="shared" si="121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</row>
    <row r="358" spans="1:149" s="9" customFormat="1" ht="45">
      <c r="A358" s="140" t="s">
        <v>96</v>
      </c>
      <c r="B358" s="140" t="s">
        <v>96</v>
      </c>
      <c r="C358" s="140">
        <v>431</v>
      </c>
      <c r="D358" s="140" t="str">
        <f t="shared" si="112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2">+SUM(CL359:CL367)</f>
        <v>7635891.519166667</v>
      </c>
      <c r="CM358" s="143">
        <f t="shared" si="122"/>
        <v>7635891.519166667</v>
      </c>
      <c r="CN358" s="143">
        <f t="shared" si="122"/>
        <v>7635891.519166667</v>
      </c>
      <c r="CO358" s="143">
        <f t="shared" si="122"/>
        <v>7635891.519166667</v>
      </c>
      <c r="CP358" s="143">
        <f t="shared" si="122"/>
        <v>7635891.519166667</v>
      </c>
      <c r="CQ358" s="143">
        <f t="shared" si="122"/>
        <v>7635891.519166667</v>
      </c>
      <c r="CR358" s="143">
        <f t="shared" si="122"/>
        <v>7635891.519166667</v>
      </c>
      <c r="CS358" s="143">
        <f t="shared" si="122"/>
        <v>7635891.519166667</v>
      </c>
      <c r="CT358" s="143">
        <f t="shared" si="122"/>
        <v>7635891.519166667</v>
      </c>
      <c r="CU358" s="143">
        <f t="shared" si="122"/>
        <v>7635891.519166667</v>
      </c>
      <c r="CV358" s="143">
        <f t="shared" si="122"/>
        <v>7635891.519166667</v>
      </c>
      <c r="CW358" s="144">
        <f t="shared" si="122"/>
        <v>7635891.519166667</v>
      </c>
      <c r="CX358" s="315">
        <f t="shared" si="122"/>
        <v>8102373.0414896114</v>
      </c>
      <c r="CY358" s="318">
        <f t="shared" ref="CY358:DI358" si="123">+SUM(CY359:CY367)</f>
        <v>8102373.0414896114</v>
      </c>
      <c r="CZ358" s="318">
        <f t="shared" si="123"/>
        <v>8102373.0414896114</v>
      </c>
      <c r="DA358" s="318">
        <f t="shared" si="123"/>
        <v>8102373.0414896114</v>
      </c>
      <c r="DB358" s="318">
        <f t="shared" si="123"/>
        <v>8102373.0414896114</v>
      </c>
      <c r="DC358" s="318">
        <f t="shared" si="123"/>
        <v>8102373.0414896114</v>
      </c>
      <c r="DD358" s="318">
        <f t="shared" si="123"/>
        <v>8102373.0414896114</v>
      </c>
      <c r="DE358" s="318">
        <f t="shared" si="123"/>
        <v>8102373.0414896114</v>
      </c>
      <c r="DF358" s="318">
        <f t="shared" si="123"/>
        <v>8102373.0414896114</v>
      </c>
      <c r="DG358" s="318">
        <f t="shared" si="123"/>
        <v>8102373.0414896114</v>
      </c>
      <c r="DH358" s="318">
        <f t="shared" si="123"/>
        <v>8102373.0414896114</v>
      </c>
      <c r="DI358" s="316">
        <f t="shared" si="123"/>
        <v>8101624.3214896088</v>
      </c>
      <c r="DJ358" s="142">
        <f>+SUM(DJ359:DJ367)</f>
        <v>10655599.718333334</v>
      </c>
      <c r="DK358" s="143">
        <f t="shared" ref="DK358:DU358" si="124">+SUM(DK359:DK367)</f>
        <v>10655599.718333334</v>
      </c>
      <c r="DL358" s="143">
        <f t="shared" si="124"/>
        <v>10655599.718333334</v>
      </c>
      <c r="DM358" s="143">
        <f t="shared" si="124"/>
        <v>10655599.718333334</v>
      </c>
      <c r="DN358" s="143">
        <f t="shared" si="124"/>
        <v>10655599.718333334</v>
      </c>
      <c r="DO358" s="143">
        <f t="shared" si="124"/>
        <v>10655599.718333334</v>
      </c>
      <c r="DP358" s="143">
        <f t="shared" si="124"/>
        <v>10655599.718333334</v>
      </c>
      <c r="DQ358" s="143">
        <f t="shared" si="124"/>
        <v>10655599.718333334</v>
      </c>
      <c r="DR358" s="143">
        <f t="shared" si="124"/>
        <v>10655599.718333334</v>
      </c>
      <c r="DS358" s="143">
        <f t="shared" si="124"/>
        <v>10655599.718333334</v>
      </c>
      <c r="DT358" s="143">
        <f t="shared" si="124"/>
        <v>10655599.718333334</v>
      </c>
      <c r="DU358" s="144">
        <f t="shared" si="124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</row>
    <row r="359" spans="1:149">
      <c r="D359" s="74" t="str">
        <f t="shared" si="112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49">
      <c r="D360" s="74" t="str">
        <f t="shared" si="112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49" ht="30">
      <c r="D361" s="74" t="str">
        <f t="shared" si="112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49" ht="30">
      <c r="D362" s="74" t="str">
        <f t="shared" si="112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49" ht="30">
      <c r="D363" s="74" t="str">
        <f t="shared" si="112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49" ht="30">
      <c r="D364" s="74" t="str">
        <f t="shared" si="112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49" ht="30">
      <c r="D365" s="74" t="str">
        <f t="shared" si="112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49">
      <c r="D366" s="74" t="str">
        <f t="shared" si="112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49">
      <c r="D367" s="74" t="str">
        <f t="shared" si="112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49" s="9" customFormat="1">
      <c r="A368" s="140" t="s">
        <v>96</v>
      </c>
      <c r="B368" s="140" t="s">
        <v>96</v>
      </c>
      <c r="C368" s="140">
        <v>432</v>
      </c>
      <c r="D368" s="140" t="str">
        <f t="shared" si="112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5">+SUM(CL369:CL374)</f>
        <v>20833.333333333332</v>
      </c>
      <c r="CM368" s="143">
        <f t="shared" si="125"/>
        <v>20833.333333333332</v>
      </c>
      <c r="CN368" s="143">
        <f t="shared" si="125"/>
        <v>20833.333333333332</v>
      </c>
      <c r="CO368" s="143">
        <f t="shared" si="125"/>
        <v>20833.333333333332</v>
      </c>
      <c r="CP368" s="143">
        <f t="shared" si="125"/>
        <v>20833.333333333332</v>
      </c>
      <c r="CQ368" s="143">
        <f t="shared" si="125"/>
        <v>20833.333333333332</v>
      </c>
      <c r="CR368" s="143">
        <f t="shared" si="125"/>
        <v>20833.333333333332</v>
      </c>
      <c r="CS368" s="143">
        <f t="shared" si="125"/>
        <v>20833.333333333332</v>
      </c>
      <c r="CT368" s="143">
        <f t="shared" si="125"/>
        <v>20833.333333333332</v>
      </c>
      <c r="CU368" s="143">
        <f t="shared" si="125"/>
        <v>20833.333333333332</v>
      </c>
      <c r="CV368" s="143">
        <f t="shared" si="125"/>
        <v>20833.333333333332</v>
      </c>
      <c r="CW368" s="144">
        <f t="shared" si="125"/>
        <v>20833.333333333332</v>
      </c>
      <c r="CX368" s="315">
        <f t="shared" si="125"/>
        <v>186026.65369250745</v>
      </c>
      <c r="CY368" s="318">
        <f t="shared" ref="CY368:DI368" si="126">+SUM(CY369:CY374)</f>
        <v>186026.65369250745</v>
      </c>
      <c r="CZ368" s="318">
        <f t="shared" si="126"/>
        <v>186026.65369250745</v>
      </c>
      <c r="DA368" s="318">
        <f t="shared" si="126"/>
        <v>186026.65369250745</v>
      </c>
      <c r="DB368" s="318">
        <f t="shared" si="126"/>
        <v>186026.65369250745</v>
      </c>
      <c r="DC368" s="318">
        <f t="shared" si="126"/>
        <v>186026.65369250745</v>
      </c>
      <c r="DD368" s="318">
        <f t="shared" si="126"/>
        <v>186026.65369250745</v>
      </c>
      <c r="DE368" s="318">
        <f t="shared" si="126"/>
        <v>186026.65369250745</v>
      </c>
      <c r="DF368" s="318">
        <f t="shared" si="126"/>
        <v>186026.65369250745</v>
      </c>
      <c r="DG368" s="318">
        <f t="shared" si="126"/>
        <v>186026.65369250745</v>
      </c>
      <c r="DH368" s="318">
        <f t="shared" si="126"/>
        <v>186026.65369250745</v>
      </c>
      <c r="DI368" s="316">
        <f t="shared" si="126"/>
        <v>186026.65369250745</v>
      </c>
      <c r="DJ368" s="142">
        <f>+SUM(DJ369:DJ374)</f>
        <v>35625</v>
      </c>
      <c r="DK368" s="143">
        <f t="shared" ref="DK368:DU368" si="127">+SUM(DK369:DK374)</f>
        <v>35625</v>
      </c>
      <c r="DL368" s="143">
        <f t="shared" si="127"/>
        <v>35625</v>
      </c>
      <c r="DM368" s="143">
        <f t="shared" si="127"/>
        <v>35625</v>
      </c>
      <c r="DN368" s="143">
        <f t="shared" si="127"/>
        <v>35625</v>
      </c>
      <c r="DO368" s="143">
        <f t="shared" si="127"/>
        <v>35625</v>
      </c>
      <c r="DP368" s="143">
        <f t="shared" si="127"/>
        <v>35625</v>
      </c>
      <c r="DQ368" s="143">
        <f t="shared" si="127"/>
        <v>35625</v>
      </c>
      <c r="DR368" s="143">
        <f t="shared" si="127"/>
        <v>35625</v>
      </c>
      <c r="DS368" s="143">
        <f t="shared" si="127"/>
        <v>35625</v>
      </c>
      <c r="DT368" s="143">
        <f t="shared" si="127"/>
        <v>35625</v>
      </c>
      <c r="DU368" s="144">
        <f t="shared" si="127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</row>
    <row r="369" spans="1:149" ht="30">
      <c r="D369" s="74" t="str">
        <f t="shared" si="112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49">
      <c r="D370" s="74" t="str">
        <f t="shared" si="112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49" ht="30">
      <c r="D371" s="74" t="str">
        <f t="shared" si="112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49">
      <c r="D372" s="74" t="str">
        <f t="shared" si="112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49">
      <c r="D373" s="74" t="str">
        <f t="shared" si="112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49">
      <c r="D374" s="74" t="str">
        <f t="shared" si="112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49" s="9" customFormat="1">
      <c r="A375" s="140"/>
      <c r="B375" s="140"/>
      <c r="C375" s="140">
        <v>441</v>
      </c>
      <c r="D375" s="140" t="str">
        <f t="shared" si="112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</row>
    <row r="376" spans="1:149" s="9" customFormat="1" ht="30">
      <c r="A376" s="140"/>
      <c r="B376" s="140"/>
      <c r="C376" s="140">
        <v>441</v>
      </c>
      <c r="D376" s="140" t="str">
        <f t="shared" si="112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28">+SUM(CL377:CL385)</f>
        <v>5664403.9874999989</v>
      </c>
      <c r="CM376" s="143">
        <f t="shared" si="128"/>
        <v>5664403.9874999989</v>
      </c>
      <c r="CN376" s="143">
        <f t="shared" si="128"/>
        <v>5664403.9874999989</v>
      </c>
      <c r="CO376" s="143">
        <f t="shared" si="128"/>
        <v>5664403.9874999989</v>
      </c>
      <c r="CP376" s="143">
        <f t="shared" si="128"/>
        <v>5664403.9874999989</v>
      </c>
      <c r="CQ376" s="143">
        <f t="shared" si="128"/>
        <v>5664403.9874999989</v>
      </c>
      <c r="CR376" s="143">
        <f t="shared" si="128"/>
        <v>5664403.9874999989</v>
      </c>
      <c r="CS376" s="143">
        <f t="shared" si="128"/>
        <v>5664403.9874999989</v>
      </c>
      <c r="CT376" s="143">
        <f t="shared" si="128"/>
        <v>5664403.9874999989</v>
      </c>
      <c r="CU376" s="143">
        <f t="shared" si="128"/>
        <v>5664403.9874999989</v>
      </c>
      <c r="CV376" s="143">
        <f t="shared" si="128"/>
        <v>5664403.9874999989</v>
      </c>
      <c r="CW376" s="144">
        <f t="shared" si="128"/>
        <v>5664403.9874999989</v>
      </c>
      <c r="CX376" s="315">
        <f t="shared" si="128"/>
        <v>862330.27666666661</v>
      </c>
      <c r="CY376" s="318">
        <f t="shared" ref="CY376:DI376" si="129">+SUM(CY377:CY385)</f>
        <v>862330.27666666661</v>
      </c>
      <c r="CZ376" s="318">
        <f t="shared" si="129"/>
        <v>862330.27666666661</v>
      </c>
      <c r="DA376" s="318">
        <f t="shared" si="129"/>
        <v>862330.27666666661</v>
      </c>
      <c r="DB376" s="318">
        <f t="shared" si="129"/>
        <v>862330.27666666661</v>
      </c>
      <c r="DC376" s="318">
        <f t="shared" si="129"/>
        <v>862330.27666666661</v>
      </c>
      <c r="DD376" s="318">
        <f t="shared" si="129"/>
        <v>862330.27666666661</v>
      </c>
      <c r="DE376" s="318">
        <f t="shared" si="129"/>
        <v>862330.27666666661</v>
      </c>
      <c r="DF376" s="318">
        <f t="shared" si="129"/>
        <v>862330.27666666661</v>
      </c>
      <c r="DG376" s="318">
        <f t="shared" si="129"/>
        <v>862330.27666666661</v>
      </c>
      <c r="DH376" s="318">
        <f t="shared" si="129"/>
        <v>862330.27666666661</v>
      </c>
      <c r="DI376" s="316">
        <f t="shared" si="129"/>
        <v>862330.27666666661</v>
      </c>
      <c r="DJ376" s="142">
        <f>+SUM(DJ377:DJ385)</f>
        <v>1154156.4341666666</v>
      </c>
      <c r="DK376" s="143">
        <f t="shared" ref="DK376:DU376" si="130">+SUM(DK377:DK385)</f>
        <v>1154156.4341666666</v>
      </c>
      <c r="DL376" s="143">
        <f t="shared" si="130"/>
        <v>1154156.4341666666</v>
      </c>
      <c r="DM376" s="143">
        <f t="shared" si="130"/>
        <v>1154156.4341666666</v>
      </c>
      <c r="DN376" s="143">
        <f t="shared" si="130"/>
        <v>1154156.4341666666</v>
      </c>
      <c r="DO376" s="143">
        <f t="shared" si="130"/>
        <v>1154156.4341666666</v>
      </c>
      <c r="DP376" s="143">
        <f t="shared" si="130"/>
        <v>1154156.4341666666</v>
      </c>
      <c r="DQ376" s="143">
        <f t="shared" si="130"/>
        <v>1154156.4341666666</v>
      </c>
      <c r="DR376" s="143">
        <f t="shared" si="130"/>
        <v>1154156.4341666666</v>
      </c>
      <c r="DS376" s="143">
        <f t="shared" si="130"/>
        <v>1154156.4341666666</v>
      </c>
      <c r="DT376" s="143">
        <f t="shared" si="130"/>
        <v>1154156.4341666666</v>
      </c>
      <c r="DU376" s="144">
        <f t="shared" si="130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</row>
    <row r="377" spans="1:149" ht="30">
      <c r="D377" s="74" t="str">
        <f t="shared" si="112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49">
      <c r="D378" s="74" t="str">
        <f t="shared" si="112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49">
      <c r="D379" s="74" t="str">
        <f t="shared" si="112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49">
      <c r="D380" s="74" t="str">
        <f t="shared" si="112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49">
      <c r="D381" s="74" t="str">
        <f t="shared" si="112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49">
      <c r="D382" s="74" t="str">
        <f t="shared" si="112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49">
      <c r="D383" s="74" t="str">
        <f t="shared" si="112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49" ht="30">
      <c r="D384" s="74" t="str">
        <f t="shared" si="112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50">
      <c r="D385" s="74" t="str">
        <f t="shared" si="112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50" s="9" customFormat="1">
      <c r="A386" s="140" t="s">
        <v>96</v>
      </c>
      <c r="B386" s="140">
        <v>45</v>
      </c>
      <c r="C386" s="140"/>
      <c r="D386" s="140" t="str">
        <f t="shared" si="112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1">+CM387</f>
        <v>143333.33333333334</v>
      </c>
      <c r="CN386" s="143">
        <f t="shared" si="131"/>
        <v>143333.33333333334</v>
      </c>
      <c r="CO386" s="143">
        <f t="shared" si="131"/>
        <v>143333.33333333334</v>
      </c>
      <c r="CP386" s="143">
        <f t="shared" si="131"/>
        <v>143333.33333333334</v>
      </c>
      <c r="CQ386" s="143">
        <f t="shared" si="131"/>
        <v>143333.33333333334</v>
      </c>
      <c r="CR386" s="143">
        <f t="shared" si="131"/>
        <v>143333.33333333334</v>
      </c>
      <c r="CS386" s="143">
        <f t="shared" si="131"/>
        <v>143333.33333333334</v>
      </c>
      <c r="CT386" s="143">
        <f t="shared" si="131"/>
        <v>143333.33333333334</v>
      </c>
      <c r="CU386" s="143">
        <f t="shared" si="131"/>
        <v>143333.33333333334</v>
      </c>
      <c r="CV386" s="143">
        <f t="shared" si="131"/>
        <v>143333.33333333334</v>
      </c>
      <c r="CW386" s="144">
        <f t="shared" si="131"/>
        <v>143333.33333333334</v>
      </c>
      <c r="CX386" s="315">
        <f t="shared" si="131"/>
        <v>178333.33333333334</v>
      </c>
      <c r="CY386" s="318">
        <f t="shared" si="131"/>
        <v>178333.33333333334</v>
      </c>
      <c r="CZ386" s="318">
        <f t="shared" si="131"/>
        <v>178333.33333333334</v>
      </c>
      <c r="DA386" s="318">
        <f t="shared" si="131"/>
        <v>178333.33333333334</v>
      </c>
      <c r="DB386" s="318">
        <f t="shared" si="131"/>
        <v>178333.33333333334</v>
      </c>
      <c r="DC386" s="318">
        <f t="shared" si="131"/>
        <v>178333.33333333334</v>
      </c>
      <c r="DD386" s="318">
        <f t="shared" si="131"/>
        <v>178333.33333333334</v>
      </c>
      <c r="DE386" s="318">
        <f t="shared" si="131"/>
        <v>178333.33333333334</v>
      </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    <v>178333.33333333334</v>
      </c>
      <c r="DI386" s="316">
        <f t="shared" si="131"/>
        <v>178333.33333333334</v>
      </c>
      <c r="DJ386" s="142">
        <f>+DJ387</f>
        <v>187500</v>
      </c>
      <c r="DK386" s="143">
        <f t="shared" ref="DK386:DU386" si="132">+DK387</f>
        <v>187500</v>
      </c>
      <c r="DL386" s="143">
        <f t="shared" si="132"/>
        <v>187500</v>
      </c>
      <c r="DM386" s="143">
        <f t="shared" si="132"/>
        <v>187500</v>
      </c>
      <c r="DN386" s="143">
        <f t="shared" si="132"/>
        <v>187500</v>
      </c>
      <c r="DO386" s="143">
        <f t="shared" si="132"/>
        <v>187500</v>
      </c>
      <c r="DP386" s="143">
        <f t="shared" si="132"/>
        <v>187500</v>
      </c>
      <c r="DQ386" s="143">
        <f t="shared" si="132"/>
        <v>187500</v>
      </c>
      <c r="DR386" s="143">
        <f t="shared" si="132"/>
        <v>187500</v>
      </c>
      <c r="DS386" s="143">
        <f t="shared" si="132"/>
        <v>187500</v>
      </c>
      <c r="DT386" s="143">
        <f t="shared" si="132"/>
        <v>187500</v>
      </c>
      <c r="DU386" s="144">
        <f t="shared" si="132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</row>
    <row r="387" spans="1:150">
      <c r="C387" s="74">
        <v>451</v>
      </c>
      <c r="D387" s="74" t="str">
        <f t="shared" si="112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3">++SUM(CM388:CM392)</f>
        <v>143333.33333333334</v>
      </c>
      <c r="CN387" s="105">
        <f t="shared" si="133"/>
        <v>143333.33333333334</v>
      </c>
      <c r="CO387" s="105">
        <f t="shared" si="133"/>
        <v>143333.33333333334</v>
      </c>
      <c r="CP387" s="105">
        <f t="shared" si="133"/>
        <v>143333.33333333334</v>
      </c>
      <c r="CQ387" s="105">
        <f t="shared" si="133"/>
        <v>143333.33333333334</v>
      </c>
      <c r="CR387" s="105">
        <f t="shared" si="133"/>
        <v>143333.33333333334</v>
      </c>
      <c r="CS387" s="105">
        <f t="shared" si="133"/>
        <v>143333.33333333334</v>
      </c>
      <c r="CT387" s="105">
        <f t="shared" si="133"/>
        <v>143333.33333333334</v>
      </c>
      <c r="CU387" s="105">
        <f t="shared" si="133"/>
        <v>143333.33333333334</v>
      </c>
      <c r="CV387" s="105">
        <f t="shared" si="133"/>
        <v>143333.33333333334</v>
      </c>
      <c r="CW387" s="106">
        <f t="shared" si="133"/>
        <v>143333.33333333334</v>
      </c>
      <c r="CX387" s="314">
        <f t="shared" si="133"/>
        <v>178333.33333333334</v>
      </c>
      <c r="CY387" s="317">
        <f t="shared" si="133"/>
        <v>178333.33333333334</v>
      </c>
      <c r="CZ387" s="317">
        <f t="shared" si="133"/>
        <v>178333.33333333334</v>
      </c>
      <c r="DA387" s="317">
        <f t="shared" si="133"/>
        <v>178333.33333333334</v>
      </c>
      <c r="DB387" s="317">
        <f t="shared" si="133"/>
        <v>178333.33333333334</v>
      </c>
      <c r="DC387" s="317">
        <f t="shared" si="133"/>
        <v>178333.33333333334</v>
      </c>
      <c r="DD387" s="317">
        <f t="shared" si="133"/>
        <v>178333.33333333334</v>
      </c>
      <c r="DE387" s="317">
        <f t="shared" si="133"/>
        <v>178333.33333333334</v>
      </c>
      <c r="DF387" s="317">
        <f t="shared" si="133"/>
        <v>178333.33333333334</v>
      </c>
      <c r="DG387" s="317">
        <f t="shared" si="133"/>
        <v>178333.33333333334</v>
      </c>
      <c r="DH387" s="317">
        <f t="shared" si="133"/>
        <v>178333.33333333334</v>
      </c>
      <c r="DI387" s="313">
        <f t="shared" si="133"/>
        <v>178333.33333333334</v>
      </c>
      <c r="DJ387" s="104">
        <f>+SUM(DJ388:DJ392)</f>
        <v>187500</v>
      </c>
      <c r="DK387" s="105">
        <f t="shared" ref="DK387:DU387" si="134">+SUM(DK388:DK392)</f>
        <v>187500</v>
      </c>
      <c r="DL387" s="105">
        <f t="shared" si="134"/>
        <v>187500</v>
      </c>
      <c r="DM387" s="105">
        <f t="shared" si="134"/>
        <v>187500</v>
      </c>
      <c r="DN387" s="105">
        <f t="shared" si="134"/>
        <v>187500</v>
      </c>
      <c r="DO387" s="105">
        <f t="shared" si="134"/>
        <v>187500</v>
      </c>
      <c r="DP387" s="105">
        <f t="shared" si="134"/>
        <v>187500</v>
      </c>
      <c r="DQ387" s="105">
        <f t="shared" si="134"/>
        <v>187500</v>
      </c>
      <c r="DR387" s="105">
        <f t="shared" si="134"/>
        <v>187500</v>
      </c>
      <c r="DS387" s="105">
        <f t="shared" si="134"/>
        <v>187500</v>
      </c>
      <c r="DT387" s="105">
        <f t="shared" si="134"/>
        <v>187500</v>
      </c>
      <c r="DU387" s="106">
        <f t="shared" si="134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50" ht="30">
      <c r="D388" s="74" t="str">
        <f t="shared" si="112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50" ht="30">
      <c r="D389" s="74" t="str">
        <f t="shared" si="112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50">
      <c r="D390" s="74" t="str">
        <f t="shared" si="112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50" ht="45">
      <c r="D391" s="74" t="str">
        <f t="shared" si="112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50">
      <c r="D392" s="74" t="str">
        <f t="shared" si="112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50" s="9" customFormat="1">
      <c r="A393" s="140" t="s">
        <v>96</v>
      </c>
      <c r="B393" s="140">
        <v>46</v>
      </c>
      <c r="C393" s="140"/>
      <c r="D393" s="140" t="str">
        <f t="shared" si="112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5">+CL394+CL397+CL400</f>
        <v>9889761</v>
      </c>
      <c r="CM393" s="143">
        <f t="shared" si="135"/>
        <v>9889761</v>
      </c>
      <c r="CN393" s="143">
        <f t="shared" si="135"/>
        <v>9889761</v>
      </c>
      <c r="CO393" s="143">
        <f t="shared" si="135"/>
        <v>9889761</v>
      </c>
      <c r="CP393" s="143">
        <f t="shared" si="135"/>
        <v>9889761</v>
      </c>
      <c r="CQ393" s="143">
        <f t="shared" si="135"/>
        <v>9889761</v>
      </c>
      <c r="CR393" s="143">
        <f t="shared" si="135"/>
        <v>9889761</v>
      </c>
      <c r="CS393" s="143">
        <f t="shared" si="135"/>
        <v>9889761</v>
      </c>
      <c r="CT393" s="143">
        <f t="shared" si="135"/>
        <v>9889761</v>
      </c>
      <c r="CU393" s="143">
        <f t="shared" si="135"/>
        <v>9889761</v>
      </c>
      <c r="CV393" s="143">
        <f t="shared" si="135"/>
        <v>9889761</v>
      </c>
      <c r="CW393" s="144">
        <f t="shared" si="135"/>
        <v>9889761</v>
      </c>
      <c r="CX393" s="315">
        <f t="shared" si="135"/>
        <v>14285575.4575</v>
      </c>
      <c r="CY393" s="318">
        <f t="shared" ref="CY393:DI393" si="136">+CY394+CY397+CY400</f>
        <v>14285575.4575</v>
      </c>
      <c r="CZ393" s="318">
        <f t="shared" si="136"/>
        <v>14285575.4575</v>
      </c>
      <c r="DA393" s="318">
        <f t="shared" si="136"/>
        <v>14285575.4575</v>
      </c>
      <c r="DB393" s="318">
        <f t="shared" si="136"/>
        <v>14285575.4575</v>
      </c>
      <c r="DC393" s="318">
        <f t="shared" si="136"/>
        <v>14285575.4575</v>
      </c>
      <c r="DD393" s="318">
        <f t="shared" si="136"/>
        <v>14285575.4575</v>
      </c>
      <c r="DE393" s="318">
        <f t="shared" si="136"/>
        <v>14285575.4575</v>
      </c>
      <c r="DF393" s="318">
        <f t="shared" si="136"/>
        <v>14285575.4575</v>
      </c>
      <c r="DG393" s="318">
        <f t="shared" si="136"/>
        <v>14285575.4575</v>
      </c>
      <c r="DH393" s="318">
        <f t="shared" si="136"/>
        <v>14285575.4575</v>
      </c>
      <c r="DI393" s="316">
        <f t="shared" si="136"/>
        <v>14285575.4575</v>
      </c>
      <c r="DJ393" s="142">
        <f>+DJ394+DJ397+DJ400</f>
        <v>33191007.030833334</v>
      </c>
      <c r="DK393" s="143">
        <f t="shared" ref="DK393:DU393" si="137">+DK394+DK397+DK400</f>
        <v>33191007.030833334</v>
      </c>
      <c r="DL393" s="143">
        <f t="shared" si="137"/>
        <v>33191007.030833334</v>
      </c>
      <c r="DM393" s="143">
        <f t="shared" si="137"/>
        <v>33191007.030833334</v>
      </c>
      <c r="DN393" s="143">
        <f t="shared" si="137"/>
        <v>33191007.030833334</v>
      </c>
      <c r="DO393" s="143">
        <f t="shared" si="137"/>
        <v>33191007.030833334</v>
      </c>
      <c r="DP393" s="143">
        <f t="shared" si="137"/>
        <v>33191007.030833334</v>
      </c>
      <c r="DQ393" s="143">
        <f t="shared" si="137"/>
        <v>33191007.030833334</v>
      </c>
      <c r="DR393" s="143">
        <f t="shared" si="137"/>
        <v>33191007.030833334</v>
      </c>
      <c r="DS393" s="143">
        <f t="shared" si="137"/>
        <v>33191007.030833334</v>
      </c>
      <c r="DT393" s="143">
        <f t="shared" si="137"/>
        <v>33191007.030833334</v>
      </c>
      <c r="DU393" s="143">
        <f t="shared" si="137"/>
        <v>33191007.030833334</v>
      </c>
      <c r="DV393" s="397">
        <f>DV394+DV397+DV400</f>
        <v>32768615.2925</v>
      </c>
      <c r="DW393" s="397">
        <f t="shared" ref="DW393:ES393" si="138">DW394+DW397+DW400</f>
        <v>32768615.2925</v>
      </c>
      <c r="DX393" s="397">
        <f t="shared" si="138"/>
        <v>32768615.2925</v>
      </c>
      <c r="DY393" s="397">
        <f t="shared" si="138"/>
        <v>32768615.2925</v>
      </c>
      <c r="DZ393" s="397">
        <f t="shared" si="138"/>
        <v>32768615.2925</v>
      </c>
      <c r="EA393" s="397">
        <f t="shared" si="138"/>
        <v>32768615.2925</v>
      </c>
      <c r="EB393" s="397">
        <f t="shared" si="138"/>
        <v>32768615.2925</v>
      </c>
      <c r="EC393" s="397">
        <f t="shared" si="138"/>
        <v>32768615.2925</v>
      </c>
      <c r="ED393" s="397">
        <f t="shared" si="138"/>
        <v>32768615.2925</v>
      </c>
      <c r="EE393" s="397">
        <f t="shared" si="138"/>
        <v>32768615.2925</v>
      </c>
      <c r="EF393" s="397">
        <f t="shared" si="138"/>
        <v>32768615.2925</v>
      </c>
      <c r="EG393" s="397">
        <f t="shared" si="138"/>
        <v>32768615.2925</v>
      </c>
      <c r="EH393" s="397">
        <f t="shared" si="138"/>
        <v>4617467.5633333325</v>
      </c>
      <c r="EI393" s="397">
        <f t="shared" si="138"/>
        <v>5248180.4533333331</v>
      </c>
      <c r="EJ393" s="397">
        <f t="shared" si="138"/>
        <v>18465645.143333334</v>
      </c>
      <c r="EK393" s="397">
        <f t="shared" si="138"/>
        <v>67460865.603333324</v>
      </c>
      <c r="EL393" s="397">
        <f t="shared" si="138"/>
        <v>10247541.783333333</v>
      </c>
      <c r="EM393" s="397">
        <f t="shared" si="138"/>
        <v>16046343.563333331</v>
      </c>
      <c r="EN393" s="397">
        <f t="shared" si="138"/>
        <v>23103608.363333337</v>
      </c>
      <c r="EO393" s="397">
        <f t="shared" si="138"/>
        <v>16877006.883333333</v>
      </c>
      <c r="EP393" s="397">
        <f t="shared" si="138"/>
        <v>17318908.093333334</v>
      </c>
      <c r="EQ393" s="397">
        <f t="shared" si="138"/>
        <v>9686739.4033333324</v>
      </c>
      <c r="ER393" s="397">
        <f t="shared" si="138"/>
        <v>11714826.133333333</v>
      </c>
      <c r="ES393" s="397">
        <f t="shared" si="138"/>
        <v>19628370.163333334</v>
      </c>
    </row>
    <row r="394" spans="1:150" s="9" customFormat="1">
      <c r="A394" s="140"/>
      <c r="B394" s="140"/>
      <c r="C394" s="140">
        <v>461</v>
      </c>
      <c r="D394" s="140" t="str">
        <f t="shared" si="112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39">+SUM(CL395:CL396)</f>
        <v>7208333.333333333</v>
      </c>
      <c r="CM394" s="143">
        <f t="shared" si="139"/>
        <v>7208333.333333333</v>
      </c>
      <c r="CN394" s="143">
        <f t="shared" si="139"/>
        <v>7208333.333333333</v>
      </c>
      <c r="CO394" s="143">
        <f t="shared" si="139"/>
        <v>7208333.333333333</v>
      </c>
      <c r="CP394" s="143">
        <f t="shared" si="139"/>
        <v>7208333.333333333</v>
      </c>
      <c r="CQ394" s="143">
        <f t="shared" si="139"/>
        <v>7208333.333333333</v>
      </c>
      <c r="CR394" s="143">
        <f t="shared" si="139"/>
        <v>7208333.333333333</v>
      </c>
      <c r="CS394" s="143">
        <f t="shared" si="139"/>
        <v>7208333.333333333</v>
      </c>
      <c r="CT394" s="143">
        <f t="shared" si="139"/>
        <v>7208333.333333333</v>
      </c>
      <c r="CU394" s="143">
        <f t="shared" si="139"/>
        <v>7208333.333333333</v>
      </c>
      <c r="CV394" s="143">
        <f t="shared" si="139"/>
        <v>7208333.333333333</v>
      </c>
      <c r="CW394" s="144">
        <f t="shared" si="139"/>
        <v>7208333.333333333</v>
      </c>
      <c r="CX394" s="315">
        <f t="shared" si="139"/>
        <v>11507395.460000001</v>
      </c>
      <c r="CY394" s="318">
        <f t="shared" ref="CY394:DI394" si="140">+SUM(CY395:CY396)</f>
        <v>11507395.460000001</v>
      </c>
      <c r="CZ394" s="318">
        <f t="shared" si="140"/>
        <v>11507395.460000001</v>
      </c>
      <c r="DA394" s="318">
        <f t="shared" si="140"/>
        <v>11507395.460000001</v>
      </c>
      <c r="DB394" s="318">
        <f t="shared" si="140"/>
        <v>11507395.460000001</v>
      </c>
      <c r="DC394" s="318">
        <f t="shared" si="140"/>
        <v>11507395.460000001</v>
      </c>
      <c r="DD394" s="318">
        <f t="shared" si="140"/>
        <v>11507395.460000001</v>
      </c>
      <c r="DE394" s="318">
        <f t="shared" si="140"/>
        <v>11507395.460000001</v>
      </c>
      <c r="DF394" s="318">
        <f t="shared" si="140"/>
        <v>11507395.460000001</v>
      </c>
      <c r="DG394" s="318">
        <f t="shared" si="140"/>
        <v>11507395.460000001</v>
      </c>
      <c r="DH394" s="318">
        <f t="shared" si="140"/>
        <v>11507395.460000001</v>
      </c>
      <c r="DI394" s="316">
        <f t="shared" si="140"/>
        <v>11507395.460000001</v>
      </c>
      <c r="DJ394" s="142">
        <f>+SUM(DJ395:DJ396)</f>
        <v>30373417.030833334</v>
      </c>
      <c r="DK394" s="143">
        <f t="shared" ref="DK394:ES394" si="141">+SUM(DK395:DK396)</f>
        <v>30373417.030833334</v>
      </c>
      <c r="DL394" s="143">
        <f t="shared" si="141"/>
        <v>30373417.030833334</v>
      </c>
      <c r="DM394" s="143">
        <f t="shared" si="141"/>
        <v>30373417.030833334</v>
      </c>
      <c r="DN394" s="143">
        <f t="shared" si="141"/>
        <v>30373417.030833334</v>
      </c>
      <c r="DO394" s="143">
        <f t="shared" si="141"/>
        <v>30373417.030833334</v>
      </c>
      <c r="DP394" s="143">
        <f t="shared" si="141"/>
        <v>30373417.030833334</v>
      </c>
      <c r="DQ394" s="143">
        <f t="shared" si="141"/>
        <v>30373417.030833334</v>
      </c>
      <c r="DR394" s="143">
        <f t="shared" si="141"/>
        <v>30373417.030833334</v>
      </c>
      <c r="DS394" s="143">
        <f t="shared" si="141"/>
        <v>30373417.030833334</v>
      </c>
      <c r="DT394" s="143">
        <f t="shared" si="141"/>
        <v>30373417.030833334</v>
      </c>
      <c r="DU394" s="143">
        <f t="shared" si="141"/>
        <v>30373417.030833334</v>
      </c>
      <c r="DV394" s="143">
        <f t="shared" si="141"/>
        <v>29487385.678333335</v>
      </c>
      <c r="DW394" s="143">
        <f t="shared" si="141"/>
        <v>29487385.678333335</v>
      </c>
      <c r="DX394" s="143">
        <f t="shared" si="141"/>
        <v>29487385.678333335</v>
      </c>
      <c r="DY394" s="143">
        <f t="shared" si="141"/>
        <v>29487385.678333335</v>
      </c>
      <c r="DZ394" s="143">
        <f t="shared" si="141"/>
        <v>29487385.678333335</v>
      </c>
      <c r="EA394" s="143">
        <f t="shared" si="141"/>
        <v>29487385.678333335</v>
      </c>
      <c r="EB394" s="143">
        <f t="shared" si="141"/>
        <v>29487385.678333335</v>
      </c>
      <c r="EC394" s="143">
        <f t="shared" si="141"/>
        <v>29487385.678333335</v>
      </c>
      <c r="ED394" s="143">
        <f t="shared" si="141"/>
        <v>29487385.678333335</v>
      </c>
      <c r="EE394" s="143">
        <f>+SUM(EE395:EE396)</f>
        <v>29487385.678333335</v>
      </c>
      <c r="EF394" s="143">
        <f t="shared" si="141"/>
        <v>29487385.678333335</v>
      </c>
      <c r="EG394" s="143">
        <f t="shared" si="141"/>
        <v>29487385.678333335</v>
      </c>
      <c r="EH394" s="143">
        <f t="shared" si="141"/>
        <v>1807759.33</v>
      </c>
      <c r="EI394" s="143">
        <f t="shared" si="141"/>
        <v>2438472.2200000002</v>
      </c>
      <c r="EJ394" s="143">
        <f t="shared" si="141"/>
        <v>15655936.91</v>
      </c>
      <c r="EK394" s="143">
        <f t="shared" si="141"/>
        <v>64651157.369999997</v>
      </c>
      <c r="EL394" s="143">
        <f t="shared" si="141"/>
        <v>7437833.5500000007</v>
      </c>
      <c r="EM394" s="143">
        <f t="shared" si="141"/>
        <v>13236635.329999998</v>
      </c>
      <c r="EN394" s="143">
        <f t="shared" si="141"/>
        <v>20293900.130000003</v>
      </c>
      <c r="EO394" s="143">
        <f t="shared" si="141"/>
        <v>14067298.649999999</v>
      </c>
      <c r="EP394" s="143">
        <f t="shared" si="141"/>
        <v>14509199.859999999</v>
      </c>
      <c r="EQ394" s="143">
        <f t="shared" si="141"/>
        <v>6877031.1699999999</v>
      </c>
      <c r="ER394" s="143">
        <f t="shared" si="141"/>
        <v>8905117.9000000004</v>
      </c>
      <c r="ES394" s="143">
        <f t="shared" si="141"/>
        <v>16818661.93</v>
      </c>
    </row>
    <row r="395" spans="1:150" ht="30">
      <c r="D395" s="74" t="str">
        <f t="shared" si="112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105">
        <v>1983333.3333333333</v>
      </c>
      <c r="CS395" s="105">
        <v>1983333.3333333333</v>
      </c>
      <c r="CT395" s="105">
        <v>1983333.3333333333</v>
      </c>
      <c r="CU395" s="105">
        <v>1983333.3333333333</v>
      </c>
      <c r="CV395" s="105">
        <v>1983333.3333333333</v>
      </c>
      <c r="CW395" s="106">
        <v>1983333.3333333333</v>
      </c>
      <c r="CX395" s="314">
        <v>2500695.4391666665</v>
      </c>
      <c r="CY395" s="317">
        <v>2500695.4391666665</v>
      </c>
      <c r="CZ395" s="317">
        <v>2500695.4391666665</v>
      </c>
      <c r="DA395" s="317">
        <v>2500695.4391666665</v>
      </c>
      <c r="DB395" s="317">
        <v>2500695.4391666665</v>
      </c>
      <c r="DC395" s="317">
        <v>2500695.4391666665</v>
      </c>
      <c r="DD395" s="317">
        <v>2500695.4391666665</v>
      </c>
      <c r="DE395" s="317">
        <v>2500695.4391666665</v>
      </c>
      <c r="DF395" s="317">
        <v>2500695.4391666665</v>
      </c>
      <c r="DG395" s="317">
        <v>2500695.4391666665</v>
      </c>
      <c r="DH395" s="317">
        <v>2500695.4391666665</v>
      </c>
      <c r="DI395" s="313">
        <v>2500695.4391666665</v>
      </c>
      <c r="DJ395" s="104">
        <v>3892510.16</v>
      </c>
      <c r="DK395" s="105">
        <v>3892510.16</v>
      </c>
      <c r="DL395" s="105">
        <v>3892510.16</v>
      </c>
      <c r="DM395" s="105">
        <v>3892510.16</v>
      </c>
      <c r="DN395" s="105">
        <v>3892510.16</v>
      </c>
      <c r="DO395" s="105">
        <v>3892510.16</v>
      </c>
      <c r="DP395" s="105">
        <v>3892510.16</v>
      </c>
      <c r="DQ395" s="105">
        <v>3892510.16</v>
      </c>
      <c r="DR395" s="105">
        <v>3892510.16</v>
      </c>
      <c r="DS395" s="105">
        <v>3892510.16</v>
      </c>
      <c r="DT395" s="105">
        <v>3892510.16</v>
      </c>
      <c r="DU395" s="106">
        <v>3892510.16</v>
      </c>
      <c r="DV395" s="340">
        <v>3722931.8866666667</v>
      </c>
      <c r="DW395" s="340">
        <v>3722931.8866666667</v>
      </c>
      <c r="DX395" s="340">
        <v>3722931.8866666667</v>
      </c>
      <c r="DY395" s="340">
        <v>3722931.8866666667</v>
      </c>
      <c r="DZ395" s="340">
        <v>3722931.8866666667</v>
      </c>
      <c r="EA395" s="340">
        <v>3722931.8866666667</v>
      </c>
      <c r="EB395" s="340">
        <v>3722931.8866666667</v>
      </c>
      <c r="EC395" s="340">
        <v>3722931.8866666667</v>
      </c>
      <c r="ED395" s="340">
        <v>3722931.8866666667</v>
      </c>
      <c r="EE395" s="340">
        <v>3722931.8866666667</v>
      </c>
      <c r="EF395" s="340">
        <v>3722931.8866666667</v>
      </c>
      <c r="EG395" s="340">
        <v>3722931.8866666667</v>
      </c>
      <c r="EH395" s="340">
        <v>174340.51</v>
      </c>
      <c r="EI395" s="340">
        <v>177326.85</v>
      </c>
      <c r="EJ395" s="340">
        <v>7687779.1100000003</v>
      </c>
      <c r="EK395" s="340">
        <v>191127.48</v>
      </c>
      <c r="EL395" s="340">
        <v>949797.77</v>
      </c>
      <c r="EM395" s="340">
        <v>2019268.13</v>
      </c>
      <c r="EN395" s="340">
        <v>10660481.32</v>
      </c>
      <c r="EO395" s="340">
        <v>11526152.189999999</v>
      </c>
      <c r="EP395" s="340">
        <v>10016017.119999999</v>
      </c>
      <c r="EQ395" s="340">
        <v>1834828.67</v>
      </c>
      <c r="ER395" s="340">
        <v>2345417.37</v>
      </c>
      <c r="ES395" s="340">
        <v>4329305.63</v>
      </c>
      <c r="ET395" s="307"/>
    </row>
    <row r="396" spans="1:150" ht="30">
      <c r="D396" s="74" t="str">
        <f t="shared" si="112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307"/>
    </row>
    <row r="397" spans="1:150" s="9" customFormat="1">
      <c r="A397" s="140"/>
      <c r="B397" s="140"/>
      <c r="C397" s="140">
        <v>462</v>
      </c>
      <c r="D397" s="140" t="str">
        <f t="shared" si="112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2">+SUM(CL398:CL399)</f>
        <v>0</v>
      </c>
      <c r="CM397" s="143">
        <f t="shared" si="142"/>
        <v>0</v>
      </c>
      <c r="CN397" s="143">
        <f t="shared" si="142"/>
        <v>0</v>
      </c>
      <c r="CO397" s="143">
        <f t="shared" si="142"/>
        <v>0</v>
      </c>
      <c r="CP397" s="143">
        <f t="shared" si="142"/>
        <v>0</v>
      </c>
      <c r="CQ397" s="143">
        <f t="shared" si="142"/>
        <v>0</v>
      </c>
      <c r="CR397" s="143">
        <f t="shared" si="142"/>
        <v>0</v>
      </c>
      <c r="CS397" s="143">
        <f t="shared" si="142"/>
        <v>0</v>
      </c>
      <c r="CT397" s="143">
        <f t="shared" si="142"/>
        <v>0</v>
      </c>
      <c r="CU397" s="143">
        <f t="shared" si="142"/>
        <v>0</v>
      </c>
      <c r="CV397" s="143">
        <f t="shared" si="142"/>
        <v>0</v>
      </c>
      <c r="CW397" s="144">
        <f t="shared" si="142"/>
        <v>0</v>
      </c>
      <c r="CX397" s="315">
        <f t="shared" si="142"/>
        <v>0</v>
      </c>
      <c r="CY397" s="318">
        <f t="shared" ref="CY397:DI397" si="143">+SUM(CY398:CY399)</f>
        <v>0</v>
      </c>
      <c r="CZ397" s="318">
        <f t="shared" si="143"/>
        <v>0</v>
      </c>
      <c r="DA397" s="318">
        <f t="shared" si="143"/>
        <v>0</v>
      </c>
      <c r="DB397" s="318">
        <f t="shared" si="143"/>
        <v>0</v>
      </c>
      <c r="DC397" s="318">
        <f t="shared" si="143"/>
        <v>0</v>
      </c>
      <c r="DD397" s="318">
        <f t="shared" si="143"/>
        <v>0</v>
      </c>
      <c r="DE397" s="318">
        <f t="shared" si="143"/>
        <v>0</v>
      </c>
      <c r="DF397" s="318">
        <f t="shared" si="143"/>
        <v>0</v>
      </c>
      <c r="DG397" s="318">
        <f t="shared" si="143"/>
        <v>0</v>
      </c>
      <c r="DH397" s="318">
        <f t="shared" si="143"/>
        <v>0</v>
      </c>
      <c r="DI397" s="316">
        <f t="shared" si="143"/>
        <v>0</v>
      </c>
      <c r="DJ397" s="142">
        <f>+SUM(DJ398:DJ399)</f>
        <v>0</v>
      </c>
      <c r="DK397" s="143">
        <f t="shared" ref="DK397:DU397" si="144">+SUM(DK398:DK399)</f>
        <v>0</v>
      </c>
      <c r="DL397" s="143">
        <f t="shared" si="144"/>
        <v>0</v>
      </c>
      <c r="DM397" s="143">
        <f t="shared" si="144"/>
        <v>0</v>
      </c>
      <c r="DN397" s="143">
        <f t="shared" si="144"/>
        <v>0</v>
      </c>
      <c r="DO397" s="143">
        <f t="shared" si="144"/>
        <v>0</v>
      </c>
      <c r="DP397" s="143">
        <f t="shared" si="144"/>
        <v>0</v>
      </c>
      <c r="DQ397" s="143">
        <f t="shared" si="144"/>
        <v>0</v>
      </c>
      <c r="DR397" s="143">
        <f t="shared" si="144"/>
        <v>0</v>
      </c>
      <c r="DS397" s="143">
        <f t="shared" si="144"/>
        <v>0</v>
      </c>
      <c r="DT397" s="143">
        <f t="shared" si="144"/>
        <v>0</v>
      </c>
      <c r="DU397" s="144">
        <f t="shared" si="144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50">
      <c r="D398" s="74" t="str">
        <f t="shared" si="112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50">
      <c r="D399" s="74" t="str">
        <f t="shared" si="112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50" s="9" customFormat="1" ht="30">
      <c r="A400" s="140"/>
      <c r="B400" s="140"/>
      <c r="C400" s="140">
        <v>463</v>
      </c>
      <c r="D400" s="140" t="str">
        <f t="shared" si="112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143">
        <v>2681427.6666666665</v>
      </c>
      <c r="CS400" s="143">
        <v>2681427.6666666665</v>
      </c>
      <c r="CT400" s="143">
        <v>2681427.6666666665</v>
      </c>
      <c r="CU400" s="143">
        <v>2681427.6666666665</v>
      </c>
      <c r="CV400" s="143">
        <v>2681427.6666666665</v>
      </c>
      <c r="CW400" s="144">
        <v>2681427.6666666665</v>
      </c>
      <c r="CX400" s="315">
        <v>2778179.9974999996</v>
      </c>
      <c r="CY400" s="318">
        <v>2778179.9974999996</v>
      </c>
      <c r="CZ400" s="318">
        <v>2778179.9974999996</v>
      </c>
      <c r="DA400" s="318">
        <v>2778179.9974999996</v>
      </c>
      <c r="DB400" s="318">
        <v>2778179.9974999996</v>
      </c>
      <c r="DC400" s="318">
        <v>2778179.9974999996</v>
      </c>
      <c r="DD400" s="318">
        <v>2778179.9974999996</v>
      </c>
      <c r="DE400" s="318">
        <v>2778179.9974999996</v>
      </c>
      <c r="DF400" s="318">
        <v>2778179.9974999996</v>
      </c>
      <c r="DG400" s="318">
        <v>2778179.9974999996</v>
      </c>
      <c r="DH400" s="318">
        <v>2778179.9974999996</v>
      </c>
      <c r="DI400" s="316">
        <v>2778179.9974999996</v>
      </c>
      <c r="DJ400" s="142">
        <v>2817590</v>
      </c>
      <c r="DK400" s="143">
        <v>2817590</v>
      </c>
      <c r="DL400" s="143">
        <v>2817590</v>
      </c>
      <c r="DM400" s="143">
        <v>2817590</v>
      </c>
      <c r="DN400" s="143">
        <v>2817590</v>
      </c>
      <c r="DO400" s="143">
        <v>2817590</v>
      </c>
      <c r="DP400" s="143">
        <v>2817590</v>
      </c>
      <c r="DQ400" s="143">
        <v>2817590</v>
      </c>
      <c r="DR400" s="143">
        <v>2817590</v>
      </c>
      <c r="DS400" s="143">
        <v>2817590</v>
      </c>
      <c r="DT400" s="143">
        <v>2817590</v>
      </c>
      <c r="DU400" s="144">
        <v>2817590</v>
      </c>
      <c r="DV400" s="348">
        <v>3281229.6141666663</v>
      </c>
      <c r="DW400" s="348">
        <v>3281229.6141666663</v>
      </c>
      <c r="DX400" s="348">
        <v>3281229.6141666663</v>
      </c>
      <c r="DY400" s="348">
        <v>3281229.6141666663</v>
      </c>
      <c r="DZ400" s="348">
        <v>3281229.6141666663</v>
      </c>
      <c r="EA400" s="348">
        <v>3281229.6141666663</v>
      </c>
      <c r="EB400" s="348">
        <v>3281229.6141666663</v>
      </c>
      <c r="EC400" s="348">
        <v>3281229.6141666663</v>
      </c>
      <c r="ED400" s="348">
        <v>3281229.6141666663</v>
      </c>
      <c r="EE400" s="348">
        <v>3281229.6141666663</v>
      </c>
      <c r="EF400" s="348">
        <v>3281229.6141666663</v>
      </c>
      <c r="EG400" s="348">
        <v>3281229.6141666663</v>
      </c>
      <c r="EH400" s="348">
        <v>2809708.2333333329</v>
      </c>
      <c r="EI400" s="348">
        <v>2809708.2333333329</v>
      </c>
      <c r="EJ400" s="348">
        <v>2809708.2333333329</v>
      </c>
      <c r="EK400" s="348">
        <v>2809708.2333333329</v>
      </c>
      <c r="EL400" s="348">
        <v>2809708.2333333329</v>
      </c>
      <c r="EM400" s="348">
        <v>2809708.2333333329</v>
      </c>
      <c r="EN400" s="348">
        <v>2809708.2333333329</v>
      </c>
      <c r="EO400" s="348">
        <v>2809708.2333333329</v>
      </c>
      <c r="EP400" s="348">
        <v>2809708.2333333329</v>
      </c>
      <c r="EQ400" s="348">
        <v>2809708.2333333329</v>
      </c>
      <c r="ER400" s="348">
        <v>2809708.2333333329</v>
      </c>
      <c r="ES400" s="348">
        <v>2809708.2333333329</v>
      </c>
    </row>
    <row r="401" spans="1:149" s="9" customFormat="1">
      <c r="A401" s="140" t="s">
        <v>96</v>
      </c>
      <c r="B401" s="140">
        <v>47</v>
      </c>
      <c r="C401" s="140"/>
      <c r="D401" s="140" t="str">
        <f t="shared" si="112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5">+SUM(CL402:CL404)</f>
        <v>613005.79833333334</v>
      </c>
      <c r="CM401" s="143">
        <f t="shared" si="145"/>
        <v>613005.79833333334</v>
      </c>
      <c r="CN401" s="143">
        <f t="shared" si="145"/>
        <v>613005.79833333334</v>
      </c>
      <c r="CO401" s="143">
        <f t="shared" si="145"/>
        <v>613005.79833333334</v>
      </c>
      <c r="CP401" s="143">
        <f t="shared" si="145"/>
        <v>613005.79833333334</v>
      </c>
      <c r="CQ401" s="143">
        <f t="shared" si="145"/>
        <v>613005.79833333334</v>
      </c>
      <c r="CR401" s="143">
        <f t="shared" si="145"/>
        <v>613005.79833333334</v>
      </c>
      <c r="CS401" s="143">
        <f t="shared" si="145"/>
        <v>613005.79833333334</v>
      </c>
      <c r="CT401" s="143">
        <f t="shared" si="145"/>
        <v>613005.79833333334</v>
      </c>
      <c r="CU401" s="143">
        <f t="shared" si="145"/>
        <v>613005.79833333334</v>
      </c>
      <c r="CV401" s="143">
        <f t="shared" si="145"/>
        <v>613005.79833333334</v>
      </c>
      <c r="CW401" s="144">
        <f t="shared" si="145"/>
        <v>613005.79833333334</v>
      </c>
      <c r="CX401" s="315">
        <f t="shared" si="145"/>
        <v>737887.48083333333</v>
      </c>
      <c r="CY401" s="318">
        <f t="shared" ref="CY401:DI401" si="146">+SUM(CY402:CY404)</f>
        <v>737887.48083333333</v>
      </c>
      <c r="CZ401" s="318">
        <f t="shared" si="146"/>
        <v>737887.48083333333</v>
      </c>
      <c r="DA401" s="318">
        <f t="shared" si="146"/>
        <v>737887.48083333333</v>
      </c>
      <c r="DB401" s="318">
        <f t="shared" si="146"/>
        <v>737887.48083333333</v>
      </c>
      <c r="DC401" s="318">
        <f t="shared" si="146"/>
        <v>737887.48083333333</v>
      </c>
      <c r="DD401" s="318">
        <f t="shared" si="146"/>
        <v>737887.48083333333</v>
      </c>
      <c r="DE401" s="318">
        <f t="shared" si="146"/>
        <v>737887.48083333333</v>
      </c>
      <c r="DF401" s="318">
        <f t="shared" si="146"/>
        <v>737887.48083333333</v>
      </c>
      <c r="DG401" s="318">
        <f t="shared" si="146"/>
        <v>737887.48083333333</v>
      </c>
      <c r="DH401" s="318">
        <f t="shared" si="146"/>
        <v>737887.48083333333</v>
      </c>
      <c r="DI401" s="316">
        <f t="shared" si="146"/>
        <v>737887.48083333333</v>
      </c>
      <c r="DJ401" s="142">
        <f>+SUM(DJ402:DJ404)</f>
        <v>1087930.2858333334</v>
      </c>
      <c r="DK401" s="143">
        <f t="shared" ref="DK401:DU401" si="147">+SUM(DK402:DK404)</f>
        <v>1087930.2858333334</v>
      </c>
      <c r="DL401" s="143">
        <f t="shared" si="147"/>
        <v>1087930.2858333334</v>
      </c>
      <c r="DM401" s="143">
        <f t="shared" si="147"/>
        <v>1087930.2858333334</v>
      </c>
      <c r="DN401" s="143">
        <f t="shared" si="147"/>
        <v>1087930.2858333334</v>
      </c>
      <c r="DO401" s="143">
        <f t="shared" si="147"/>
        <v>1087930.2858333334</v>
      </c>
      <c r="DP401" s="143">
        <f t="shared" si="147"/>
        <v>1087930.2858333334</v>
      </c>
      <c r="DQ401" s="143">
        <f t="shared" si="147"/>
        <v>1087930.2858333334</v>
      </c>
      <c r="DR401" s="143">
        <f t="shared" si="147"/>
        <v>1087930.2858333334</v>
      </c>
      <c r="DS401" s="143">
        <f t="shared" si="147"/>
        <v>1087930.2858333334</v>
      </c>
      <c r="DT401" s="143">
        <f t="shared" si="147"/>
        <v>1087930.2858333334</v>
      </c>
      <c r="DU401" s="144">
        <f t="shared" si="147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</row>
    <row r="402" spans="1:149">
      <c r="A402" s="74" t="s">
        <v>96</v>
      </c>
      <c r="B402" s="74" t="s">
        <v>96</v>
      </c>
      <c r="C402" s="74">
        <v>471</v>
      </c>
      <c r="D402" s="74" t="str">
        <f t="shared" si="112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</row>
    <row r="403" spans="1:149">
      <c r="C403" s="74">
        <v>472</v>
      </c>
      <c r="D403" s="74" t="str">
        <f t="shared" si="112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</row>
    <row r="404" spans="1:149">
      <c r="C404" s="74">
        <v>473</v>
      </c>
      <c r="D404" s="74" t="str">
        <f t="shared" si="112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49">
      <c r="D405" s="74">
        <v>1005</v>
      </c>
      <c r="E405" s="78" t="s">
        <v>701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49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</sheetData>
  <mergeCells count="22">
    <mergeCell ref="CX216:DI216"/>
    <mergeCell ref="DJ216:DU216"/>
    <mergeCell ref="AP216:BA216"/>
    <mergeCell ref="BB216:BM216"/>
    <mergeCell ref="BN216:BY216"/>
    <mergeCell ref="BZ216:CK216"/>
    <mergeCell ref="CL216:CW216"/>
    <mergeCell ref="E6:E7"/>
    <mergeCell ref="E216:E217"/>
    <mergeCell ref="F216:Q216"/>
    <mergeCell ref="R216:AC216"/>
    <mergeCell ref="AD216:AO216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219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2017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756</v>
      </c>
      <c r="F11" s="12" t="s">
        <v>757</v>
      </c>
      <c r="G11" s="52" t="str">
        <f t="shared" si="0"/>
        <v>Mjesečni podaci 2017</v>
      </c>
    </row>
    <row r="12" spans="2:7">
      <c r="D12" s="41"/>
      <c r="E12" s="11" t="s">
        <v>734</v>
      </c>
      <c r="F12" s="12" t="s">
        <v>735</v>
      </c>
      <c r="G12" s="52" t="str">
        <f t="shared" si="0"/>
        <v>Mjesečni podaci 2016</v>
      </c>
    </row>
    <row r="13" spans="2:7">
      <c r="E13" s="11" t="s">
        <v>705</v>
      </c>
      <c r="F13" s="12" t="s">
        <v>706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758</v>
      </c>
      <c r="F16" s="12" t="s">
        <v>759</v>
      </c>
      <c r="G16" s="52" t="str">
        <f t="shared" si="0"/>
        <v>Mjesečni podaci 2012</v>
      </c>
    </row>
    <row r="17" spans="2:7">
      <c r="E17" s="11" t="s">
        <v>760</v>
      </c>
      <c r="F17" s="12" t="s">
        <v>761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740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697</v>
      </c>
      <c r="F77" s="16" t="s">
        <v>123</v>
      </c>
      <c r="G77" s="52" t="str">
        <f t="shared" si="1"/>
        <v>Budžetki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737</v>
      </c>
      <c r="F94" s="22" t="s">
        <v>739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737</v>
      </c>
      <c r="F146" s="22" t="s">
        <v>738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701</v>
      </c>
      <c r="F225" s="96" t="s">
        <v>702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Februar</v>
      </c>
    </row>
    <row r="243" spans="4:7">
      <c r="D243" s="49"/>
      <c r="E243" s="9"/>
      <c r="F243" s="10"/>
      <c r="G243" s="52" t="str">
        <f>+CONCATENATE("Jan - ",LEFT(G242,3))</f>
        <v>Jan - Feb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Februar</v>
      </c>
      <c r="F251" s="10" t="str">
        <f>+CONCATENATE("Analytics for period ",G242)</f>
        <v>Analytics for period Februar</v>
      </c>
      <c r="G251" s="52" t="str">
        <f>+IF(ISBLANK(IF($B$2=1,E251,F251)),"",IF($B$2=1,E251,F251))</f>
        <v>Analitika za period Februar</v>
      </c>
    </row>
    <row r="252" spans="4:7">
      <c r="D252" s="46"/>
      <c r="E252" s="9" t="str">
        <f>+CONCATENATE("Analitika za period ",G243)</f>
        <v>Analitika za period Jan - Feb</v>
      </c>
      <c r="F252" s="10" t="str">
        <f>+CONCATENATE("Analytics for period ",G243)</f>
        <v>Analytics for period Jan - Feb</v>
      </c>
      <c r="G252" s="52" t="str">
        <f>+IF(ISBLANK(IF($B$2=1,E252,F252)),"",IF($B$2=1,E252,F252))</f>
        <v>Analitika za period Jan - Feb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698</v>
      </c>
      <c r="F260" s="10" t="s">
        <v>699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Februar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Februar</v>
      </c>
    </row>
    <row r="269" spans="4:7">
      <c r="E269" s="9" t="s">
        <v>743</v>
      </c>
      <c r="F269" s="10" t="s">
        <v>406</v>
      </c>
      <c r="G269" s="52" t="str">
        <f>+CONCATENATE(IF(ISBLANK(IF($B$2=1,E269,F269)),"",IF($B$2=1,E269,F269))," ",$G$242)</f>
        <v>Suficit/Deficit za mjesec Februar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Februar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Februar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Februar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703</v>
      </c>
      <c r="F279" s="60" t="s">
        <v>704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N36" sqref="N36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Februar</v>
      </c>
      <c r="E11" s="158"/>
      <c r="F11" s="158"/>
      <c r="G11" s="158"/>
      <c r="H11" s="319" t="str">
        <f>+Master!G271</f>
        <v>Prihodi za period Januar - Februar</v>
      </c>
      <c r="I11" s="320"/>
      <c r="J11" s="308"/>
      <c r="K11" s="159"/>
    </row>
    <row r="12" spans="3:11">
      <c r="C12" s="157"/>
      <c r="D12" s="161">
        <f>+'Analitika - 2017'!N10</f>
        <v>88762737.360000014</v>
      </c>
      <c r="E12" s="162">
        <f>+D12/'2017'!T7</f>
        <v>2.2594562138220697E-2</v>
      </c>
      <c r="F12" s="158"/>
      <c r="G12" s="158"/>
      <c r="H12" s="321">
        <f>+'Analitika - 2017'!G10</f>
        <v>162413081.47000003</v>
      </c>
      <c r="I12" s="322">
        <f>+H12/'2017'!T7</f>
        <v>4.1342263324424089E-2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Februar</v>
      </c>
      <c r="E15" s="158"/>
      <c r="F15" s="158"/>
      <c r="G15" s="158"/>
      <c r="H15" s="319" t="str">
        <f>+Master!G272</f>
        <v>Rashodi za period Januar - Februar</v>
      </c>
      <c r="I15" s="320"/>
      <c r="J15" s="308"/>
      <c r="K15" s="159"/>
    </row>
    <row r="16" spans="3:11">
      <c r="C16" s="157"/>
      <c r="D16" s="161">
        <f>+'Analitika - 2017'!N29</f>
        <v>106508736.56999999</v>
      </c>
      <c r="E16" s="162">
        <f>+D16/'2017'!T7</f>
        <v>2.7111807705231004E-2</v>
      </c>
      <c r="F16" s="158"/>
      <c r="G16" s="158"/>
      <c r="H16" s="321">
        <f>+'Analitika - 2017'!G29</f>
        <v>201800256.27999997</v>
      </c>
      <c r="I16" s="322">
        <f>+H16/'2017'!T7</f>
        <v>5.136827193076237E-2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Februar</v>
      </c>
      <c r="E19" s="158"/>
      <c r="F19" s="158"/>
      <c r="G19" s="158"/>
      <c r="H19" s="319" t="str">
        <f>+Master!G273</f>
        <v>Deficit za period Januar - Februar</v>
      </c>
      <c r="I19" s="320"/>
      <c r="J19" s="308"/>
      <c r="K19" s="159"/>
    </row>
    <row r="20" spans="3:11">
      <c r="C20" s="157"/>
      <c r="D20" s="161">
        <f>+'Analitika - 2017'!N55</f>
        <v>-17745999.209999979</v>
      </c>
      <c r="E20" s="162">
        <f>+D20/'2017'!T7</f>
        <v>-4.5172455670103038E-3</v>
      </c>
      <c r="F20" s="158"/>
      <c r="G20" s="158"/>
      <c r="H20" s="321">
        <f>+'Analitika - 2017'!G55</f>
        <v>-39387174.809999973</v>
      </c>
      <c r="I20" s="322">
        <f>+H20/'2017'!T7</f>
        <v>-1.002600860633829E-2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55" t="str">
        <f>+Master!G275</f>
        <v>Stanje javnog duga (% BDP)</v>
      </c>
      <c r="E22" s="456"/>
      <c r="F22" s="456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69"/>
  <sheetViews>
    <sheetView tabSelected="1" zoomScale="112" zoomScaleNormal="112" workbookViewId="0">
      <pane ySplit="5" topLeftCell="A6" activePane="bottomLeft" state="frozen"/>
      <selection activeCell="DK219" sqref="DK219"/>
      <selection pane="bottomLeft" activeCell="H68" sqref="H68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2017-02</v>
      </c>
      <c r="O6" s="169" t="str">
        <f>+CONCATENATE(N6,"p")</f>
        <v>2017-02p</v>
      </c>
      <c r="P6" s="153"/>
      <c r="Q6" s="153"/>
      <c r="R6" s="169" t="str">
        <f>+IF(Master!B3-10&gt;=0,CONCATENATE(Master!B4-1,"-",Master!B3),CONCATENATE(Master!B4-1,"-0",Master!B3))</f>
        <v>2016-02</v>
      </c>
      <c r="S6" s="153"/>
      <c r="T6" s="153"/>
    </row>
    <row r="7" spans="1:20">
      <c r="A7" s="170"/>
      <c r="B7" s="437" t="str">
        <f>+Master!G252</f>
        <v>Analitika za period Jan - Feb</v>
      </c>
      <c r="C7" s="438"/>
      <c r="D7" s="438"/>
      <c r="E7" s="438"/>
      <c r="F7" s="438"/>
      <c r="G7" s="446" t="str">
        <f>+Master!G243</f>
        <v>Jan - Feb</v>
      </c>
      <c r="H7" s="447"/>
      <c r="I7" s="447"/>
      <c r="J7" s="447"/>
      <c r="K7" s="447"/>
      <c r="L7" s="447"/>
      <c r="M7" s="448"/>
      <c r="N7" s="449" t="str">
        <f>+Master!G242</f>
        <v>Februar</v>
      </c>
      <c r="O7" s="447"/>
      <c r="P7" s="447"/>
      <c r="Q7" s="447"/>
      <c r="R7" s="447"/>
      <c r="S7" s="447"/>
      <c r="T7" s="450"/>
    </row>
    <row r="8" spans="1:20">
      <c r="A8" s="170"/>
      <c r="B8" s="439"/>
      <c r="C8" s="440"/>
      <c r="D8" s="440"/>
      <c r="E8" s="440"/>
      <c r="F8" s="441"/>
      <c r="G8" s="171" t="str">
        <f>+Master!G21</f>
        <v>Ostvarenje</v>
      </c>
      <c r="H8" s="171" t="str">
        <f>+Master!G20</f>
        <v>Plan</v>
      </c>
      <c r="I8" s="435" t="str">
        <f>+Master!G258</f>
        <v>Odstupanje</v>
      </c>
      <c r="J8" s="435"/>
      <c r="K8" s="171" t="str">
        <f>+CONCATENATE(Master!G243," ",Master!B4-1)</f>
        <v>Jan - Feb 2016</v>
      </c>
      <c r="L8" s="435" t="str">
        <f>+I8</f>
        <v>Odstupanje</v>
      </c>
      <c r="M8" s="445"/>
      <c r="N8" s="172" t="str">
        <f>+G8</f>
        <v>Ostvarenje</v>
      </c>
      <c r="O8" s="171" t="str">
        <f>+H8</f>
        <v>Plan</v>
      </c>
      <c r="P8" s="435" t="str">
        <f>+I8</f>
        <v>Odstupanje</v>
      </c>
      <c r="Q8" s="435"/>
      <c r="R8" s="171" t="str">
        <f>+CONCATENATE(Master!G242," ",Master!B4-1)</f>
        <v>Februar 2016</v>
      </c>
      <c r="S8" s="435" t="str">
        <f>+P8</f>
        <v>Odstupanje</v>
      </c>
      <c r="T8" s="436"/>
    </row>
    <row r="9" spans="1:20" ht="15.75" thickBot="1">
      <c r="A9" s="170"/>
      <c r="B9" s="442"/>
      <c r="C9" s="443"/>
      <c r="D9" s="443"/>
      <c r="E9" s="443"/>
      <c r="F9" s="444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05" t="str">
        <f>+VLOOKUP($A10,Master!$D$25:$G$223,4,FALSE)</f>
        <v>Prihodi budžeta</v>
      </c>
      <c r="C10" s="406"/>
      <c r="D10" s="406"/>
      <c r="E10" s="406"/>
      <c r="F10" s="406"/>
      <c r="G10" s="177">
        <f>+SUMPRODUCT(('2017'!$G10:$R10)*('2017'!$G$5:$R$5&lt;=Master!$B$3)*($A10='2017'!$A$10:$A$65))</f>
        <v>162413081.47000003</v>
      </c>
      <c r="H10" s="177">
        <f>+SUMPRODUCT(('2017'!$G104:$R104)*('2017'!$G$5:$R$5&lt;=Master!$B$3))</f>
        <v>174221160.32110476</v>
      </c>
      <c r="I10" s="178">
        <f>+G10-H10</f>
        <v>-11808078.851104736</v>
      </c>
      <c r="J10" s="179">
        <f>+IF(ISNUMBER(G10/H10-1),G10/H10-1,"…")</f>
        <v>-6.7776375896828056E-2</v>
      </c>
      <c r="K10" s="177">
        <f>+SUMPRODUCT(('2016'!$G10:$R10)*('2016'!$G$5:$R$5&lt;=Master!$B$3))</f>
        <v>163195682.58000001</v>
      </c>
      <c r="L10" s="178">
        <f>+G10-K10</f>
        <v>-782601.1099999845</v>
      </c>
      <c r="M10" s="180">
        <f>+IF(ISNUMBER(G10/K10-1),G10/K10-1,"…")</f>
        <v>-4.7954768020063154E-3</v>
      </c>
      <c r="N10" s="177">
        <f>+INDEX('2017'!$1:$1048576,MATCH('Analitika - 2017'!$A10,'2017'!$A:$A,0),MATCH('Analitika - 2017'!$N$6,'2017'!$6:$6,0))</f>
        <v>88762737.360000014</v>
      </c>
      <c r="O10" s="177">
        <f>+INDEX('2017'!$1:$1048576,MATCH(CONCATENATE('Analitika - 2017'!$A10,"p"),'2017'!$A:$A,0),MATCH('Analitika - 2017'!$O$6,'2017'!$100:$100,0))</f>
        <v>102141066.07420091</v>
      </c>
      <c r="P10" s="178">
        <f>+N10-O10</f>
        <v>-13378328.714200899</v>
      </c>
      <c r="Q10" s="179">
        <f>+IF(ISNUMBER(N10/O10-1),N10/O10-1,"…")</f>
        <v>-0.13097894146201827</v>
      </c>
      <c r="R10" s="177">
        <f>+INDEX('2016'!$1:$1048576,MATCH('Analitika - 2017'!$A10,'2016'!$A:$A,0),MATCH('Analitika - 2017'!$R$6,'2016'!$6:$6,0))</f>
        <v>95779987.890000001</v>
      </c>
      <c r="S10" s="178">
        <f>+N10-R10</f>
        <v>-7017250.5299999863</v>
      </c>
      <c r="T10" s="180">
        <f>+IF(ISNUMBER(N10/R10-1),N10/R10-1,"…")</f>
        <v>-7.3264266206204298E-2</v>
      </c>
    </row>
    <row r="11" spans="1:20">
      <c r="A11" s="176">
        <v>711</v>
      </c>
      <c r="B11" s="407" t="str">
        <f>+VLOOKUP($A11,Master!$D$25:$G$223,4,FALSE)</f>
        <v>Porezi</v>
      </c>
      <c r="C11" s="408"/>
      <c r="D11" s="408"/>
      <c r="E11" s="408"/>
      <c r="F11" s="408"/>
      <c r="G11" s="183">
        <f>+SUMPRODUCT(('2017'!$G11:$R11)*('2017'!$G$5:$R$5&lt;=Master!$B$3)*($A11='2017'!$A$10:$A$65))</f>
        <v>104127290.65000001</v>
      </c>
      <c r="H11" s="342">
        <f>+SUMPRODUCT(('2017'!$G105:$R105)*('2017'!$G$5:$R$5&lt;=Master!$B$3))</f>
        <v>112691509.94910666</v>
      </c>
      <c r="I11" s="184">
        <f t="shared" ref="I11:I66" si="0">+G11-H11</f>
        <v>-8564219.2991066575</v>
      </c>
      <c r="J11" s="185">
        <f t="shared" ref="J11:J65" si="1">+IF(ISNUMBER(G11/H11-1),G11/H11-1,"…")</f>
        <v>-7.599702322716595E-2</v>
      </c>
      <c r="K11" s="183">
        <f>+SUMPRODUCT(('2015'!$G11:$R11)*('2015'!$G$5:$R$5&lt;=Master!$B$3))</f>
        <v>100242815.09999999</v>
      </c>
      <c r="L11" s="184">
        <f>+G11-K11</f>
        <v>3884475.5500000119</v>
      </c>
      <c r="M11" s="186">
        <f t="shared" ref="M11:M66" si="2">+IF(ISNUMBER(G11/K11-1),G11/K11-1,"…")</f>
        <v>3.8750663038791711E-2</v>
      </c>
      <c r="N11" s="183">
        <f>+INDEX('2017'!$1:$1048576,MATCH('Analitika - 2017'!$A11,'2017'!$A:$A,0),MATCH('Analitika - 2017'!$N$6,'2017'!$6:$6,0))</f>
        <v>50615120.200000003</v>
      </c>
      <c r="O11" s="342">
        <f>+INDEX('2017'!$1:$1048576,MATCH(CONCATENATE('Analitika - 2017'!$A11,"p"),'2017'!$A:$A,0),MATCH('Analitika - 2017'!$O$6,'2017'!$100:$100,0))</f>
        <v>59298498.751362592</v>
      </c>
      <c r="P11" s="184">
        <f t="shared" ref="P11:P66" si="3">+N11-O11</f>
        <v>-8683378.551362589</v>
      </c>
      <c r="Q11" s="185">
        <f t="shared" ref="Q11:Q66" si="4">+IF(ISNUMBER(N11/O11-1),N11/O11-1,"…")</f>
        <v>-0.14643504868094248</v>
      </c>
      <c r="R11" s="183">
        <f>+INDEX('2016'!$1:$1048576,MATCH('Analitika - 2017'!$A11,'2016'!$A:$A,0),MATCH('Analitika - 2017'!$R$6,'2016'!$6:$6,0))</f>
        <v>55731541.770000003</v>
      </c>
      <c r="S11" s="184">
        <f t="shared" ref="S11:S66" si="5">+N11-R11</f>
        <v>-5116421.57</v>
      </c>
      <c r="T11" s="186">
        <f t="shared" ref="T11:T66" si="6">+IF(ISNUMBER(N11/R11-1),N11/R11-1,"…")</f>
        <v>-9.1804773517931704E-2</v>
      </c>
    </row>
    <row r="12" spans="1:20">
      <c r="A12" s="176">
        <v>7111</v>
      </c>
      <c r="B12" s="409" t="str">
        <f>+VLOOKUP($A12,Master!$D$25:$G$223,4,FALSE)</f>
        <v>Porez na dohodak fizičkih lica</v>
      </c>
      <c r="C12" s="410"/>
      <c r="D12" s="410"/>
      <c r="E12" s="410"/>
      <c r="F12" s="410"/>
      <c r="G12" s="189">
        <f>+SUMPRODUCT(('2017'!$G12:$R12)*('2017'!$G$5:$R$5&lt;=Master!$B$3)*($A12='2017'!$A$10:$A$65))</f>
        <v>11606990.5</v>
      </c>
      <c r="H12" s="189">
        <f>+SUMPRODUCT(('2017'!$G106:$R106)*('2017'!$G$5:$R$5&lt;=Master!$B$3))</f>
        <v>12591158.380424209</v>
      </c>
      <c r="I12" s="190">
        <f t="shared" si="0"/>
        <v>-984167.88042420894</v>
      </c>
      <c r="J12" s="191">
        <f t="shared" si="1"/>
        <v>-7.8163410441593695E-2</v>
      </c>
      <c r="K12" s="189">
        <f>+SUMPRODUCT(('2016'!$G12:$R12)*('2016'!$G$5:$R$5&lt;=Master!$B$3))</f>
        <v>12345338.739999998</v>
      </c>
      <c r="L12" s="190">
        <f>+G12-K12</f>
        <v>-738348.23999999836</v>
      </c>
      <c r="M12" s="192">
        <f t="shared" si="2"/>
        <v>-5.9807855867711757E-2</v>
      </c>
      <c r="N12" s="189">
        <f>+INDEX('2017'!$1:$1048576,MATCH('Analitika - 2017'!$A12,'2017'!$A:$A,0),MATCH('Analitika - 2017'!$N$6,'2017'!$6:$6,0))</f>
        <v>7751521.5300000003</v>
      </c>
      <c r="O12" s="189">
        <f>+INDEX('2017'!$1:$1048576,MATCH(CONCATENATE('Analitika - 2017'!$A12,"p"),'2017'!$A:$A,0),MATCH('Analitika - 2017'!$O$6,'2017'!$100:$100,0))</f>
        <v>9145427.7004242092</v>
      </c>
      <c r="P12" s="190">
        <f t="shared" si="3"/>
        <v>-1393906.170424209</v>
      </c>
      <c r="Q12" s="191">
        <f t="shared" si="4"/>
        <v>-0.15241563501284394</v>
      </c>
      <c r="R12" s="189">
        <f>+INDEX('2016'!$1:$1048576,MATCH('Analitika - 2017'!$A12,'2016'!$A:$A,0),MATCH('Analitika - 2017'!$R$6,'2016'!$6:$6,0))</f>
        <v>8966879.7299999986</v>
      </c>
      <c r="S12" s="190">
        <f t="shared" si="5"/>
        <v>-1215358.1999999983</v>
      </c>
      <c r="T12" s="192">
        <f t="shared" si="6"/>
        <v>-0.13553858606286873</v>
      </c>
    </row>
    <row r="13" spans="1:20">
      <c r="A13" s="176">
        <v>7112</v>
      </c>
      <c r="B13" s="409" t="str">
        <f>+VLOOKUP($A13,Master!$D$25:$G$223,4,FALSE)</f>
        <v>Porez na dobit pravnih lica</v>
      </c>
      <c r="C13" s="410"/>
      <c r="D13" s="410"/>
      <c r="E13" s="410"/>
      <c r="F13" s="410"/>
      <c r="G13" s="189">
        <f>+SUMPRODUCT(('2017'!$G13:$R13)*('2017'!$G$5:$R$5&lt;=Master!$B$3)*($A13='2017'!$A$10:$A$65))</f>
        <v>1874342.23</v>
      </c>
      <c r="H13" s="189">
        <f>+SUMPRODUCT(('2017'!$G107:$R107)*('2017'!$G$5:$R$5&lt;=Master!$B$3))</f>
        <v>1595561.1486526483</v>
      </c>
      <c r="I13" s="190">
        <f t="shared" si="0"/>
        <v>278781.08134735166</v>
      </c>
      <c r="J13" s="191">
        <f t="shared" si="1"/>
        <v>0.17472290647260058</v>
      </c>
      <c r="K13" s="189">
        <f>+SUMPRODUCT(('2016'!$G13:$R13)*('2016'!$G$5:$R$5&lt;=Master!$B$3))</f>
        <v>1538839.07</v>
      </c>
      <c r="L13" s="190">
        <f t="shared" ref="L13:L66" si="7">+G13-K13</f>
        <v>335503.15999999992</v>
      </c>
      <c r="M13" s="192">
        <f t="shared" si="2"/>
        <v>0.21802355200144485</v>
      </c>
      <c r="N13" s="189">
        <f>+INDEX('2017'!$1:$1048576,MATCH('Analitika - 2017'!$A13,'2017'!$A:$A,0),MATCH('Analitika - 2017'!$N$6,'2017'!$6:$6,0))</f>
        <v>1242026.04</v>
      </c>
      <c r="O13" s="189">
        <f>+INDEX('2017'!$1:$1048576,MATCH(CONCATENATE('Analitika - 2017'!$A13,"p"),'2017'!$A:$A,0),MATCH('Analitika - 2017'!$O$6,'2017'!$100:$100,0))</f>
        <v>1275692.7823229732</v>
      </c>
      <c r="P13" s="190">
        <f t="shared" si="3"/>
        <v>-33666.742322973209</v>
      </c>
      <c r="Q13" s="191">
        <f t="shared" si="4"/>
        <v>-2.6390948345468956E-2</v>
      </c>
      <c r="R13" s="189">
        <f>+INDEX('2016'!$1:$1048576,MATCH('Analitika - 2017'!$A13,'2016'!$A:$A,0),MATCH('Analitika - 2017'!$R$6,'2016'!$6:$6,0))</f>
        <v>1230342</v>
      </c>
      <c r="S13" s="190">
        <f t="shared" si="5"/>
        <v>11684.040000000037</v>
      </c>
      <c r="T13" s="192">
        <f t="shared" si="6"/>
        <v>9.4965789999854611E-3</v>
      </c>
    </row>
    <row r="14" spans="1:20">
      <c r="A14" s="176">
        <v>7113</v>
      </c>
      <c r="B14" s="409" t="str">
        <f>+VLOOKUP($A14,Master!$D$25:$G$223,4,FALSE)</f>
        <v>Porez na promet nepokretnosti</v>
      </c>
      <c r="C14" s="410"/>
      <c r="D14" s="410"/>
      <c r="E14" s="410"/>
      <c r="F14" s="410"/>
      <c r="G14" s="189">
        <f>+SUMPRODUCT(('2017'!$G14:$R14)*('2017'!$G$5:$R$5&lt;=Master!$B$3)*($A14='2017'!$A$10:$A$65))</f>
        <v>166768.56</v>
      </c>
      <c r="H14" s="189">
        <f>+SUMPRODUCT(('2017'!$G108:$R108)*('2017'!$G$5:$R$5&lt;=Master!$B$3))</f>
        <v>372780.76959479426</v>
      </c>
      <c r="I14" s="190">
        <f t="shared" si="0"/>
        <v>-206012.20959479426</v>
      </c>
      <c r="J14" s="191">
        <f t="shared" si="1"/>
        <v>-0.55263636538635219</v>
      </c>
      <c r="K14" s="189">
        <f>+SUMPRODUCT(('2016'!$G14:$R14)*('2016'!$G$5:$R$5&lt;=Master!$B$3))</f>
        <v>201601.28000000003</v>
      </c>
      <c r="L14" s="190">
        <f t="shared" si="7"/>
        <v>-34832.72000000003</v>
      </c>
      <c r="M14" s="192">
        <f t="shared" si="2"/>
        <v>-0.17278025218887516</v>
      </c>
      <c r="N14" s="189">
        <f>+INDEX('2017'!$1:$1048576,MATCH('Analitika - 2017'!$A14,'2017'!$A:$A,0),MATCH('Analitika - 2017'!$N$6,'2017'!$6:$6,0))</f>
        <v>107978.26</v>
      </c>
      <c r="O14" s="189">
        <f>+INDEX('2017'!$1:$1048576,MATCH(CONCATENATE('Analitika - 2017'!$A14,"p"),'2017'!$A:$A,0),MATCH('Analitika - 2017'!$O$6,'2017'!$100:$100,0))</f>
        <v>215996.23844451422</v>
      </c>
      <c r="P14" s="190">
        <f t="shared" si="3"/>
        <v>-108017.97844451423</v>
      </c>
      <c r="Q14" s="191">
        <f t="shared" si="4"/>
        <v>-0.50009194244492461</v>
      </c>
      <c r="R14" s="189">
        <f>+INDEX('2016'!$1:$1048576,MATCH('Analitika - 2017'!$A14,'2016'!$A:$A,0),MATCH('Analitika - 2017'!$R$6,'2016'!$6:$6,0))</f>
        <v>116811.6</v>
      </c>
      <c r="S14" s="190">
        <f t="shared" si="5"/>
        <v>-8833.3400000000111</v>
      </c>
      <c r="T14" s="192">
        <f t="shared" si="6"/>
        <v>-7.5620400713627856E-2</v>
      </c>
    </row>
    <row r="15" spans="1:20">
      <c r="A15" s="176">
        <v>7114</v>
      </c>
      <c r="B15" s="409" t="str">
        <f>+VLOOKUP($A15,Master!$D$25:$G$223,4,FALSE)</f>
        <v>Porez na dodatu vrijednost</v>
      </c>
      <c r="C15" s="410"/>
      <c r="D15" s="410"/>
      <c r="E15" s="410"/>
      <c r="F15" s="410"/>
      <c r="G15" s="189">
        <f>+SUMPRODUCT(('2017'!$G15:$R15)*('2017'!$G$5:$R$5&lt;=Master!$B$3)*($A15='2017'!$A$10:$A$65))</f>
        <v>60313512.489999995</v>
      </c>
      <c r="H15" s="189">
        <f>+SUMPRODUCT(('2017'!$G109:$R109)*('2017'!$G$5:$R$5&lt;=Master!$B$3))</f>
        <v>69477426.414981499</v>
      </c>
      <c r="I15" s="190">
        <f t="shared" si="0"/>
        <v>-9163913.9249815047</v>
      </c>
      <c r="J15" s="191">
        <f t="shared" si="1"/>
        <v>-0.1318977169684783</v>
      </c>
      <c r="K15" s="189">
        <f>+SUMPRODUCT(('2016'!$G15:$R15)*('2016'!$G$5:$R$5&lt;=Master!$B$3))</f>
        <v>66235042.760000013</v>
      </c>
      <c r="L15" s="190">
        <f t="shared" si="7"/>
        <v>-5921530.2700000182</v>
      </c>
      <c r="M15" s="192">
        <f t="shared" si="2"/>
        <v>-8.9401773189102363E-2</v>
      </c>
      <c r="N15" s="189">
        <f>+INDEX('2017'!$1:$1048576,MATCH('Analitika - 2017'!$A15,'2017'!$A:$A,0),MATCH('Analitika - 2017'!$N$6,'2017'!$6:$6,0))</f>
        <v>26961493.609999999</v>
      </c>
      <c r="O15" s="189">
        <f>+INDEX('2017'!$1:$1048576,MATCH(CONCATENATE('Analitika - 2017'!$A15,"p"),'2017'!$A:$A,0),MATCH('Analitika - 2017'!$O$6,'2017'!$100:$100,0))</f>
        <v>34439419.532361373</v>
      </c>
      <c r="P15" s="190">
        <f t="shared" si="3"/>
        <v>-7477925.9223613739</v>
      </c>
      <c r="Q15" s="191">
        <f t="shared" si="4"/>
        <v>-0.21713275147784239</v>
      </c>
      <c r="R15" s="189">
        <f>+INDEX('2016'!$1:$1048576,MATCH('Analitika - 2017'!$A15,'2016'!$A:$A,0),MATCH('Analitika - 2017'!$R$6,'2016'!$6:$6,0))</f>
        <v>32832195.190000009</v>
      </c>
      <c r="S15" s="190">
        <f t="shared" si="5"/>
        <v>-5870701.5800000094</v>
      </c>
      <c r="T15" s="192">
        <f t="shared" si="6"/>
        <v>-0.17880929209960661</v>
      </c>
    </row>
    <row r="16" spans="1:20">
      <c r="A16" s="176">
        <v>7115</v>
      </c>
      <c r="B16" s="409" t="str">
        <f>+VLOOKUP($A16,Master!$D$25:$G$223,4,FALSE)</f>
        <v>Akcize</v>
      </c>
      <c r="C16" s="410"/>
      <c r="D16" s="410"/>
      <c r="E16" s="410"/>
      <c r="F16" s="410"/>
      <c r="G16" s="189">
        <f>+SUMPRODUCT(('2017'!$G16:$R16)*('2017'!$G$5:$R$5&lt;=Master!$B$3)*($A16='2017'!$A$10:$A$65))</f>
        <v>26328964.479999997</v>
      </c>
      <c r="H16" s="189">
        <f>+SUMPRODUCT(('2017'!$G110:$R110)*('2017'!$G$5:$R$5&lt;=Master!$B$3))</f>
        <v>25012208.310406018</v>
      </c>
      <c r="I16" s="190">
        <f t="shared" si="0"/>
        <v>1316756.1695939787</v>
      </c>
      <c r="J16" s="191">
        <f t="shared" si="1"/>
        <v>5.2644538748950032E-2</v>
      </c>
      <c r="K16" s="189">
        <f>+SUMPRODUCT(('2016'!$G16:$R16)*('2016'!$G$5:$R$5&lt;=Master!$B$3))</f>
        <v>21707406.949999988</v>
      </c>
      <c r="L16" s="190">
        <f t="shared" si="7"/>
        <v>4621557.5300000086</v>
      </c>
      <c r="M16" s="192">
        <f t="shared" si="2"/>
        <v>0.21290233055680607</v>
      </c>
      <c r="N16" s="189">
        <f>+INDEX('2017'!$1:$1048576,MATCH('Analitika - 2017'!$A16,'2017'!$A:$A,0),MATCH('Analitika - 2017'!$N$6,'2017'!$6:$6,0))</f>
        <v>12356371.449999999</v>
      </c>
      <c r="O16" s="189">
        <f>+INDEX('2017'!$1:$1048576,MATCH(CONCATENATE('Analitika - 2017'!$A16,"p"),'2017'!$A:$A,0),MATCH('Analitika - 2017'!$O$6,'2017'!$100:$100,0))</f>
        <v>12119703.851627368</v>
      </c>
      <c r="P16" s="190">
        <f t="shared" si="3"/>
        <v>236667.59837263077</v>
      </c>
      <c r="Q16" s="191">
        <f t="shared" si="4"/>
        <v>1.9527506717158971E-2</v>
      </c>
      <c r="R16" s="189">
        <f>+INDEX('2016'!$1:$1048576,MATCH('Analitika - 2017'!$A16,'2016'!$A:$A,0),MATCH('Analitika - 2017'!$R$6,'2016'!$6:$6,0))</f>
        <v>10518357.289999988</v>
      </c>
      <c r="S16" s="190">
        <f t="shared" si="5"/>
        <v>1838014.1600000113</v>
      </c>
      <c r="T16" s="192">
        <f t="shared" si="6"/>
        <v>0.1747434612957528</v>
      </c>
    </row>
    <row r="17" spans="1:20">
      <c r="A17" s="176">
        <v>7116</v>
      </c>
      <c r="B17" s="409" t="str">
        <f>+VLOOKUP($A17,Master!$D$25:$G$223,4,FALSE)</f>
        <v>Porez na međunarodnu trgovinu i transakcije</v>
      </c>
      <c r="C17" s="410"/>
      <c r="D17" s="410"/>
      <c r="E17" s="410"/>
      <c r="F17" s="410"/>
      <c r="G17" s="189">
        <f>+SUMPRODUCT(('2017'!$G17:$R17)*('2017'!$G$5:$R$5&lt;=Master!$B$3)*($A17='2017'!$A$10:$A$65))</f>
        <v>2668242.66</v>
      </c>
      <c r="H17" s="189">
        <f>+SUMPRODUCT(('2017'!$G111:$R111)*('2017'!$G$5:$R$5&lt;=Master!$B$3))</f>
        <v>2569685.1864920245</v>
      </c>
      <c r="I17" s="190">
        <f t="shared" si="0"/>
        <v>98557.473507975694</v>
      </c>
      <c r="J17" s="191">
        <f t="shared" si="1"/>
        <v>3.835390966413299E-2</v>
      </c>
      <c r="K17" s="189">
        <f>+SUMPRODUCT(('2016'!$G17:$R17)*('2016'!$G$5:$R$5&lt;=Master!$B$3))</f>
        <v>2554631.0299999998</v>
      </c>
      <c r="L17" s="190">
        <f t="shared" si="7"/>
        <v>113611.63000000035</v>
      </c>
      <c r="M17" s="192">
        <f t="shared" si="2"/>
        <v>4.4472813751111673E-2</v>
      </c>
      <c r="N17" s="189">
        <f>+INDEX('2017'!$1:$1048576,MATCH('Analitika - 2017'!$A17,'2017'!$A:$A,0),MATCH('Analitika - 2017'!$N$6,'2017'!$6:$6,0))</f>
        <v>1596950.17</v>
      </c>
      <c r="O17" s="189">
        <f>+INDEX('2017'!$1:$1048576,MATCH(CONCATENATE('Analitika - 2017'!$A17,"p"),'2017'!$A:$A,0),MATCH('Analitika - 2017'!$O$6,'2017'!$100:$100,0))</f>
        <v>1549568.1072133458</v>
      </c>
      <c r="P17" s="190">
        <f t="shared" si="3"/>
        <v>47382.062786654104</v>
      </c>
      <c r="Q17" s="191">
        <f t="shared" si="4"/>
        <v>3.0577592921593677E-2</v>
      </c>
      <c r="R17" s="189">
        <f>+INDEX('2016'!$1:$1048576,MATCH('Analitika - 2017'!$A17,'2016'!$A:$A,0),MATCH('Analitika - 2017'!$R$6,'2016'!$6:$6,0))</f>
        <v>1540490.1699999995</v>
      </c>
      <c r="S17" s="190">
        <f t="shared" si="5"/>
        <v>56460.000000000466</v>
      </c>
      <c r="T17" s="192">
        <f t="shared" si="6"/>
        <v>3.6650672039017618E-2</v>
      </c>
    </row>
    <row r="18" spans="1:20">
      <c r="A18" s="176">
        <v>7118</v>
      </c>
      <c r="B18" s="409" t="str">
        <f>+VLOOKUP($A18,Master!$D$25:$G$223,4,FALSE)</f>
        <v>Ostali državni porezi</v>
      </c>
      <c r="C18" s="410"/>
      <c r="D18" s="410"/>
      <c r="E18" s="410"/>
      <c r="F18" s="410"/>
      <c r="G18" s="189">
        <f>+SUMPRODUCT(('2017'!$G18:$R18)*('2017'!$G$5:$R$5&lt;=Master!$B$3)*($A18='2017'!$A$10:$A$65))</f>
        <v>1168469.73</v>
      </c>
      <c r="H18" s="189">
        <f>+SUMPRODUCT(('2017'!$G112:$R112)*('2017'!$G$5:$R$5&lt;=Master!$B$3))</f>
        <v>1072689.7385554626</v>
      </c>
      <c r="I18" s="190">
        <f t="shared" si="0"/>
        <v>95779.991444537416</v>
      </c>
      <c r="J18" s="191">
        <f t="shared" si="1"/>
        <v>8.9289556897896194E-2</v>
      </c>
      <c r="K18" s="189">
        <f>+SUMPRODUCT(('2016'!$G18:$R18)*('2016'!$G$5:$R$5&lt;=Master!$B$3))</f>
        <v>1021791.4199999999</v>
      </c>
      <c r="L18" s="190">
        <f t="shared" si="7"/>
        <v>146678.31000000006</v>
      </c>
      <c r="M18" s="192">
        <f t="shared" si="2"/>
        <v>0.14355014842461689</v>
      </c>
      <c r="N18" s="189">
        <f>+INDEX('2017'!$1:$1048576,MATCH('Analitika - 2017'!$A18,'2017'!$A:$A,0),MATCH('Analitika - 2017'!$N$6,'2017'!$6:$6,0))</f>
        <v>598779.14</v>
      </c>
      <c r="O18" s="189">
        <f>+INDEX('2017'!$1:$1048576,MATCH(CONCATENATE('Analitika - 2017'!$A18,"p"),'2017'!$A:$A,0),MATCH('Analitika - 2017'!$O$6,'2017'!$100:$100,0))</f>
        <v>552690.53896879952</v>
      </c>
      <c r="P18" s="190">
        <f t="shared" si="3"/>
        <v>46088.601031200495</v>
      </c>
      <c r="Q18" s="191">
        <f t="shared" si="4"/>
        <v>8.3389524121747716E-2</v>
      </c>
      <c r="R18" s="189">
        <f>+INDEX('2016'!$1:$1048576,MATCH('Analitika - 2017'!$A18,'2016'!$A:$A,0),MATCH('Analitika - 2017'!$R$6,'2016'!$6:$6,0))</f>
        <v>526465.78999999992</v>
      </c>
      <c r="S18" s="190">
        <f t="shared" si="5"/>
        <v>72313.350000000093</v>
      </c>
      <c r="T18" s="192">
        <f t="shared" si="6"/>
        <v>0.13735621834041689</v>
      </c>
    </row>
    <row r="19" spans="1:20">
      <c r="A19" s="176">
        <v>712</v>
      </c>
      <c r="B19" s="413" t="str">
        <f>+VLOOKUP($A19,Master!$D$25:$G$223,4,FALSE)</f>
        <v>Doprinosi</v>
      </c>
      <c r="C19" s="414"/>
      <c r="D19" s="414"/>
      <c r="E19" s="414"/>
      <c r="F19" s="414"/>
      <c r="G19" s="195">
        <f>+SUMPRODUCT(('2017'!$G19:$R19)*('2017'!$G$5:$R$5&lt;=Master!$B$3)*($A19='2017'!$A$10:$A$65))</f>
        <v>48048088.950000003</v>
      </c>
      <c r="H19" s="195">
        <f>+SUMPRODUCT(('2017'!$G113:$R113)*('2017'!$G$5:$R$5&lt;=Master!$B$3))</f>
        <v>52780526.160553008</v>
      </c>
      <c r="I19" s="196">
        <f t="shared" si="0"/>
        <v>-4732437.2105530053</v>
      </c>
      <c r="J19" s="197">
        <f t="shared" si="1"/>
        <v>-8.9662562213900898E-2</v>
      </c>
      <c r="K19" s="195">
        <f>+SUMPRODUCT(('2016'!$G19:$R19)*('2016'!$G$5:$R$5&lt;=Master!$B$3))</f>
        <v>50089127.939999998</v>
      </c>
      <c r="L19" s="196">
        <f t="shared" si="7"/>
        <v>-2041038.9899999946</v>
      </c>
      <c r="M19" s="198">
        <f t="shared" si="2"/>
        <v>-4.0748143837618489E-2</v>
      </c>
      <c r="N19" s="195">
        <f>+INDEX('2017'!$1:$1048576,MATCH('Analitika - 2017'!$A19,'2017'!$A:$A,0),MATCH('Analitika - 2017'!$N$6,'2017'!$6:$6,0))</f>
        <v>32105522.039999999</v>
      </c>
      <c r="O19" s="195">
        <f>+INDEX('2017'!$1:$1048576,MATCH(CONCATENATE('Analitika - 2017'!$A19,"p"),'2017'!$A:$A,0),MATCH('Analitika - 2017'!$O$6,'2017'!$100:$100,0))</f>
        <v>38286134.504472315</v>
      </c>
      <c r="P19" s="196">
        <f t="shared" si="3"/>
        <v>-6180612.4644723162</v>
      </c>
      <c r="Q19" s="197">
        <f t="shared" si="4"/>
        <v>-0.16143213579710802</v>
      </c>
      <c r="R19" s="195">
        <f>+INDEX('2016'!$1:$1048576,MATCH('Analitika - 2017'!$A19,'2016'!$A:$A,0),MATCH('Analitika - 2017'!$R$6,'2016'!$6:$6,0))</f>
        <v>36106208.00999999</v>
      </c>
      <c r="S19" s="196">
        <f t="shared" si="5"/>
        <v>-4000685.9699999914</v>
      </c>
      <c r="T19" s="198">
        <f t="shared" si="6"/>
        <v>-0.11080327152859581</v>
      </c>
    </row>
    <row r="20" spans="1:20">
      <c r="A20" s="176">
        <v>7121</v>
      </c>
      <c r="B20" s="409" t="str">
        <f>+VLOOKUP($A20,Master!$D$25:$G$223,4,FALSE)</f>
        <v>Doprinosi za penzijsko i invalidsko osiguranje</v>
      </c>
      <c r="C20" s="410"/>
      <c r="D20" s="410"/>
      <c r="E20" s="410"/>
      <c r="F20" s="410"/>
      <c r="G20" s="189">
        <f>+SUMPRODUCT(('2017'!$G20:$R20)*('2017'!$G$5:$R$5&lt;=Master!$B$3)*($A20='2017'!$A$10:$A$65))</f>
        <v>28906273.870000001</v>
      </c>
      <c r="H20" s="189">
        <f>+SUMPRODUCT(('2017'!$G114:$R114)*('2017'!$G$5:$R$5&lt;=Master!$B$3))</f>
        <v>32185502.93176917</v>
      </c>
      <c r="I20" s="190">
        <f t="shared" si="0"/>
        <v>-3279229.0617691688</v>
      </c>
      <c r="J20" s="191">
        <f t="shared" si="1"/>
        <v>-0.10188528259822094</v>
      </c>
      <c r="K20" s="189">
        <f>+SUMPRODUCT(('2016'!$G20:$R20)*('2016'!$G$5:$R$5&lt;=Master!$B$3))</f>
        <v>29986604.499999996</v>
      </c>
      <c r="L20" s="190">
        <f t="shared" si="7"/>
        <v>-1080330.6299999952</v>
      </c>
      <c r="M20" s="192">
        <f t="shared" si="2"/>
        <v>-3.6027107704041494E-2</v>
      </c>
      <c r="N20" s="189">
        <f>+INDEX('2017'!$1:$1048576,MATCH('Analitika - 2017'!$A20,'2017'!$A:$A,0),MATCH('Analitika - 2017'!$N$6,'2017'!$6:$6,0))</f>
        <v>19294210.57</v>
      </c>
      <c r="O20" s="189">
        <f>+INDEX('2017'!$1:$1048576,MATCH(CONCATENATE('Analitika - 2017'!$A20,"p"),'2017'!$A:$A,0),MATCH('Analitika - 2017'!$O$6,'2017'!$100:$100,0))</f>
        <v>23124706.852591999</v>
      </c>
      <c r="P20" s="190">
        <f t="shared" si="3"/>
        <v>-3830496.2825919986</v>
      </c>
      <c r="Q20" s="191">
        <f t="shared" si="4"/>
        <v>-0.16564518231558234</v>
      </c>
      <c r="R20" s="189">
        <f>+INDEX('2016'!$1:$1048576,MATCH('Analitika - 2017'!$A20,'2016'!$A:$A,0),MATCH('Analitika - 2017'!$R$6,'2016'!$6:$6,0))</f>
        <v>21544837.749999996</v>
      </c>
      <c r="S20" s="190">
        <f t="shared" si="5"/>
        <v>-2250627.179999996</v>
      </c>
      <c r="T20" s="192">
        <f t="shared" si="6"/>
        <v>-0.10446247988105628</v>
      </c>
    </row>
    <row r="21" spans="1:20">
      <c r="A21" s="176">
        <v>7122</v>
      </c>
      <c r="B21" s="409" t="str">
        <f>+VLOOKUP($A21,Master!$D$25:$G$223,4,FALSE)</f>
        <v>Doprinosi za zdravstveno osiguranje</v>
      </c>
      <c r="C21" s="410"/>
      <c r="D21" s="410"/>
      <c r="E21" s="410"/>
      <c r="F21" s="410"/>
      <c r="G21" s="189">
        <f>+SUMPRODUCT(('2017'!$G21:$R21)*('2017'!$G$5:$R$5&lt;=Master!$B$3)*($A21='2017'!$A$10:$A$65))</f>
        <v>16624093.41</v>
      </c>
      <c r="H21" s="189">
        <f>+SUMPRODUCT(('2017'!$G115:$R115)*('2017'!$G$5:$R$5&lt;=Master!$B$3))</f>
        <v>18224637.924816523</v>
      </c>
      <c r="I21" s="190">
        <f t="shared" si="0"/>
        <v>-1600544.5148165226</v>
      </c>
      <c r="J21" s="191">
        <f t="shared" si="1"/>
        <v>-8.7823117332666345E-2</v>
      </c>
      <c r="K21" s="189">
        <f>+SUMPRODUCT(('2016'!$G21:$R21)*('2016'!$G$5:$R$5&lt;=Master!$B$3))</f>
        <v>17379494.539999995</v>
      </c>
      <c r="L21" s="190">
        <f t="shared" si="7"/>
        <v>-755401.12999999523</v>
      </c>
      <c r="M21" s="192">
        <f t="shared" si="2"/>
        <v>-4.346508054428122E-2</v>
      </c>
      <c r="N21" s="189">
        <f>+INDEX('2017'!$1:$1048576,MATCH('Analitika - 2017'!$A21,'2017'!$A:$A,0),MATCH('Analitika - 2017'!$N$6,'2017'!$6:$6,0))</f>
        <v>11136277.539999999</v>
      </c>
      <c r="O21" s="189">
        <f>+INDEX('2017'!$1:$1048576,MATCH(CONCATENATE('Analitika - 2017'!$A21,"p"),'2017'!$A:$A,0),MATCH('Analitika - 2017'!$O$6,'2017'!$100:$100,0))</f>
        <v>13190874.32162513</v>
      </c>
      <c r="P21" s="190">
        <f t="shared" si="3"/>
        <v>-2054596.7816251311</v>
      </c>
      <c r="Q21" s="191">
        <f t="shared" si="4"/>
        <v>-0.15575895361665482</v>
      </c>
      <c r="R21" s="189">
        <f>+INDEX('2016'!$1:$1048576,MATCH('Analitika - 2017'!$A21,'2016'!$A:$A,0),MATCH('Analitika - 2017'!$R$6,'2016'!$6:$6,0))</f>
        <v>12579165.039999994</v>
      </c>
      <c r="S21" s="190">
        <f t="shared" si="5"/>
        <v>-1442887.4999999944</v>
      </c>
      <c r="T21" s="192">
        <f t="shared" si="6"/>
        <v>-0.11470455275940916</v>
      </c>
    </row>
    <row r="22" spans="1:20">
      <c r="A22" s="176">
        <v>7123</v>
      </c>
      <c r="B22" s="409" t="str">
        <f>+VLOOKUP($A22,Master!$D$25:$G$223,4,FALSE)</f>
        <v>Doprinosi za osiguranje od nezaposlenosti</v>
      </c>
      <c r="C22" s="410"/>
      <c r="D22" s="410"/>
      <c r="E22" s="410"/>
      <c r="F22" s="410"/>
      <c r="G22" s="189">
        <f>+SUMPRODUCT(('2017'!$G22:$R22)*('2017'!$G$5:$R$5&lt;=Master!$B$3)*($A22='2017'!$A$10:$A$65))</f>
        <v>1321201.2</v>
      </c>
      <c r="H22" s="189">
        <f>+SUMPRODUCT(('2017'!$G116:$R116)*('2017'!$G$5:$R$5&lt;=Master!$B$3))</f>
        <v>1028421.6435925997</v>
      </c>
      <c r="I22" s="190">
        <f t="shared" si="0"/>
        <v>292779.55640740029</v>
      </c>
      <c r="J22" s="191">
        <f t="shared" si="1"/>
        <v>0.28468824847426322</v>
      </c>
      <c r="K22" s="189">
        <f>+SUMPRODUCT(('2016'!$G22:$R22)*('2016'!$G$5:$R$5&lt;=Master!$B$3))</f>
        <v>1415020.5099999995</v>
      </c>
      <c r="L22" s="190">
        <f t="shared" si="7"/>
        <v>-93819.30999999959</v>
      </c>
      <c r="M22" s="192">
        <f t="shared" si="2"/>
        <v>-6.6302438259357555E-2</v>
      </c>
      <c r="N22" s="189">
        <f>+INDEX('2017'!$1:$1048576,MATCH('Analitika - 2017'!$A22,'2017'!$A:$A,0),MATCH('Analitika - 2017'!$N$6,'2017'!$6:$6,0))</f>
        <v>884778.14</v>
      </c>
      <c r="O22" s="189">
        <f>+INDEX('2017'!$1:$1048576,MATCH(CONCATENATE('Analitika - 2017'!$A22,"p"),'2017'!$A:$A,0),MATCH('Analitika - 2017'!$O$6,'2017'!$100:$100,0))</f>
        <v>993654.74277777073</v>
      </c>
      <c r="P22" s="190">
        <f t="shared" si="3"/>
        <v>-108876.60277777072</v>
      </c>
      <c r="Q22" s="191">
        <f t="shared" si="4"/>
        <v>-0.10957186444197431</v>
      </c>
      <c r="R22" s="189">
        <f>+INDEX('2016'!$1:$1048576,MATCH('Analitika - 2017'!$A22,'2016'!$A:$A,0),MATCH('Analitika - 2017'!$R$6,'2016'!$6:$6,0))</f>
        <v>1030024.7799999996</v>
      </c>
      <c r="S22" s="190">
        <f t="shared" si="5"/>
        <v>-145246.63999999955</v>
      </c>
      <c r="T22" s="192">
        <f t="shared" si="6"/>
        <v>-0.14101276281916209</v>
      </c>
    </row>
    <row r="23" spans="1:20">
      <c r="A23" s="176">
        <v>7124</v>
      </c>
      <c r="B23" s="409" t="str">
        <f>+VLOOKUP($A23,Master!$D$25:$G$223,4,FALSE)</f>
        <v>Ostali doprinosi</v>
      </c>
      <c r="C23" s="410"/>
      <c r="D23" s="410"/>
      <c r="E23" s="410"/>
      <c r="F23" s="410"/>
      <c r="G23" s="189">
        <f>+SUMPRODUCT(('2017'!$G23:$R23)*('2017'!$G$5:$R$5&lt;=Master!$B$3)*($A23='2017'!$A$10:$A$65))</f>
        <v>1196520.47</v>
      </c>
      <c r="H23" s="189">
        <f>+SUMPRODUCT(('2017'!$G117:$R117)*('2017'!$G$5:$R$5&lt;=Master!$B$3))</f>
        <v>1341963.6603747208</v>
      </c>
      <c r="I23" s="190">
        <f t="shared" si="0"/>
        <v>-145443.19037472084</v>
      </c>
      <c r="J23" s="191">
        <f t="shared" si="1"/>
        <v>-0.10838087100965776</v>
      </c>
      <c r="K23" s="189">
        <f>+SUMPRODUCT(('2016'!$G23:$R23)*('2016'!$G$5:$R$5&lt;=Master!$B$3))</f>
        <v>1308008.3900000001</v>
      </c>
      <c r="L23" s="190">
        <f t="shared" si="7"/>
        <v>-111487.92000000016</v>
      </c>
      <c r="M23" s="192">
        <f t="shared" si="2"/>
        <v>-8.523486611580533E-2</v>
      </c>
      <c r="N23" s="189">
        <f>+INDEX('2017'!$1:$1048576,MATCH('Analitika - 2017'!$A23,'2017'!$A:$A,0),MATCH('Analitika - 2017'!$N$6,'2017'!$6:$6,0))</f>
        <v>790255.79</v>
      </c>
      <c r="O23" s="189">
        <f>+INDEX('2017'!$1:$1048576,MATCH(CONCATENATE('Analitika - 2017'!$A23,"p"),'2017'!$A:$A,0),MATCH('Analitika - 2017'!$O$6,'2017'!$100:$100,0))</f>
        <v>976898.58747741836</v>
      </c>
      <c r="P23" s="190">
        <f t="shared" si="3"/>
        <v>-186642.79747741832</v>
      </c>
      <c r="Q23" s="191">
        <f t="shared" si="4"/>
        <v>-0.19105647184870422</v>
      </c>
      <c r="R23" s="189">
        <f>+INDEX('2016'!$1:$1048576,MATCH('Analitika - 2017'!$A23,'2016'!$A:$A,0),MATCH('Analitika - 2017'!$R$6,'2016'!$6:$6,0))</f>
        <v>952180.44000000006</v>
      </c>
      <c r="S23" s="190">
        <f t="shared" si="5"/>
        <v>-161924.65000000002</v>
      </c>
      <c r="T23" s="192">
        <f t="shared" si="6"/>
        <v>-0.17005668589453493</v>
      </c>
    </row>
    <row r="24" spans="1:20">
      <c r="A24" s="176">
        <v>713</v>
      </c>
      <c r="B24" s="411" t="str">
        <f>+VLOOKUP($A24,Master!$D$25:$G$223,4,FALSE)</f>
        <v>Takse</v>
      </c>
      <c r="C24" s="412"/>
      <c r="D24" s="412"/>
      <c r="E24" s="412"/>
      <c r="F24" s="412"/>
      <c r="G24" s="201">
        <f>+SUMPRODUCT(('2017'!$G24:$R24)*('2017'!$G$5:$R$5&lt;=Master!$B$3)*($A24='2017'!$A$10:$A$65))</f>
        <v>1323132.5</v>
      </c>
      <c r="H24" s="201">
        <f>+SUMPRODUCT(('2017'!$G118:$R118)*('2017'!$G$5:$R$5&lt;=Master!$B$3))</f>
        <v>1567054.8624742613</v>
      </c>
      <c r="I24" s="202">
        <f t="shared" si="0"/>
        <v>-243922.36247426132</v>
      </c>
      <c r="J24" s="203">
        <f t="shared" si="1"/>
        <v>-0.15565655569271286</v>
      </c>
      <c r="K24" s="201">
        <f>+SUMPRODUCT(('2016'!$G24:$R24)*('2016'!$G$5:$R$5&lt;=Master!$B$3))</f>
        <v>1449403.04</v>
      </c>
      <c r="L24" s="202">
        <f t="shared" si="7"/>
        <v>-126270.54000000004</v>
      </c>
      <c r="M24" s="204">
        <f t="shared" si="2"/>
        <v>-8.7118997625394767E-2</v>
      </c>
      <c r="N24" s="201">
        <f>+INDEX('2017'!$1:$1048576,MATCH('Analitika - 2017'!$A24,'2017'!$A:$A,0),MATCH('Analitika - 2017'!$N$6,'2017'!$6:$6,0))</f>
        <v>772214.17</v>
      </c>
      <c r="O24" s="201">
        <f>+INDEX('2017'!$1:$1048576,MATCH(CONCATENATE('Analitika - 2017'!$A24,"p"),'2017'!$A:$A,0),MATCH('Analitika - 2017'!$O$6,'2017'!$100:$100,0))</f>
        <v>956190.19217041158</v>
      </c>
      <c r="P24" s="202">
        <f t="shared" si="3"/>
        <v>-183976.02217041154</v>
      </c>
      <c r="Q24" s="203">
        <f t="shared" si="4"/>
        <v>-0.19240525961975508</v>
      </c>
      <c r="R24" s="201">
        <f>+INDEX('2016'!$1:$1048576,MATCH('Analitika - 2017'!$A24,'2016'!$A:$A,0),MATCH('Analitika - 2017'!$R$6,'2016'!$6:$6,0))</f>
        <v>882122.42</v>
      </c>
      <c r="S24" s="202">
        <f t="shared" si="5"/>
        <v>-109908.25</v>
      </c>
      <c r="T24" s="204">
        <f t="shared" si="6"/>
        <v>-0.12459523475211065</v>
      </c>
    </row>
    <row r="25" spans="1:20">
      <c r="A25" s="176">
        <v>714</v>
      </c>
      <c r="B25" s="411" t="str">
        <f>+VLOOKUP($A25,Master!$D$25:$G$223,4,FALSE)</f>
        <v>Naknade</v>
      </c>
      <c r="C25" s="412"/>
      <c r="D25" s="412"/>
      <c r="E25" s="412"/>
      <c r="F25" s="412"/>
      <c r="G25" s="201">
        <f>+SUMPRODUCT(('2017'!$G25:$R25)*('2017'!$G$5:$R$5&lt;=Master!$B$3)*($A25='2017'!$A$10:$A$65))</f>
        <v>3033458.2699999996</v>
      </c>
      <c r="H25" s="201">
        <f>+SUMPRODUCT(('2017'!$G119:$R119)*('2017'!$G$5:$R$5&lt;=Master!$B$3))</f>
        <v>2914770.9759091944</v>
      </c>
      <c r="I25" s="202">
        <f t="shared" si="0"/>
        <v>118687.29409080511</v>
      </c>
      <c r="J25" s="203">
        <f t="shared" si="1"/>
        <v>4.0719252068778244E-2</v>
      </c>
      <c r="K25" s="201">
        <f>+SUMPRODUCT(('2016'!$G25:$R25)*('2016'!$G$5:$R$5&lt;=Master!$B$3))</f>
        <v>2892104.47</v>
      </c>
      <c r="L25" s="202">
        <f t="shared" si="7"/>
        <v>141353.79999999935</v>
      </c>
      <c r="M25" s="204">
        <f t="shared" si="2"/>
        <v>4.8875758627073163E-2</v>
      </c>
      <c r="N25" s="201">
        <f>+INDEX('2017'!$1:$1048576,MATCH('Analitika - 2017'!$A25,'2017'!$A:$A,0),MATCH('Analitika - 2017'!$N$6,'2017'!$6:$6,0))</f>
        <v>1287615.1399999999</v>
      </c>
      <c r="O25" s="201">
        <f>+INDEX('2017'!$1:$1048576,MATCH(CONCATENATE('Analitika - 2017'!$A25,"p"),'2017'!$A:$A,0),MATCH('Analitika - 2017'!$O$6,'2017'!$100:$100,0))</f>
        <v>1232315.1298845697</v>
      </c>
      <c r="P25" s="202">
        <f t="shared" si="3"/>
        <v>55300.010115430225</v>
      </c>
      <c r="Q25" s="203">
        <f t="shared" si="4"/>
        <v>4.4874893421628315E-2</v>
      </c>
      <c r="R25" s="201">
        <f>+INDEX('2016'!$1:$1048576,MATCH('Analitika - 2017'!$A25,'2016'!$A:$A,0),MATCH('Analitika - 2017'!$R$6,'2016'!$6:$6,0))</f>
        <v>1267094.5</v>
      </c>
      <c r="S25" s="202">
        <f t="shared" si="5"/>
        <v>20520.639999999898</v>
      </c>
      <c r="T25" s="204">
        <f t="shared" si="6"/>
        <v>1.6195035176934214E-2</v>
      </c>
    </row>
    <row r="26" spans="1:20">
      <c r="A26" s="176">
        <v>715</v>
      </c>
      <c r="B26" s="411" t="str">
        <f>+VLOOKUP($A26,Master!$D$25:$G$223,4,FALSE)</f>
        <v>Ostali prihodi</v>
      </c>
      <c r="C26" s="412"/>
      <c r="D26" s="412"/>
      <c r="E26" s="412"/>
      <c r="F26" s="412"/>
      <c r="G26" s="201">
        <f>+SUMPRODUCT(('2017'!$G26:$R26)*('2017'!$G$5:$R$5&lt;=Master!$B$3)*($A26='2017'!$A$10:$A$65))</f>
        <v>3912124.33</v>
      </c>
      <c r="H26" s="201">
        <f>+SUMPRODUCT(('2017'!$G120:$R120)*('2017'!$G$5:$R$5&lt;=Master!$B$3))</f>
        <v>2967219.8338676812</v>
      </c>
      <c r="I26" s="202">
        <f t="shared" si="0"/>
        <v>944904.49613231886</v>
      </c>
      <c r="J26" s="203">
        <f t="shared" si="1"/>
        <v>0.31844775548721804</v>
      </c>
      <c r="K26" s="201">
        <f>+SUMPRODUCT(('2016'!$G26:$R26)*('2016'!$G$5:$R$5&lt;=Master!$B$3))</f>
        <v>2579264.4000000036</v>
      </c>
      <c r="L26" s="202">
        <f t="shared" si="7"/>
        <v>1332859.9299999964</v>
      </c>
      <c r="M26" s="204">
        <f t="shared" si="2"/>
        <v>0.51675971257541287</v>
      </c>
      <c r="N26" s="201">
        <f>+INDEX('2017'!$1:$1048576,MATCH('Analitika - 2017'!$A26,'2017'!$A:$A,0),MATCH('Analitika - 2017'!$N$6,'2017'!$6:$6,0))</f>
        <v>2362532.17</v>
      </c>
      <c r="O26" s="201">
        <f>+INDEX('2017'!$1:$1048576,MATCH(CONCATENATE('Analitika - 2017'!$A26,"p"),'2017'!$A:$A,0),MATCH('Analitika - 2017'!$O$6,'2017'!$100:$100,0))</f>
        <v>1798869.4036121303</v>
      </c>
      <c r="P26" s="202">
        <f t="shared" si="3"/>
        <v>563662.7663878696</v>
      </c>
      <c r="Q26" s="203">
        <f t="shared" si="4"/>
        <v>0.31334279478879035</v>
      </c>
      <c r="R26" s="201">
        <f>+INDEX('2016'!$1:$1048576,MATCH('Analitika - 2017'!$A26,'2016'!$A:$A,0),MATCH('Analitika - 2017'!$R$6,'2016'!$6:$6,0))</f>
        <v>1556932.7000000044</v>
      </c>
      <c r="S26" s="202">
        <f t="shared" si="5"/>
        <v>805599.46999999555</v>
      </c>
      <c r="T26" s="204">
        <f t="shared" si="6"/>
        <v>0.51742729149435518</v>
      </c>
    </row>
    <row r="27" spans="1:20">
      <c r="A27" s="176">
        <v>73</v>
      </c>
      <c r="B27" s="411" t="str">
        <f>+VLOOKUP($A27,Master!$D$25:$G$223,4,FALSE)</f>
        <v>Primici od otplate kredita i sredstva prenesena iz prethodne godine</v>
      </c>
      <c r="C27" s="412"/>
      <c r="D27" s="412"/>
      <c r="E27" s="412"/>
      <c r="F27" s="412"/>
      <c r="G27" s="201">
        <f>+SUMPRODUCT(('2017'!$G27:$R27)*('2017'!$G$5:$R$5&lt;=Master!$B$3)*($A27='2017'!$A$10:$A$65))</f>
        <v>650544.13</v>
      </c>
      <c r="H27" s="201">
        <f>+SUMPRODUCT(('2017'!$G121:$R121)*('2017'!$G$5:$R$5&lt;=Master!$B$3))</f>
        <v>285733.76509390929</v>
      </c>
      <c r="I27" s="202">
        <f t="shared" si="0"/>
        <v>364810.36490609072</v>
      </c>
      <c r="J27" s="203">
        <f t="shared" si="1"/>
        <v>1.2767492311809634</v>
      </c>
      <c r="K27" s="201">
        <f>+SUMPRODUCT(('2016'!$G27:$R27)*('2016'!$G$5:$R$5&lt;=Master!$B$3))</f>
        <v>230442.18</v>
      </c>
      <c r="L27" s="202">
        <f t="shared" si="7"/>
        <v>420101.95</v>
      </c>
      <c r="M27" s="204">
        <f t="shared" si="2"/>
        <v>1.8230254114068876</v>
      </c>
      <c r="N27" s="201">
        <f>+INDEX('2017'!$1:$1048576,MATCH('Analitika - 2017'!$A27,'2017'!$A:$A,0),MATCH('Analitika - 2017'!$N$6,'2017'!$6:$6,0))</f>
        <v>500193.46</v>
      </c>
      <c r="O27" s="201">
        <f>+INDEX('2017'!$1:$1048576,MATCH(CONCATENATE('Analitika - 2017'!$A27,"p"),'2017'!$A:$A,0),MATCH('Analitika - 2017'!$O$6,'2017'!$100:$100,0))</f>
        <v>102035.58643931696</v>
      </c>
      <c r="P27" s="202">
        <f t="shared" si="3"/>
        <v>398157.87356068305</v>
      </c>
      <c r="Q27" s="203">
        <f t="shared" si="4"/>
        <v>3.9021471572320232</v>
      </c>
      <c r="R27" s="201">
        <f>+INDEX('2016'!$1:$1048576,MATCH('Analitika - 2017'!$A27,'2016'!$A:$A,0),MATCH('Analitika - 2017'!$R$6,'2016'!$6:$6,0))</f>
        <v>82290.95</v>
      </c>
      <c r="S27" s="202">
        <f t="shared" si="5"/>
        <v>417902.51</v>
      </c>
      <c r="T27" s="204">
        <f t="shared" si="6"/>
        <v>5.0783532089494656</v>
      </c>
    </row>
    <row r="28" spans="1:20" ht="15.75" thickBot="1">
      <c r="A28" s="176">
        <v>74</v>
      </c>
      <c r="B28" s="415" t="str">
        <f>+VLOOKUP($A28,Master!$D$25:$G$223,4,FALSE)</f>
        <v>Donacije i transferi</v>
      </c>
      <c r="C28" s="416"/>
      <c r="D28" s="416"/>
      <c r="E28" s="416"/>
      <c r="F28" s="416"/>
      <c r="G28" s="201">
        <f>+SUMPRODUCT(('2017'!$G28:$R28)*('2017'!$G$5:$R$5&lt;=Master!$B$3)*($A28='2017'!$A$10:$A$65))</f>
        <v>1318442.6399999999</v>
      </c>
      <c r="H28" s="201">
        <f>+SUMPRODUCT(('2017'!$G122:$R122)*('2017'!$G$5:$R$5&lt;=Master!$B$3))</f>
        <v>1014344.7741000601</v>
      </c>
      <c r="I28" s="202">
        <f t="shared" si="0"/>
        <v>304097.86589993979</v>
      </c>
      <c r="J28" s="203">
        <f t="shared" si="1"/>
        <v>0.29979734077078413</v>
      </c>
      <c r="K28" s="201">
        <f>+SUMPRODUCT(('2016'!$G28:$R28)*('2016'!$G$5:$R$5&lt;=Master!$B$3))</f>
        <v>350689.3</v>
      </c>
      <c r="L28" s="202">
        <f t="shared" si="7"/>
        <v>967753.33999999985</v>
      </c>
      <c r="M28" s="204">
        <f t="shared" si="2"/>
        <v>2.7595747574847591</v>
      </c>
      <c r="N28" s="201">
        <f>+INDEX('2017'!$1:$1048576,MATCH('Analitika - 2017'!$A28,'2017'!$A:$A,0),MATCH('Analitika - 2017'!$N$6,'2017'!$6:$6,0))</f>
        <v>1119540.18</v>
      </c>
      <c r="O28" s="201">
        <f>+INDEX('2017'!$1:$1048576,MATCH(CONCATENATE('Analitika - 2017'!$A28,"p"),'2017'!$A:$A,0),MATCH('Analitika - 2017'!$O$6,'2017'!$100:$100,0))</f>
        <v>467022.50625958334</v>
      </c>
      <c r="P28" s="202">
        <f t="shared" si="3"/>
        <v>652517.67374041653</v>
      </c>
      <c r="Q28" s="203">
        <f t="shared" si="4"/>
        <v>1.3971867843510952</v>
      </c>
      <c r="R28" s="201">
        <f>+INDEX('2016'!$1:$1048576,MATCH('Analitika - 2017'!$A28,'2016'!$A:$A,0),MATCH('Analitika - 2017'!$R$6,'2016'!$6:$6,0))</f>
        <v>153797.54</v>
      </c>
      <c r="S28" s="202">
        <f t="shared" si="5"/>
        <v>965742.6399999999</v>
      </c>
      <c r="T28" s="204">
        <f t="shared" si="6"/>
        <v>6.2793113595965178</v>
      </c>
    </row>
    <row r="29" spans="1:20" ht="15.75" thickBot="1">
      <c r="A29" s="176">
        <v>4</v>
      </c>
      <c r="B29" s="417" t="str">
        <f>+VLOOKUP($A29,Master!$D$25:$G$223,4,FALSE)</f>
        <v>Budžetki izdaci</v>
      </c>
      <c r="C29" s="418"/>
      <c r="D29" s="418"/>
      <c r="E29" s="418"/>
      <c r="F29" s="418"/>
      <c r="G29" s="177">
        <f>+SUMPRODUCT(('2017'!$G29:$R29)*('2017'!$G$5:$R$5&lt;=Master!$B$3)*($A29='2017'!$A$10:$A$65))</f>
        <v>201800256.27999997</v>
      </c>
      <c r="H29" s="177">
        <f>+SUMPRODUCT(('2017'!$G123:$R123)*('2017'!$G$5:$R$5&lt;=Master!$B$3))</f>
        <v>260632498.48833328</v>
      </c>
      <c r="I29" s="178">
        <f t="shared" si="0"/>
        <v>-58832242.208333313</v>
      </c>
      <c r="J29" s="179">
        <f t="shared" si="1"/>
        <v>-0.22572872742102357</v>
      </c>
      <c r="K29" s="177">
        <f>+SUMPRODUCT(('2016'!$G29:$R29)*('2016'!$G$5:$R$5&lt;=Master!$B$3))</f>
        <v>201042650.83000001</v>
      </c>
      <c r="L29" s="178">
        <f t="shared" si="7"/>
        <v>757605.44999995828</v>
      </c>
      <c r="M29" s="180">
        <f t="shared" si="2"/>
        <v>3.768381718367797E-3</v>
      </c>
      <c r="N29" s="177">
        <f>+INDEX('2017'!$1:$1048576,MATCH('Analitika - 2017'!$A29,'2017'!$A:$A,0),MATCH('Analitika - 2017'!$N$6,'2017'!$6:$6,0))</f>
        <v>106508736.56999999</v>
      </c>
      <c r="O29" s="177">
        <f>+INDEX('2017'!$1:$1048576,MATCH(CONCATENATE('Analitika - 2017'!$A29,"p"),'2017'!$A:$A,0),MATCH('Analitika - 2017'!$O$6,'2017'!$100:$100,0))</f>
        <v>129197706.29416665</v>
      </c>
      <c r="P29" s="178">
        <f t="shared" si="3"/>
        <v>-22688969.724166662</v>
      </c>
      <c r="Q29" s="179">
        <f t="shared" si="4"/>
        <v>-0.17561433848141839</v>
      </c>
      <c r="R29" s="177">
        <f>+INDEX('2016'!$1:$1048576,MATCH('Analitika - 2017'!$A29,'2016'!$A:$A,0),MATCH('Analitika - 2017'!$R$6,'2016'!$6:$6,0))</f>
        <v>113152264.02</v>
      </c>
      <c r="S29" s="178">
        <f t="shared" si="5"/>
        <v>-6643527.450000003</v>
      </c>
      <c r="T29" s="180">
        <f t="shared" si="6"/>
        <v>-5.871316413806571E-2</v>
      </c>
    </row>
    <row r="30" spans="1:20" ht="15.75" thickBot="1">
      <c r="A30" s="176">
        <v>41</v>
      </c>
      <c r="B30" s="419" t="str">
        <f>+VLOOKUP($A30,Master!$D$25:$G$223,4,FALSE)</f>
        <v>Tekući izdaci</v>
      </c>
      <c r="C30" s="420"/>
      <c r="D30" s="420"/>
      <c r="E30" s="420"/>
      <c r="F30" s="420"/>
      <c r="G30" s="390">
        <f>+SUMPRODUCT(('2017'!$G30:$R30)*('2017'!$G$5:$R$5&lt;=Master!$B$3)*($A30='2017'!$A$10:$A$65))</f>
        <v>200199021.5</v>
      </c>
      <c r="H30" s="343">
        <f>+SUMPRODUCT(('2017'!$G124:$R124)*('2017'!$G$5:$R$5&lt;=Master!$B$3))</f>
        <v>232324638.48833328</v>
      </c>
      <c r="I30" s="208">
        <f t="shared" si="0"/>
        <v>-32125616.988333285</v>
      </c>
      <c r="J30" s="209">
        <f t="shared" si="1"/>
        <v>-0.13827899269472677</v>
      </c>
      <c r="K30" s="343">
        <f>+SUMPRODUCT(('2016'!$G30:$R30)*('2016'!$G$5:$R$5&lt;=Master!$B$3))</f>
        <v>200114703.11000001</v>
      </c>
      <c r="L30" s="208">
        <f t="shared" si="7"/>
        <v>84318.389999985695</v>
      </c>
      <c r="M30" s="210">
        <f t="shared" si="2"/>
        <v>4.2135029905132626E-4</v>
      </c>
      <c r="N30" s="390">
        <f>+INDEX('2017'!$1:$1048576,MATCH('Analitika - 2017'!$A30,'2017'!$A:$A,0),MATCH('Analitika - 2017'!$N$6,'2017'!$6:$6,0))</f>
        <v>105017146.22999999</v>
      </c>
      <c r="O30" s="343">
        <f>+INDEX('2017'!$1:$1048576,MATCH(CONCATENATE('Analitika - 2017'!$A30,"p"),'2017'!$A:$A,0),MATCH('Analitika - 2017'!$O$6,'2017'!$100:$100,0))</f>
        <v>115043776.29416665</v>
      </c>
      <c r="P30" s="208">
        <f t="shared" si="3"/>
        <v>-10026630.064166665</v>
      </c>
      <c r="Q30" s="209">
        <f t="shared" si="4"/>
        <v>-8.7154910827410559E-2</v>
      </c>
      <c r="R30" s="343">
        <f>+INDEX('2016'!$1:$1048576,MATCH('Analitika - 2017'!$A30,'2016'!$A:$A,0),MATCH('Analitika - 2017'!$R$6,'2016'!$6:$6,0))</f>
        <v>112574774.72999999</v>
      </c>
      <c r="S30" s="208">
        <f t="shared" si="5"/>
        <v>-7557628.5</v>
      </c>
      <c r="T30" s="210">
        <f t="shared" si="6"/>
        <v>-6.7134298230898226E-2</v>
      </c>
    </row>
    <row r="31" spans="1:20">
      <c r="A31" s="176">
        <v>40</v>
      </c>
      <c r="B31" s="421" t="str">
        <f>+VLOOKUP($A31,Master!$D$25:$G$223,4,FALSE)</f>
        <v>Tekući budžetski izdaci</v>
      </c>
      <c r="C31" s="422"/>
      <c r="D31" s="422"/>
      <c r="E31" s="422"/>
      <c r="F31" s="422"/>
      <c r="G31" s="391">
        <f>+SUMPRODUCT(('2017'!$G31:$R31)*('2017'!$G$5:$R$5&lt;=Master!$B$3)*($A31='2017'!$A$10:$A$65))</f>
        <v>92040193.330000013</v>
      </c>
      <c r="H31" s="392">
        <f>+SUMPRODUCT(('2017'!$G125:$R125)*('2017'!$G$5:$R$5&lt;=Master!$B$3))</f>
        <v>107101790.62499999</v>
      </c>
      <c r="I31" s="214">
        <f t="shared" si="0"/>
        <v>-15061597.294999972</v>
      </c>
      <c r="J31" s="215">
        <f t="shared" si="1"/>
        <v>-0.14062880935143074</v>
      </c>
      <c r="K31" s="392">
        <f>+SUMPRODUCT(('2016'!$G31:$R31)*('2016'!$G$5:$R$5&lt;=Master!$B$3))</f>
        <v>86019910.070000023</v>
      </c>
      <c r="L31" s="214">
        <f t="shared" si="7"/>
        <v>6020283.2599999905</v>
      </c>
      <c r="M31" s="216">
        <f t="shared" si="2"/>
        <v>6.9987090838631305E-2</v>
      </c>
      <c r="N31" s="391">
        <f>+INDEX('2017'!$1:$1048576,MATCH('Analitika - 2017'!$A31,'2017'!$A:$A,0),MATCH('Analitika - 2017'!$N$6,'2017'!$6:$6,0))</f>
        <v>48410112.940000005</v>
      </c>
      <c r="O31" s="392">
        <f>+INDEX('2017'!$1:$1048576,MATCH(CONCATENATE('Analitika - 2017'!$A31,"p"),'2017'!$A:$A,0),MATCH('Analitika - 2017'!$O$6,'2017'!$100:$100,0))</f>
        <v>52432352.362499997</v>
      </c>
      <c r="P31" s="214">
        <f t="shared" si="3"/>
        <v>-4022239.422499992</v>
      </c>
      <c r="Q31" s="215">
        <f t="shared" si="4"/>
        <v>-7.6712930876943197E-2</v>
      </c>
      <c r="R31" s="392">
        <f>+INDEX('2016'!$1:$1048576,MATCH('Analitika - 2017'!$A31,'2016'!$A:$A,0),MATCH('Analitika - 2017'!$R$6,'2016'!$6:$6,0))</f>
        <v>45276492.860000014</v>
      </c>
      <c r="S31" s="214">
        <f t="shared" si="5"/>
        <v>3133620.0799999908</v>
      </c>
      <c r="T31" s="216">
        <f t="shared" si="6"/>
        <v>6.9210751143855109E-2</v>
      </c>
    </row>
    <row r="32" spans="1:20">
      <c r="A32" s="176">
        <v>411</v>
      </c>
      <c r="B32" s="409" t="str">
        <f>+VLOOKUP($A32,Master!$D$25:$G$223,4,FALSE)</f>
        <v>Bruto zarade i doprinosi na teret poslodavca</v>
      </c>
      <c r="C32" s="410"/>
      <c r="D32" s="410"/>
      <c r="E32" s="410"/>
      <c r="F32" s="410"/>
      <c r="G32" s="189">
        <f>+SUMPRODUCT(('2017'!$G32:$R32)*('2017'!$G$5:$R$5&lt;=Master!$B$3)*($A32='2017'!$A$10:$A$65))</f>
        <v>72716603.730000004</v>
      </c>
      <c r="H32" s="189">
        <f>+SUMPRODUCT(('2017'!$G126:$R126)*('2017'!$G$5:$R$5&lt;=Master!$B$3))</f>
        <v>73041039.996666655</v>
      </c>
      <c r="I32" s="190">
        <f t="shared" si="0"/>
        <v>-324436.26666665077</v>
      </c>
      <c r="J32" s="191">
        <f t="shared" si="1"/>
        <v>-4.4418352570206876E-3</v>
      </c>
      <c r="K32" s="189">
        <f>+SUMPRODUCT(('2016'!$G32:$R32)*('2016'!$G$5:$R$5&lt;=Master!$B$3))</f>
        <v>62284233.109999999</v>
      </c>
      <c r="L32" s="190">
        <f t="shared" si="7"/>
        <v>10432370.620000005</v>
      </c>
      <c r="M32" s="192">
        <f t="shared" si="2"/>
        <v>0.16749617196980537</v>
      </c>
      <c r="N32" s="189">
        <f>+INDEX('2017'!$1:$1048576,MATCH('Analitika - 2017'!$A32,'2017'!$A:$A,0),MATCH('Analitika - 2017'!$N$6,'2017'!$6:$6,0))</f>
        <v>36442747.460000001</v>
      </c>
      <c r="O32" s="189">
        <f>+INDEX('2017'!$1:$1048576,MATCH(CONCATENATE('Analitika - 2017'!$A32,"p"),'2017'!$A:$A,0),MATCH('Analitika - 2017'!$O$6,'2017'!$100:$100,0))</f>
        <v>36520519.998333327</v>
      </c>
      <c r="P32" s="190">
        <f t="shared" si="3"/>
        <v>-77772.538333326578</v>
      </c>
      <c r="Q32" s="191">
        <f t="shared" si="4"/>
        <v>-2.1295572553970965E-3</v>
      </c>
      <c r="R32" s="189">
        <f>+INDEX('2016'!$1:$1048576,MATCH('Analitika - 2017'!$A32,'2016'!$A:$A,0),MATCH('Analitika - 2017'!$R$6,'2016'!$6:$6,0))</f>
        <v>30464008.450000003</v>
      </c>
      <c r="S32" s="190">
        <f t="shared" si="5"/>
        <v>5978739.0099999979</v>
      </c>
      <c r="T32" s="192">
        <f t="shared" si="6"/>
        <v>0.19625582167930355</v>
      </c>
    </row>
    <row r="33" spans="1:20">
      <c r="A33" s="176">
        <v>412</v>
      </c>
      <c r="B33" s="409" t="str">
        <f>+VLOOKUP($A33,Master!$D$25:$G$223,4,FALSE)</f>
        <v>Ostala lična primanja</v>
      </c>
      <c r="C33" s="410"/>
      <c r="D33" s="410"/>
      <c r="E33" s="410"/>
      <c r="F33" s="410"/>
      <c r="G33" s="189">
        <f>+SUMPRODUCT(('2017'!$G33:$R33)*('2017'!$G$5:$R$5&lt;=Master!$B$3)*($A33='2017'!$A$10:$A$65))</f>
        <v>990489.67999999993</v>
      </c>
      <c r="H33" s="189">
        <f>+SUMPRODUCT(('2017'!$G127:$R127)*('2017'!$G$5:$R$5&lt;=Master!$B$3))</f>
        <v>1698024.4950000001</v>
      </c>
      <c r="I33" s="190">
        <f t="shared" si="0"/>
        <v>-707534.81500000018</v>
      </c>
      <c r="J33" s="191">
        <f t="shared" si="1"/>
        <v>-0.4166811592432299</v>
      </c>
      <c r="K33" s="189">
        <f>+SUMPRODUCT(('2016'!$G33:$R33)*('2016'!$G$5:$R$5&lt;=Master!$B$3))</f>
        <v>1286350</v>
      </c>
      <c r="L33" s="190">
        <f t="shared" si="7"/>
        <v>-295860.32000000007</v>
      </c>
      <c r="M33" s="192">
        <f t="shared" si="2"/>
        <v>-0.22999986006918804</v>
      </c>
      <c r="N33" s="189">
        <f>+INDEX('2017'!$1:$1048576,MATCH('Analitika - 2017'!$A33,'2017'!$A:$A,0),MATCH('Analitika - 2017'!$N$6,'2017'!$6:$6,0))</f>
        <v>920424.11</v>
      </c>
      <c r="O33" s="189">
        <f>+INDEX('2017'!$1:$1048576,MATCH(CONCATENATE('Analitika - 2017'!$A33,"p"),'2017'!$A:$A,0),MATCH('Analitika - 2017'!$O$6,'2017'!$100:$100,0))</f>
        <v>849012.24750000006</v>
      </c>
      <c r="P33" s="190">
        <f t="shared" si="3"/>
        <v>71411.86249999993</v>
      </c>
      <c r="Q33" s="191">
        <f t="shared" si="4"/>
        <v>8.4111698871575991E-2</v>
      </c>
      <c r="R33" s="189">
        <f>+INDEX('2016'!$1:$1048576,MATCH('Analitika - 2017'!$A33,'2016'!$A:$A,0),MATCH('Analitika - 2017'!$R$6,'2016'!$6:$6,0))</f>
        <v>912951.5</v>
      </c>
      <c r="S33" s="190">
        <f t="shared" si="5"/>
        <v>7472.609999999986</v>
      </c>
      <c r="T33" s="192">
        <f t="shared" si="6"/>
        <v>8.1851116954185787E-3</v>
      </c>
    </row>
    <row r="34" spans="1:20">
      <c r="A34" s="176">
        <v>413</v>
      </c>
      <c r="B34" s="409" t="str">
        <f>+VLOOKUP($A34,Master!$D$25:$G$223,4,FALSE)</f>
        <v>Rashodi za materijal</v>
      </c>
      <c r="C34" s="410"/>
      <c r="D34" s="410"/>
      <c r="E34" s="410"/>
      <c r="F34" s="410"/>
      <c r="G34" s="189">
        <f>+SUMPRODUCT(('2017'!$G34:$R34)*('2017'!$G$5:$R$5&lt;=Master!$B$3)*($A34='2017'!$A$10:$A$65))</f>
        <v>3073143.9699999997</v>
      </c>
      <c r="H34" s="189">
        <f>+SUMPRODUCT(('2017'!$G128:$R128)*('2017'!$G$5:$R$5&lt;=Master!$B$3))</f>
        <v>3946281.72</v>
      </c>
      <c r="I34" s="190">
        <f t="shared" si="0"/>
        <v>-873137.75000000047</v>
      </c>
      <c r="J34" s="191">
        <f t="shared" si="1"/>
        <v>-0.22125580785955656</v>
      </c>
      <c r="K34" s="189">
        <f>+SUMPRODUCT(('2016'!$G34:$R34)*('2016'!$G$5:$R$5&lt;=Master!$B$3))</f>
        <v>2335010.6500000004</v>
      </c>
      <c r="L34" s="190">
        <f t="shared" si="7"/>
        <v>738133.31999999937</v>
      </c>
      <c r="M34" s="192">
        <f t="shared" si="2"/>
        <v>0.31611561172108549</v>
      </c>
      <c r="N34" s="189">
        <f>+INDEX('2017'!$1:$1048576,MATCH('Analitika - 2017'!$A34,'2017'!$A:$A,0),MATCH('Analitika - 2017'!$N$6,'2017'!$6:$6,0))</f>
        <v>2109344.7799999998</v>
      </c>
      <c r="O34" s="189">
        <f>+INDEX('2017'!$1:$1048576,MATCH(CONCATENATE('Analitika - 2017'!$A34,"p"),'2017'!$A:$A,0),MATCH('Analitika - 2017'!$O$6,'2017'!$100:$100,0))</f>
        <v>1973140.86</v>
      </c>
      <c r="P34" s="190">
        <f t="shared" si="3"/>
        <v>136203.91999999969</v>
      </c>
      <c r="Q34" s="191">
        <f t="shared" si="4"/>
        <v>6.9028989648513894E-2</v>
      </c>
      <c r="R34" s="189">
        <f>+INDEX('2016'!$1:$1048576,MATCH('Analitika - 2017'!$A34,'2016'!$A:$A,0),MATCH('Analitika - 2017'!$R$6,'2016'!$6:$6,0))</f>
        <v>1547628.84</v>
      </c>
      <c r="S34" s="190">
        <f t="shared" si="5"/>
        <v>561715.93999999971</v>
      </c>
      <c r="T34" s="192">
        <f t="shared" si="6"/>
        <v>0.36295261853610827</v>
      </c>
    </row>
    <row r="35" spans="1:20">
      <c r="A35" s="176">
        <v>414</v>
      </c>
      <c r="B35" s="409" t="str">
        <f>+VLOOKUP($A35,Master!$D$25:$G$223,4,FALSE)</f>
        <v>Rashodi za usluge</v>
      </c>
      <c r="C35" s="410"/>
      <c r="D35" s="410"/>
      <c r="E35" s="410"/>
      <c r="F35" s="410"/>
      <c r="G35" s="189">
        <f>+SUMPRODUCT(('2017'!$G35:$R35)*('2017'!$G$5:$R$5&lt;=Master!$B$3)*($A35='2017'!$A$10:$A$65))</f>
        <v>4764998.1500000004</v>
      </c>
      <c r="H35" s="189">
        <f>+SUMPRODUCT(('2017'!$G129:$R129)*('2017'!$G$5:$R$5&lt;=Master!$B$3))</f>
        <v>7069966.7999999998</v>
      </c>
      <c r="I35" s="190">
        <f t="shared" si="0"/>
        <v>-2304968.6499999994</v>
      </c>
      <c r="J35" s="191">
        <f t="shared" si="1"/>
        <v>-0.32602255642841205</v>
      </c>
      <c r="K35" s="189">
        <f>+SUMPRODUCT(('2016'!$G35:$R35)*('2016'!$G$5:$R$5&lt;=Master!$B$3))</f>
        <v>5005381.3899999997</v>
      </c>
      <c r="L35" s="190">
        <f t="shared" si="7"/>
        <v>-240383.23999999929</v>
      </c>
      <c r="M35" s="192">
        <f t="shared" si="2"/>
        <v>-4.8024959792324462E-2</v>
      </c>
      <c r="N35" s="189">
        <f>+INDEX('2017'!$1:$1048576,MATCH('Analitika - 2017'!$A35,'2017'!$A:$A,0),MATCH('Analitika - 2017'!$N$6,'2017'!$6:$6,0))</f>
        <v>3315172.03</v>
      </c>
      <c r="O35" s="189">
        <f>+INDEX('2017'!$1:$1048576,MATCH(CONCATENATE('Analitika - 2017'!$A35,"p"),'2017'!$A:$A,0),MATCH('Analitika - 2017'!$O$6,'2017'!$100:$100,0))</f>
        <v>3534983.4</v>
      </c>
      <c r="P35" s="190">
        <f t="shared" si="3"/>
        <v>-219811.37000000011</v>
      </c>
      <c r="Q35" s="191">
        <f t="shared" si="4"/>
        <v>-6.218172622819107E-2</v>
      </c>
      <c r="R35" s="189">
        <f>+INDEX('2016'!$1:$1048576,MATCH('Analitika - 2017'!$A35,'2016'!$A:$A,0),MATCH('Analitika - 2017'!$R$6,'2016'!$6:$6,0))</f>
        <v>3464931.9</v>
      </c>
      <c r="S35" s="190">
        <f t="shared" si="5"/>
        <v>-149759.87000000011</v>
      </c>
      <c r="T35" s="192">
        <f t="shared" si="6"/>
        <v>-4.3221591166048623E-2</v>
      </c>
    </row>
    <row r="36" spans="1:20">
      <c r="A36" s="176">
        <v>415</v>
      </c>
      <c r="B36" s="409" t="str">
        <f>+VLOOKUP($A36,Master!$D$25:$G$223,4,FALSE)</f>
        <v>Rashodi za tekuće održavanje</v>
      </c>
      <c r="C36" s="410"/>
      <c r="D36" s="410"/>
      <c r="E36" s="410"/>
      <c r="F36" s="410"/>
      <c r="G36" s="189">
        <f>+SUMPRODUCT(('2017'!$G36:$R36)*('2017'!$G$5:$R$5&lt;=Master!$B$3)*($A36='2017'!$A$10:$A$65))</f>
        <v>965108.61</v>
      </c>
      <c r="H36" s="189">
        <f>+SUMPRODUCT(('2017'!$G130:$R130)*('2017'!$G$5:$R$5&lt;=Master!$B$3))</f>
        <v>2830262.62</v>
      </c>
      <c r="I36" s="190">
        <f t="shared" si="0"/>
        <v>-1865154.0100000002</v>
      </c>
      <c r="J36" s="191">
        <f t="shared" si="1"/>
        <v>-0.65900386657404963</v>
      </c>
      <c r="K36" s="189">
        <f>+SUMPRODUCT(('2016'!$G36:$R36)*('2016'!$G$5:$R$5&lt;=Master!$B$3))</f>
        <v>820608.02999999991</v>
      </c>
      <c r="L36" s="190">
        <f t="shared" si="7"/>
        <v>144500.58000000007</v>
      </c>
      <c r="M36" s="192">
        <f t="shared" si="2"/>
        <v>0.17608964903743396</v>
      </c>
      <c r="N36" s="189">
        <f>+INDEX('2017'!$1:$1048576,MATCH('Analitika - 2017'!$A36,'2017'!$A:$A,0),MATCH('Analitika - 2017'!$N$6,'2017'!$6:$6,0))</f>
        <v>831406.02</v>
      </c>
      <c r="O36" s="189">
        <f>+INDEX('2017'!$1:$1048576,MATCH(CONCATENATE('Analitika - 2017'!$A36,"p"),'2017'!$A:$A,0),MATCH('Analitika - 2017'!$O$6,'2017'!$100:$100,0))</f>
        <v>1415131.31</v>
      </c>
      <c r="P36" s="190">
        <f t="shared" si="3"/>
        <v>-583725.29</v>
      </c>
      <c r="Q36" s="191">
        <f t="shared" si="4"/>
        <v>-0.41248842837065069</v>
      </c>
      <c r="R36" s="189">
        <f>+INDEX('2016'!$1:$1048576,MATCH('Analitika - 2017'!$A36,'2016'!$A:$A,0),MATCH('Analitika - 2017'!$R$6,'2016'!$6:$6,0))</f>
        <v>726586.2</v>
      </c>
      <c r="S36" s="190">
        <f t="shared" si="5"/>
        <v>104819.82000000007</v>
      </c>
      <c r="T36" s="192">
        <f t="shared" si="6"/>
        <v>0.14426343357470883</v>
      </c>
    </row>
    <row r="37" spans="1:20">
      <c r="A37" s="176">
        <v>416</v>
      </c>
      <c r="B37" s="409" t="str">
        <f>+VLOOKUP($A37,Master!$D$25:$G$223,4,FALSE)</f>
        <v>Kamate</v>
      </c>
      <c r="C37" s="410"/>
      <c r="D37" s="410"/>
      <c r="E37" s="410"/>
      <c r="F37" s="410"/>
      <c r="G37" s="189">
        <f>+SUMPRODUCT(('2017'!$G37:$R37)*('2017'!$G$5:$R$5&lt;=Master!$B$3)*($A37='2017'!$A$10:$A$65))</f>
        <v>4342627.62</v>
      </c>
      <c r="H37" s="189">
        <f>+SUMPRODUCT(('2017'!$G131:$R131)*('2017'!$G$5:$R$5&lt;=Master!$B$3))</f>
        <v>4430428.96</v>
      </c>
      <c r="I37" s="190">
        <f t="shared" si="0"/>
        <v>-87801.339999999851</v>
      </c>
      <c r="J37" s="191">
        <f t="shared" si="1"/>
        <v>-1.9817796604507554E-2</v>
      </c>
      <c r="K37" s="189">
        <f>+SUMPRODUCT(('2016'!$G37:$R37)*('2016'!$G$5:$R$5&lt;=Master!$B$3))</f>
        <v>4776623.9000000004</v>
      </c>
      <c r="L37" s="190">
        <f t="shared" si="7"/>
        <v>-433996.28000000026</v>
      </c>
      <c r="M37" s="192">
        <f t="shared" si="2"/>
        <v>-9.0858373840151052E-2</v>
      </c>
      <c r="N37" s="189">
        <f>+INDEX('2017'!$1:$1048576,MATCH('Analitika - 2017'!$A37,'2017'!$A:$A,0),MATCH('Analitika - 2017'!$N$6,'2017'!$6:$6,0))</f>
        <v>1109355.6299999999</v>
      </c>
      <c r="O37" s="189">
        <f>+INDEX('2017'!$1:$1048576,MATCH(CONCATENATE('Analitika - 2017'!$A37,"p"),'2017'!$A:$A,0),MATCH('Analitika - 2017'!$O$6,'2017'!$100:$100,0))</f>
        <v>1096671.53</v>
      </c>
      <c r="P37" s="190">
        <f t="shared" si="3"/>
        <v>12684.09999999986</v>
      </c>
      <c r="Q37" s="191">
        <f t="shared" si="4"/>
        <v>1.1565997341063339E-2</v>
      </c>
      <c r="R37" s="189">
        <f>+INDEX('2016'!$1:$1048576,MATCH('Analitika - 2017'!$A37,'2016'!$A:$A,0),MATCH('Analitika - 2017'!$R$6,'2016'!$6:$6,0))</f>
        <v>923447.88</v>
      </c>
      <c r="S37" s="190">
        <f t="shared" si="5"/>
        <v>185907.74999999988</v>
      </c>
      <c r="T37" s="192">
        <f t="shared" si="6"/>
        <v>0.20131915836982572</v>
      </c>
    </row>
    <row r="38" spans="1:20">
      <c r="A38" s="176">
        <v>417</v>
      </c>
      <c r="B38" s="409" t="str">
        <f>+VLOOKUP($A38,Master!$D$25:$G$223,4,FALSE)</f>
        <v>Renta</v>
      </c>
      <c r="C38" s="410"/>
      <c r="D38" s="410"/>
      <c r="E38" s="410"/>
      <c r="F38" s="410"/>
      <c r="G38" s="189">
        <f>+SUMPRODUCT(('2017'!$G38:$R38)*('2017'!$G$5:$R$5&lt;=Master!$B$3)*($A38='2017'!$A$10:$A$65))</f>
        <v>1185958.23</v>
      </c>
      <c r="H38" s="189">
        <f>+SUMPRODUCT(('2017'!$G132:$R132)*('2017'!$G$5:$R$5&lt;=Master!$B$3))</f>
        <v>1553963.2533333332</v>
      </c>
      <c r="I38" s="190">
        <f t="shared" si="0"/>
        <v>-368005.0233333332</v>
      </c>
      <c r="J38" s="191">
        <f t="shared" si="1"/>
        <v>-0.23681706922216017</v>
      </c>
      <c r="K38" s="189">
        <f>+SUMPRODUCT(('2016'!$G38:$R38)*('2016'!$G$5:$R$5&lt;=Master!$B$3))</f>
        <v>1597111.2099999997</v>
      </c>
      <c r="L38" s="190">
        <f t="shared" si="7"/>
        <v>-411152.97999999975</v>
      </c>
      <c r="M38" s="192">
        <f t="shared" si="2"/>
        <v>-0.25743541052473096</v>
      </c>
      <c r="N38" s="189">
        <f>+INDEX('2017'!$1:$1048576,MATCH('Analitika - 2017'!$A38,'2017'!$A:$A,0),MATCH('Analitika - 2017'!$N$6,'2017'!$6:$6,0))</f>
        <v>609518.68999999994</v>
      </c>
      <c r="O38" s="189">
        <f>+INDEX('2017'!$1:$1048576,MATCH(CONCATENATE('Analitika - 2017'!$A38,"p"),'2017'!$A:$A,0),MATCH('Analitika - 2017'!$O$6,'2017'!$100:$100,0))</f>
        <v>776981.62666666659</v>
      </c>
      <c r="P38" s="190">
        <f t="shared" si="3"/>
        <v>-167462.93666666665</v>
      </c>
      <c r="Q38" s="191">
        <f t="shared" si="4"/>
        <v>-0.2155301115485837</v>
      </c>
      <c r="R38" s="189">
        <f>+INDEX('2016'!$1:$1048576,MATCH('Analitika - 2017'!$A38,'2016'!$A:$A,0),MATCH('Analitika - 2017'!$R$6,'2016'!$6:$6,0))</f>
        <v>864772.2</v>
      </c>
      <c r="S38" s="190">
        <f t="shared" si="5"/>
        <v>-255253.51</v>
      </c>
      <c r="T38" s="192">
        <f t="shared" si="6"/>
        <v>-0.29516849639708587</v>
      </c>
    </row>
    <row r="39" spans="1:20">
      <c r="A39" s="176">
        <v>418</v>
      </c>
      <c r="B39" s="409" t="str">
        <f>+VLOOKUP($A39,Master!$D$25:$G$223,4,FALSE)</f>
        <v>Subvencije</v>
      </c>
      <c r="C39" s="410"/>
      <c r="D39" s="410"/>
      <c r="E39" s="410"/>
      <c r="F39" s="410"/>
      <c r="G39" s="189">
        <f>+SUMPRODUCT(('2017'!$G39:$R39)*('2017'!$G$5:$R$5&lt;=Master!$B$3)*($A39='2017'!$A$10:$A$65))</f>
        <v>438087.96</v>
      </c>
      <c r="H39" s="189">
        <f>+SUMPRODUCT(('2017'!$G133:$R133)*('2017'!$G$5:$R$5&lt;=Master!$B$3))</f>
        <v>3322906.66</v>
      </c>
      <c r="I39" s="190">
        <f t="shared" si="0"/>
        <v>-2884818.7</v>
      </c>
      <c r="J39" s="191">
        <f t="shared" si="1"/>
        <v>-0.86816122003258434</v>
      </c>
      <c r="K39" s="189">
        <f>+SUMPRODUCT(('2016'!$G39:$R39)*('2016'!$G$5:$R$5&lt;=Master!$B$3))</f>
        <v>653289.39999999979</v>
      </c>
      <c r="L39" s="190">
        <f t="shared" si="7"/>
        <v>-215201.43999999977</v>
      </c>
      <c r="M39" s="192">
        <f t="shared" si="2"/>
        <v>-0.32941211046742813</v>
      </c>
      <c r="N39" s="189">
        <f>+INDEX('2017'!$1:$1048576,MATCH('Analitika - 2017'!$A39,'2017'!$A:$A,0),MATCH('Analitika - 2017'!$N$6,'2017'!$6:$6,0))</f>
        <v>437077.96</v>
      </c>
      <c r="O39" s="189">
        <f>+INDEX('2017'!$1:$1048576,MATCH(CONCATENATE('Analitika - 2017'!$A39,"p"),'2017'!$A:$A,0),MATCH('Analitika - 2017'!$O$6,'2017'!$100:$100,0))</f>
        <v>1661453.33</v>
      </c>
      <c r="P39" s="190">
        <f t="shared" si="3"/>
        <v>-1224375.3700000001</v>
      </c>
      <c r="Q39" s="191">
        <f t="shared" si="4"/>
        <v>-0.73693034158233028</v>
      </c>
      <c r="R39" s="189">
        <f>+INDEX('2016'!$1:$1048576,MATCH('Analitika - 2017'!$A39,'2016'!$A:$A,0),MATCH('Analitika - 2017'!$R$6,'2016'!$6:$6,0))</f>
        <v>643210.05999999982</v>
      </c>
      <c r="S39" s="190">
        <f t="shared" si="5"/>
        <v>-206132.0999999998</v>
      </c>
      <c r="T39" s="192">
        <f t="shared" si="6"/>
        <v>-0.32047399880530458</v>
      </c>
    </row>
    <row r="40" spans="1:20">
      <c r="A40" s="176">
        <v>419</v>
      </c>
      <c r="B40" s="409" t="str">
        <f>+VLOOKUP($A40,Master!$D$25:$G$223,4,FALSE)</f>
        <v>Ostali izdaci</v>
      </c>
      <c r="C40" s="410"/>
      <c r="D40" s="410"/>
      <c r="E40" s="410"/>
      <c r="F40" s="410"/>
      <c r="G40" s="189">
        <f>+SUMPRODUCT(('2017'!$G40:$R40)*('2017'!$G$5:$R$5&lt;=Master!$B$3)*($A40='2017'!$A$10:$A$65))</f>
        <v>2455366.4699999997</v>
      </c>
      <c r="H40" s="189">
        <f>+SUMPRODUCT(('2017'!$G134:$R134)*('2017'!$G$5:$R$5&lt;=Master!$B$3))</f>
        <v>4394659.68</v>
      </c>
      <c r="I40" s="190">
        <f t="shared" si="0"/>
        <v>-1939293.21</v>
      </c>
      <c r="J40" s="191">
        <f t="shared" si="1"/>
        <v>-0.44128404727803638</v>
      </c>
      <c r="K40" s="189">
        <f>+SUMPRODUCT(('2016'!$G40:$R40)*('2016'!$G$5:$R$5&lt;=Master!$B$3))</f>
        <v>4277850.7700000005</v>
      </c>
      <c r="L40" s="190">
        <f t="shared" si="7"/>
        <v>-1822484.3000000007</v>
      </c>
      <c r="M40" s="192">
        <f t="shared" si="2"/>
        <v>-0.42602802154316399</v>
      </c>
      <c r="N40" s="189">
        <f>+INDEX('2017'!$1:$1048576,MATCH('Analitika - 2017'!$A40,'2017'!$A:$A,0),MATCH('Analitika - 2017'!$N$6,'2017'!$6:$6,0))</f>
        <v>1813185.28</v>
      </c>
      <c r="O40" s="189">
        <f>+INDEX('2017'!$1:$1048576,MATCH(CONCATENATE('Analitika - 2017'!$A40,"p"),'2017'!$A:$A,0),MATCH('Analitika - 2017'!$O$6,'2017'!$100:$100,0))</f>
        <v>2197329.84</v>
      </c>
      <c r="P40" s="190">
        <f t="shared" si="3"/>
        <v>-384144.55999999982</v>
      </c>
      <c r="Q40" s="191">
        <f t="shared" si="4"/>
        <v>-0.17482334832352697</v>
      </c>
      <c r="R40" s="189">
        <f>+INDEX('2016'!$1:$1048576,MATCH('Analitika - 2017'!$A40,'2016'!$A:$A,0),MATCH('Analitika - 2017'!$R$6,'2016'!$6:$6,0))</f>
        <v>3319870.14</v>
      </c>
      <c r="S40" s="190">
        <f t="shared" si="5"/>
        <v>-1506684.86</v>
      </c>
      <c r="T40" s="192">
        <f t="shared" si="6"/>
        <v>-0.45383849261043685</v>
      </c>
    </row>
    <row r="41" spans="1:20">
      <c r="A41" s="176">
        <v>440</v>
      </c>
      <c r="B41" s="409" t="str">
        <f>+VLOOKUP($A41,Master!$D$25:$G$223,4,FALSE)</f>
        <v>Kapitalni izdaci u tekućem budžetu</v>
      </c>
      <c r="C41" s="410"/>
      <c r="D41" s="410"/>
      <c r="E41" s="410"/>
      <c r="F41" s="410"/>
      <c r="G41" s="189">
        <f>+SUMPRODUCT(('2017'!$G41:$R41)*('2017'!$G$5:$R$5&lt;=Master!$B$3)*($A41='2017'!$A$10:$A$65))</f>
        <v>1107808.9099999999</v>
      </c>
      <c r="H41" s="189">
        <f>+SUMPRODUCT(('2017'!$G135:$R135)*('2017'!$G$5:$R$5&lt;=Master!$B$3))</f>
        <v>4814256.4400000004</v>
      </c>
      <c r="I41" s="190">
        <f t="shared" si="0"/>
        <v>-3706447.5300000003</v>
      </c>
      <c r="J41" s="191">
        <f t="shared" si="1"/>
        <v>-0.76988992509921228</v>
      </c>
      <c r="K41" s="189">
        <f>+SUMPRODUCT(('2016'!$G41:$R41)*('2016'!$G$5:$R$5&lt;=Master!$B$3))</f>
        <v>2983451.6100000003</v>
      </c>
      <c r="L41" s="190">
        <f t="shared" si="7"/>
        <v>-1875642.7000000004</v>
      </c>
      <c r="M41" s="192">
        <f t="shared" si="2"/>
        <v>-0.62868212566718995</v>
      </c>
      <c r="N41" s="189">
        <f>+INDEX('2017'!$1:$1048576,MATCH('Analitika - 2017'!$A41,'2017'!$A:$A,0),MATCH('Analitika - 2017'!$N$6,'2017'!$6:$6,0))</f>
        <v>821880.98</v>
      </c>
      <c r="O41" s="189">
        <f>+INDEX('2017'!$1:$1048576,MATCH(CONCATENATE('Analitika - 2017'!$A41,"p"),'2017'!$A:$A,0),MATCH('Analitika - 2017'!$O$6,'2017'!$100:$100,0))</f>
        <v>2407128.2200000002</v>
      </c>
      <c r="P41" s="190">
        <f t="shared" si="3"/>
        <v>-1585247.2400000002</v>
      </c>
      <c r="Q41" s="191">
        <f t="shared" si="4"/>
        <v>-0.65856368880923188</v>
      </c>
      <c r="R41" s="189">
        <f>+INDEX('2016'!$1:$1048576,MATCH('Analitika - 2017'!$A41,'2016'!$A:$A,0),MATCH('Analitika - 2017'!$R$6,'2016'!$6:$6,0))</f>
        <v>2409085.69</v>
      </c>
      <c r="S41" s="190">
        <f t="shared" si="5"/>
        <v>-1587204.71</v>
      </c>
      <c r="T41" s="192">
        <f t="shared" si="6"/>
        <v>-0.65884111826673963</v>
      </c>
    </row>
    <row r="42" spans="1:20">
      <c r="A42" s="176">
        <v>42</v>
      </c>
      <c r="B42" s="425" t="str">
        <f>+VLOOKUP($A42,Master!$D$25:$G$223,4,FALSE)</f>
        <v>Transferi za socijalnu zaštitu</v>
      </c>
      <c r="C42" s="426"/>
      <c r="D42" s="426"/>
      <c r="E42" s="426"/>
      <c r="F42" s="426"/>
      <c r="G42" s="201">
        <f>+SUMPRODUCT(('2017'!$G42:$R42)*('2017'!$G$5:$R$5&lt;=Master!$B$3)*($A42='2017'!$A$10:$A$65))</f>
        <v>90548599.679999992</v>
      </c>
      <c r="H42" s="201">
        <f>+SUMPRODUCT(('2017'!$G136:$R136)*('2017'!$G$5:$R$5&lt;=Master!$B$3))</f>
        <v>95153017.5</v>
      </c>
      <c r="I42" s="220">
        <f t="shared" si="0"/>
        <v>-4604417.8200000077</v>
      </c>
      <c r="J42" s="221">
        <f t="shared" si="1"/>
        <v>-4.8389614338820164E-2</v>
      </c>
      <c r="K42" s="201">
        <f>+SUMPRODUCT(('2016'!$G42:$R42)*('2016'!$G$5:$R$5&lt;=Master!$B$3))</f>
        <v>84272282.50999999</v>
      </c>
      <c r="L42" s="220">
        <f t="shared" si="7"/>
        <v>6276317.1700000018</v>
      </c>
      <c r="M42" s="222">
        <f t="shared" si="2"/>
        <v>7.447664858555636E-2</v>
      </c>
      <c r="N42" s="201">
        <f>+INDEX('2017'!$1:$1048576,MATCH('Analitika - 2017'!$A42,'2017'!$A:$A,0),MATCH('Analitika - 2017'!$N$6,'2017'!$6:$6,0))</f>
        <v>46694958.479999997</v>
      </c>
      <c r="O42" s="201">
        <f>+INDEX('2017'!$1:$1048576,MATCH(CONCATENATE('Analitika - 2017'!$A42,"p"),'2017'!$A:$A,0),MATCH('Analitika - 2017'!$O$6,'2017'!$100:$100,0))</f>
        <v>47576508.75</v>
      </c>
      <c r="P42" s="220">
        <f t="shared" si="3"/>
        <v>-881550.27000000328</v>
      </c>
      <c r="Q42" s="221">
        <f t="shared" si="4"/>
        <v>-1.8529108023295326E-2</v>
      </c>
      <c r="R42" s="201">
        <f>+INDEX('2016'!$1:$1048576,MATCH('Analitika - 2017'!$A42,'2016'!$A:$A,0),MATCH('Analitika - 2017'!$R$6,'2016'!$6:$6,0))</f>
        <v>44536067.979999997</v>
      </c>
      <c r="S42" s="220">
        <f t="shared" si="5"/>
        <v>2158890.5</v>
      </c>
      <c r="T42" s="222">
        <f t="shared" si="6"/>
        <v>4.8475103391918184E-2</v>
      </c>
    </row>
    <row r="43" spans="1:20">
      <c r="A43" s="176">
        <v>421</v>
      </c>
      <c r="B43" s="409" t="str">
        <f>+VLOOKUP($A43,Master!$D$25:$G$223,4,FALSE)</f>
        <v>Prava iz oblasti socijalne zaštite</v>
      </c>
      <c r="C43" s="410"/>
      <c r="D43" s="410"/>
      <c r="E43" s="410"/>
      <c r="F43" s="410"/>
      <c r="G43" s="189">
        <f>+SUMPRODUCT(('2017'!$G43:$R43)*('2017'!$G$5:$R$5&lt;=Master!$B$3)*($A43='2017'!$A$10:$A$65))</f>
        <v>20653905.469999999</v>
      </c>
      <c r="H43" s="189">
        <f>+SUMPRODUCT(('2017'!$G137:$R137)*('2017'!$G$5:$R$5&lt;=Master!$B$3))</f>
        <v>19119270.833333332</v>
      </c>
      <c r="I43" s="190">
        <f t="shared" si="0"/>
        <v>1534634.6366666667</v>
      </c>
      <c r="J43" s="191">
        <f t="shared" si="1"/>
        <v>8.0266378882562828E-2</v>
      </c>
      <c r="K43" s="189">
        <f>+SUMPRODUCT(('2016'!$G43:$R43)*('2016'!$G$5:$R$5&lt;=Master!$B$3))</f>
        <v>11907956.059999999</v>
      </c>
      <c r="L43" s="190">
        <f t="shared" si="7"/>
        <v>8745949.4100000001</v>
      </c>
      <c r="M43" s="192">
        <f t="shared" si="2"/>
        <v>0.73446268746141152</v>
      </c>
      <c r="N43" s="189">
        <f>+INDEX('2017'!$1:$1048576,MATCH('Analitika - 2017'!$A43,'2017'!$A:$A,0),MATCH('Analitika - 2017'!$N$6,'2017'!$6:$6,0))</f>
        <v>10418756.810000001</v>
      </c>
      <c r="O43" s="189">
        <f>+INDEX('2017'!$1:$1048576,MATCH(CONCATENATE('Analitika - 2017'!$A43,"p"),'2017'!$A:$A,0),MATCH('Analitika - 2017'!$O$6,'2017'!$100:$100,0))</f>
        <v>9559635.416666666</v>
      </c>
      <c r="P43" s="190">
        <f t="shared" si="3"/>
        <v>859121.39333333448</v>
      </c>
      <c r="Q43" s="191">
        <f t="shared" si="4"/>
        <v>8.9869681832793091E-2</v>
      </c>
      <c r="R43" s="189">
        <f>+INDEX('2016'!$1:$1048576,MATCH('Analitika - 2017'!$A43,'2016'!$A:$A,0),MATCH('Analitika - 2017'!$R$6,'2016'!$6:$6,0))</f>
        <v>7010560.6399999997</v>
      </c>
      <c r="S43" s="190">
        <f t="shared" si="5"/>
        <v>3408196.1700000009</v>
      </c>
      <c r="T43" s="192">
        <f t="shared" si="6"/>
        <v>0.48615172808775542</v>
      </c>
    </row>
    <row r="44" spans="1:20">
      <c r="A44" s="176">
        <v>422</v>
      </c>
      <c r="B44" s="409" t="str">
        <f>+VLOOKUP($A44,Master!$D$25:$G$223,4,FALSE)</f>
        <v>Sredstva za tehnološke viškove</v>
      </c>
      <c r="C44" s="410"/>
      <c r="D44" s="410"/>
      <c r="E44" s="410"/>
      <c r="F44" s="410"/>
      <c r="G44" s="189">
        <f>+SUMPRODUCT(('2017'!$G44:$R44)*('2017'!$G$5:$R$5&lt;=Master!$B$3)*($A44='2017'!$A$10:$A$65))</f>
        <v>1209128.0900000001</v>
      </c>
      <c r="H44" s="189">
        <f>+SUMPRODUCT(('2017'!$G138:$R138)*('2017'!$G$5:$R$5&lt;=Master!$B$3))</f>
        <v>3432746.6666666665</v>
      </c>
      <c r="I44" s="190">
        <f t="shared" si="0"/>
        <v>-2223618.5766666662</v>
      </c>
      <c r="J44" s="191">
        <f t="shared" si="1"/>
        <v>-0.64776658244515561</v>
      </c>
      <c r="K44" s="189">
        <f>+SUMPRODUCT(('2016'!$G44:$R44)*('2016'!$G$5:$R$5&lt;=Master!$B$3))</f>
        <v>3939445.58</v>
      </c>
      <c r="L44" s="190">
        <f t="shared" si="7"/>
        <v>-2730317.49</v>
      </c>
      <c r="M44" s="192">
        <f t="shared" si="2"/>
        <v>-0.69307150830092179</v>
      </c>
      <c r="N44" s="189">
        <f>+INDEX('2017'!$1:$1048576,MATCH('Analitika - 2017'!$A44,'2017'!$A:$A,0),MATCH('Analitika - 2017'!$N$6,'2017'!$6:$6,0))</f>
        <v>1036027.42</v>
      </c>
      <c r="O44" s="189">
        <f>+INDEX('2017'!$1:$1048576,MATCH(CONCATENATE('Analitika - 2017'!$A44,"p"),'2017'!$A:$A,0),MATCH('Analitika - 2017'!$O$6,'2017'!$100:$100,0))</f>
        <v>1716373.3333333333</v>
      </c>
      <c r="P44" s="190">
        <f t="shared" si="3"/>
        <v>-680345.91333333321</v>
      </c>
      <c r="Q44" s="191">
        <f t="shared" si="4"/>
        <v>-0.39638573969921065</v>
      </c>
      <c r="R44" s="189">
        <f>+INDEX('2016'!$1:$1048576,MATCH('Analitika - 2017'!$A44,'2016'!$A:$A,0),MATCH('Analitika - 2017'!$R$6,'2016'!$6:$6,0))</f>
        <v>3195817.4000000004</v>
      </c>
      <c r="S44" s="190">
        <f t="shared" si="5"/>
        <v>-2159789.9800000004</v>
      </c>
      <c r="T44" s="192">
        <f t="shared" si="6"/>
        <v>-0.67581770472868696</v>
      </c>
    </row>
    <row r="45" spans="1:20">
      <c r="A45" s="176">
        <v>423</v>
      </c>
      <c r="B45" s="409" t="str">
        <f>+VLOOKUP($A45,Master!$D$25:$G$223,4,FALSE)</f>
        <v>Prava iz oblasti penzijskog i invalidskog osiguranja</v>
      </c>
      <c r="C45" s="410"/>
      <c r="D45" s="410"/>
      <c r="E45" s="410"/>
      <c r="F45" s="410"/>
      <c r="G45" s="189">
        <f>+SUMPRODUCT(('2017'!$G45:$R45)*('2017'!$G$5:$R$5&lt;=Master!$B$3)*($A45='2017'!$A$10:$A$65))</f>
        <v>66280407.670000002</v>
      </c>
      <c r="H45" s="189">
        <f>+SUMPRODUCT(('2017'!$G139:$R139)*('2017'!$G$5:$R$5&lt;=Master!$B$3))</f>
        <v>68525000</v>
      </c>
      <c r="I45" s="190">
        <f t="shared" si="0"/>
        <v>-2244592.3299999982</v>
      </c>
      <c r="J45" s="191">
        <f t="shared" si="1"/>
        <v>-3.2755816563298068E-2</v>
      </c>
      <c r="K45" s="189">
        <f>+SUMPRODUCT(('2016'!$G45:$R45)*('2016'!$G$5:$R$5&lt;=Master!$B$3))</f>
        <v>64987320.18</v>
      </c>
      <c r="L45" s="190">
        <f t="shared" si="7"/>
        <v>1293087.4900000021</v>
      </c>
      <c r="M45" s="192">
        <f t="shared" si="2"/>
        <v>1.9897535187147986E-2</v>
      </c>
      <c r="N45" s="189">
        <f>+INDEX('2017'!$1:$1048576,MATCH('Analitika - 2017'!$A45,'2017'!$A:$A,0),MATCH('Analitika - 2017'!$N$6,'2017'!$6:$6,0))</f>
        <v>33304068.809999999</v>
      </c>
      <c r="O45" s="189">
        <f>+INDEX('2017'!$1:$1048576,MATCH(CONCATENATE('Analitika - 2017'!$A45,"p"),'2017'!$A:$A,0),MATCH('Analitika - 2017'!$O$6,'2017'!$100:$100,0))</f>
        <v>34262500</v>
      </c>
      <c r="P45" s="190">
        <f t="shared" si="3"/>
        <v>-958431.19000000134</v>
      </c>
      <c r="Q45" s="191">
        <f t="shared" si="4"/>
        <v>-2.7973183217803732E-2</v>
      </c>
      <c r="R45" s="189">
        <f>+INDEX('2016'!$1:$1048576,MATCH('Analitika - 2017'!$A45,'2016'!$A:$A,0),MATCH('Analitika - 2017'!$R$6,'2016'!$6:$6,0))</f>
        <v>32694820.23</v>
      </c>
      <c r="S45" s="190">
        <f t="shared" si="5"/>
        <v>609248.57999999821</v>
      </c>
      <c r="T45" s="192">
        <f t="shared" si="6"/>
        <v>1.8634406787193969E-2</v>
      </c>
    </row>
    <row r="46" spans="1:20">
      <c r="A46" s="176">
        <v>424</v>
      </c>
      <c r="B46" s="409" t="str">
        <f>+VLOOKUP($A46,Master!$D$25:$G$223,4,FALSE)</f>
        <v>Ostala prava iz oblasti zdravstvene zaštite</v>
      </c>
      <c r="C46" s="410"/>
      <c r="D46" s="410"/>
      <c r="E46" s="410"/>
      <c r="F46" s="410"/>
      <c r="G46" s="189">
        <f>+SUMPRODUCT(('2017'!$G46:$R46)*('2017'!$G$5:$R$5&lt;=Master!$B$3)*($A46='2017'!$A$10:$A$65))</f>
        <v>1324904.48</v>
      </c>
      <c r="H46" s="189">
        <f>+SUMPRODUCT(('2017'!$G140:$R140)*('2017'!$G$5:$R$5&lt;=Master!$B$3))</f>
        <v>2655166.6666666665</v>
      </c>
      <c r="I46" s="190">
        <f t="shared" si="0"/>
        <v>-1330262.1866666665</v>
      </c>
      <c r="J46" s="191">
        <f t="shared" si="1"/>
        <v>-0.50100892097169036</v>
      </c>
      <c r="K46" s="189">
        <f>+SUMPRODUCT(('2016'!$G46:$R46)*('2016'!$G$5:$R$5&lt;=Master!$B$3))</f>
        <v>2073751.3599999994</v>
      </c>
      <c r="L46" s="190">
        <f t="shared" si="7"/>
        <v>-748846.87999999942</v>
      </c>
      <c r="M46" s="192">
        <f t="shared" si="2"/>
        <v>-0.36110736052754155</v>
      </c>
      <c r="N46" s="189">
        <f>+INDEX('2017'!$1:$1048576,MATCH('Analitika - 2017'!$A46,'2017'!$A:$A,0),MATCH('Analitika - 2017'!$N$6,'2017'!$6:$6,0))</f>
        <v>1122393.47</v>
      </c>
      <c r="O46" s="189">
        <f>+INDEX('2017'!$1:$1048576,MATCH(CONCATENATE('Analitika - 2017'!$A46,"p"),'2017'!$A:$A,0),MATCH('Analitika - 2017'!$O$6,'2017'!$100:$100,0))</f>
        <v>1327583.3333333333</v>
      </c>
      <c r="P46" s="190">
        <f t="shared" si="3"/>
        <v>-205189.86333333328</v>
      </c>
      <c r="Q46" s="191">
        <f t="shared" si="4"/>
        <v>-0.15455893289812317</v>
      </c>
      <c r="R46" s="189">
        <f>+INDEX('2016'!$1:$1048576,MATCH('Analitika - 2017'!$A46,'2016'!$A:$A,0),MATCH('Analitika - 2017'!$R$6,'2016'!$6:$6,0))</f>
        <v>923381.67999999959</v>
      </c>
      <c r="S46" s="190">
        <f t="shared" si="5"/>
        <v>199011.79000000039</v>
      </c>
      <c r="T46" s="192">
        <f t="shared" si="6"/>
        <v>0.21552494955282242</v>
      </c>
    </row>
    <row r="47" spans="1:20">
      <c r="A47" s="176">
        <v>425</v>
      </c>
      <c r="B47" s="409" t="str">
        <f>+VLOOKUP($A47,Master!$D$25:$G$223,4,FALSE)</f>
        <v>Ostala prava iz zdravstvenog osiguranja</v>
      </c>
      <c r="C47" s="410"/>
      <c r="D47" s="410"/>
      <c r="E47" s="410"/>
      <c r="F47" s="410"/>
      <c r="G47" s="189">
        <f>+SUMPRODUCT(('2017'!$G47:$R47)*('2017'!$G$5:$R$5&lt;=Master!$B$3)*($A47='2017'!$A$10:$A$65))</f>
        <v>1080253.97</v>
      </c>
      <c r="H47" s="189">
        <f>+SUMPRODUCT(('2017'!$G141:$R141)*('2017'!$G$5:$R$5&lt;=Master!$B$3))</f>
        <v>1420833.3333333333</v>
      </c>
      <c r="I47" s="190">
        <f t="shared" si="0"/>
        <v>-340579.36333333328</v>
      </c>
      <c r="J47" s="191">
        <f t="shared" si="1"/>
        <v>-0.23970395073313777</v>
      </c>
      <c r="K47" s="189">
        <f>+SUMPRODUCT(('2016'!$G47:$R47)*('2016'!$G$5:$R$5&lt;=Master!$B$3))</f>
        <v>1363809.3299999998</v>
      </c>
      <c r="L47" s="190">
        <f t="shared" si="7"/>
        <v>-283555.35999999987</v>
      </c>
      <c r="M47" s="192">
        <f t="shared" si="2"/>
        <v>-0.20791422507719604</v>
      </c>
      <c r="N47" s="189">
        <f>+INDEX('2017'!$1:$1048576,MATCH('Analitika - 2017'!$A47,'2017'!$A:$A,0),MATCH('Analitika - 2017'!$N$6,'2017'!$6:$6,0))</f>
        <v>813711.97</v>
      </c>
      <c r="O47" s="189">
        <f>+INDEX('2017'!$1:$1048576,MATCH(CONCATENATE('Analitika - 2017'!$A47,"p"),'2017'!$A:$A,0),MATCH('Analitika - 2017'!$O$6,'2017'!$100:$100,0))</f>
        <v>710416.66666666663</v>
      </c>
      <c r="P47" s="190">
        <f t="shared" si="3"/>
        <v>103295.30333333334</v>
      </c>
      <c r="Q47" s="191">
        <f t="shared" si="4"/>
        <v>0.14540101348973611</v>
      </c>
      <c r="R47" s="189">
        <f>+INDEX('2016'!$1:$1048576,MATCH('Analitika - 2017'!$A47,'2016'!$A:$A,0),MATCH('Analitika - 2017'!$R$6,'2016'!$6:$6,0))</f>
        <v>711488.03</v>
      </c>
      <c r="S47" s="190">
        <f t="shared" si="5"/>
        <v>102223.93999999994</v>
      </c>
      <c r="T47" s="192">
        <f t="shared" si="6"/>
        <v>0.14367626114525067</v>
      </c>
    </row>
    <row r="48" spans="1:20">
      <c r="A48" s="176">
        <v>43</v>
      </c>
      <c r="B48" s="423" t="str">
        <f>+VLOOKUP($A48,Master!$D$25:$G$223,4,FALSE)</f>
        <v xml:space="preserve">Transferi institucijama, pojedincima, nevladinom i javnom sektoru </v>
      </c>
      <c r="C48" s="424"/>
      <c r="D48" s="424"/>
      <c r="E48" s="424"/>
      <c r="F48" s="424"/>
      <c r="G48" s="201">
        <f>+SUMPRODUCT(('2017'!$G48:$R48)*('2017'!$G$5:$R$5&lt;=Master!$B$3)*($A48='2017'!$A$10:$A$65))</f>
        <v>13245778.120000001</v>
      </c>
      <c r="H48" s="201">
        <f>+SUMPRODUCT(('2017'!$G142:$R142)*('2017'!$G$5:$R$5&lt;=Master!$B$3))</f>
        <v>27282551.383333337</v>
      </c>
      <c r="I48" s="202">
        <f t="shared" si="0"/>
        <v>-14036773.263333336</v>
      </c>
      <c r="J48" s="203">
        <f t="shared" si="1"/>
        <v>-0.51449635578834729</v>
      </c>
      <c r="K48" s="201">
        <f>+SUMPRODUCT(('2016'!$G48:$R48)*('2016'!$G$5:$R$5&lt;=Master!$B$3))</f>
        <v>13731256.920000002</v>
      </c>
      <c r="L48" s="202">
        <f t="shared" si="7"/>
        <v>-485478.80000000075</v>
      </c>
      <c r="M48" s="204">
        <f t="shared" si="2"/>
        <v>-3.5355743675066331E-2</v>
      </c>
      <c r="N48" s="201">
        <f>+INDEX('2017'!$1:$1048576,MATCH('Analitika - 2017'!$A48,'2017'!$A:$A,0),MATCH('Analitika - 2017'!$N$6,'2017'!$6:$6,0))</f>
        <v>7878426.2999999998</v>
      </c>
      <c r="O48" s="201">
        <f>+INDEX('2017'!$1:$1048576,MATCH(CONCATENATE('Analitika - 2017'!$A48,"p"),'2017'!$A:$A,0),MATCH('Analitika - 2017'!$O$6,'2017'!$100:$100,0))</f>
        <v>13641275.691666668</v>
      </c>
      <c r="P48" s="202">
        <f t="shared" si="3"/>
        <v>-5762849.3916666685</v>
      </c>
      <c r="Q48" s="203">
        <f t="shared" si="4"/>
        <v>-0.42245677911099921</v>
      </c>
      <c r="R48" s="201">
        <f>+INDEX('2016'!$1:$1048576,MATCH('Analitika - 2017'!$A48,'2016'!$A:$A,0),MATCH('Analitika - 2017'!$R$6,'2016'!$6:$6,0))</f>
        <v>8548848.3000000007</v>
      </c>
      <c r="S48" s="202">
        <f t="shared" si="5"/>
        <v>-670422.00000000093</v>
      </c>
      <c r="T48" s="204">
        <f t="shared" si="6"/>
        <v>-7.8422493472015464E-2</v>
      </c>
    </row>
    <row r="49" spans="1:20">
      <c r="A49" s="176">
        <v>44</v>
      </c>
      <c r="B49" s="423" t="str">
        <f>+VLOOKUP($A49,Master!$D$25:$G$223,4,FALSE)</f>
        <v>Kapitalni budžet</v>
      </c>
      <c r="C49" s="424"/>
      <c r="D49" s="424"/>
      <c r="E49" s="424"/>
      <c r="F49" s="424"/>
      <c r="G49" s="402">
        <f>+SUMPRODUCT(('2017'!$G49:$R49)*('2017'!$G$5:$R$5&lt;=Master!$B$3)*($A49='2017'!$A$10:$A$65))</f>
        <v>1601234.78</v>
      </c>
      <c r="H49" s="201">
        <f>+SUMPRODUCT(('2017'!$G143:$R143)*('2017'!$G$5:$R$5&lt;=Master!$B$3))</f>
        <v>28307860</v>
      </c>
      <c r="I49" s="202">
        <f t="shared" si="0"/>
        <v>-26706625.219999999</v>
      </c>
      <c r="J49" s="203">
        <f t="shared" si="1"/>
        <v>-0.94343497601019644</v>
      </c>
      <c r="K49" s="201">
        <f>+SUMPRODUCT(('2016'!$G49:$R49)*('2016'!$G$5:$R$5&lt;=Master!$B$3))</f>
        <v>927947.72</v>
      </c>
      <c r="L49" s="202">
        <f t="shared" si="7"/>
        <v>673287.06</v>
      </c>
      <c r="M49" s="204">
        <f t="shared" si="2"/>
        <v>0.72556572475871817</v>
      </c>
      <c r="N49" s="402">
        <f>+INDEX('2017'!$1:$1048576,MATCH('Analitika - 2017'!$A49,'2017'!$A:$A,0),MATCH('Analitika - 2017'!$N$6,'2017'!$6:$6,0))</f>
        <v>1491590.34</v>
      </c>
      <c r="O49" s="201">
        <f>+INDEX('2017'!$1:$1048576,MATCH(CONCATENATE('Analitika - 2017'!$A49,"p"),'2017'!$A:$A,0),MATCH('Analitika - 2017'!$O$6,'2017'!$100:$100,0))</f>
        <v>14153930</v>
      </c>
      <c r="P49" s="202">
        <f t="shared" si="3"/>
        <v>-12662339.66</v>
      </c>
      <c r="Q49" s="203">
        <f t="shared" si="4"/>
        <v>-0.8946165241738514</v>
      </c>
      <c r="R49" s="201">
        <f>+INDEX('2016'!$1:$1048576,MATCH('Analitika - 2017'!$A49,'2016'!$A:$A,0),MATCH('Analitika - 2017'!$R$6,'2016'!$6:$6,0))</f>
        <v>577489.29</v>
      </c>
      <c r="S49" s="202">
        <f t="shared" si="5"/>
        <v>914101.05</v>
      </c>
      <c r="T49" s="204">
        <f t="shared" si="6"/>
        <v>1.5828883164222836</v>
      </c>
    </row>
    <row r="50" spans="1:20">
      <c r="A50" s="176">
        <v>451</v>
      </c>
      <c r="B50" s="427" t="str">
        <f>+VLOOKUP($A50,Master!$D$25:$G$223,4,FALSE)</f>
        <v>Pozajmice i krediti</v>
      </c>
      <c r="C50" s="428"/>
      <c r="D50" s="428"/>
      <c r="E50" s="428"/>
      <c r="F50" s="428"/>
      <c r="G50" s="189">
        <f>+SUMPRODUCT(('2017'!$G50:$R50)*('2017'!$G$5:$R$5&lt;=Master!$B$3)*($A50='2017'!$A$10:$A$65))</f>
        <v>285802</v>
      </c>
      <c r="H50" s="189">
        <f>+SUMPRODUCT(('2017'!$G144:$R144)*('2017'!$G$5:$R$5&lt;=Master!$B$3))</f>
        <v>404166.66666666669</v>
      </c>
      <c r="I50" s="190">
        <f>G50-H50</f>
        <v>-118364.66666666669</v>
      </c>
      <c r="J50" s="344">
        <f t="shared" si="1"/>
        <v>-0.29286103092783511</v>
      </c>
      <c r="K50" s="189">
        <f>+SUMPRODUCT(('2016'!$G50:$R50)*('2016'!$G$5:$R$5&lt;=Master!$B$3))</f>
        <v>431126.67</v>
      </c>
      <c r="L50" s="350">
        <f t="shared" si="7"/>
        <v>-145324.66999999998</v>
      </c>
      <c r="M50" s="353">
        <f t="shared" si="2"/>
        <v>-0.33708114137313749</v>
      </c>
      <c r="N50" s="189">
        <f>+INDEX('2017'!$1:$1048576,MATCH('Analitika - 2017'!$A50,'2017'!$A:$A,0),MATCH('Analitika - 2017'!$N$6,'2017'!$6:$6,0))</f>
        <v>285802</v>
      </c>
      <c r="O50" s="189">
        <f>+INDEX('2017'!$1:$1048576,MATCH(CONCATENATE('Analitika - 2017'!$A50,"p"),'2017'!$A:$A,0),MATCH('Analitika - 2017'!$O$6,'2017'!$100:$100,0))</f>
        <v>202083.33333333334</v>
      </c>
      <c r="P50" s="190">
        <f t="shared" si="3"/>
        <v>83718.666666666657</v>
      </c>
      <c r="Q50" s="344">
        <f t="shared" si="4"/>
        <v>0.41427793814432978</v>
      </c>
      <c r="R50" s="189">
        <f>+INDEX('2016'!$1:$1048576,MATCH('Analitika - 2017'!$A50,'2016'!$A:$A,0),MATCH('Analitika - 2017'!$R$6,'2016'!$6:$6,0))</f>
        <v>292960</v>
      </c>
      <c r="S50" s="350">
        <f t="shared" si="5"/>
        <v>-7158</v>
      </c>
      <c r="T50" s="353">
        <f t="shared" si="6"/>
        <v>-2.4433369743309674E-2</v>
      </c>
    </row>
    <row r="51" spans="1:20">
      <c r="A51" s="176">
        <v>47</v>
      </c>
      <c r="B51" s="427" t="str">
        <f>+VLOOKUP($A51,Master!$D$25:$G$223,4,FALSE)</f>
        <v>Rezerve</v>
      </c>
      <c r="C51" s="428"/>
      <c r="D51" s="428"/>
      <c r="E51" s="428"/>
      <c r="F51" s="428"/>
      <c r="G51" s="189">
        <f>+SUMPRODUCT(('2017'!$G51:$R51)*('2017'!$G$5:$R$5&lt;=Master!$B$3)*($A51='2017'!$A$10:$A$65))</f>
        <v>30400</v>
      </c>
      <c r="H51" s="189">
        <f>+SUMPRODUCT(('2017'!$G145:$R145)*('2017'!$G$5:$R$5&lt;=Master!$B$3))</f>
        <v>2383112.3133333335</v>
      </c>
      <c r="I51" s="190">
        <f t="shared" ref="I51:I52" si="8">G51-H51</f>
        <v>-2352712.3133333335</v>
      </c>
      <c r="J51" s="345">
        <f t="shared" si="1"/>
        <v>-0.98724357226895509</v>
      </c>
      <c r="K51" s="189">
        <f>+SUMPRODUCT(('2016'!$G51:$R51)*('2016'!$G$5:$R$5&lt;=Master!$B$3))</f>
        <v>3566897.95</v>
      </c>
      <c r="L51" s="351">
        <f t="shared" si="7"/>
        <v>-3536497.95</v>
      </c>
      <c r="M51" s="354">
        <f t="shared" si="2"/>
        <v>-0.99147718818252151</v>
      </c>
      <c r="N51" s="189">
        <f>+INDEX('2017'!$1:$1048576,MATCH('Analitika - 2017'!$A51,'2017'!$A:$A,0),MATCH('Analitika - 2017'!$N$6,'2017'!$6:$6,0))</f>
        <v>25400</v>
      </c>
      <c r="O51" s="189">
        <f>+INDEX('2017'!$1:$1048576,MATCH(CONCATENATE('Analitika - 2017'!$A51,"p"),'2017'!$A:$A,0),MATCH('Analitika - 2017'!$O$6,'2017'!$100:$100,0))</f>
        <v>1191556.1566666667</v>
      </c>
      <c r="P51" s="190">
        <f t="shared" si="3"/>
        <v>-1166156.1566666667</v>
      </c>
      <c r="Q51" s="345">
        <f t="shared" si="4"/>
        <v>-0.97868333787049067</v>
      </c>
      <c r="R51" s="189">
        <f>+INDEX('2016'!$1:$1048576,MATCH('Analitika - 2017'!$A51,'2016'!$A:$A,0),MATCH('Analitika - 2017'!$R$6,'2016'!$6:$6,0))</f>
        <v>3436897.95</v>
      </c>
      <c r="S51" s="351">
        <f t="shared" si="5"/>
        <v>-3411497.95</v>
      </c>
      <c r="T51" s="354">
        <f t="shared" si="6"/>
        <v>-0.992609614725395</v>
      </c>
    </row>
    <row r="52" spans="1:20" ht="15.75" thickBot="1">
      <c r="A52" s="176">
        <v>462</v>
      </c>
      <c r="B52" s="429" t="str">
        <f>+VLOOKUP($A52,Master!$D$25:$G$223,4,FALSE)</f>
        <v>Otplata garancija</v>
      </c>
      <c r="C52" s="430"/>
      <c r="D52" s="430"/>
      <c r="E52" s="430"/>
      <c r="F52" s="430"/>
      <c r="G52" s="189">
        <f>+SUMPRODUCT(('2017'!$G52:$R52)*('2017'!$G$5:$R$5&lt;=Master!$B$3)*($A52='2017'!$A$10:$A$65))</f>
        <v>0</v>
      </c>
      <c r="H52" s="189">
        <f>+SUMPRODUCT(('2017'!$G146:$R146)*('2017'!$G$5:$R$5&lt;=Master!$B$3))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+SUMPRODUCT(('2016'!$G52:$R52)*('2016'!$G$5:$R$5&lt;=Master!$B$3))</f>
        <v>0</v>
      </c>
      <c r="L52" s="351">
        <f t="shared" si="7"/>
        <v>0</v>
      </c>
      <c r="M52" s="355" t="str">
        <f t="shared" si="2"/>
        <v>…</v>
      </c>
      <c r="N52" s="189">
        <f>+INDEX('2017'!$1:$1048576,MATCH('Analitika - 2017'!$A52,'2017'!$A:$A,0),MATCH('Analitika - 2017'!$N$6,'2017'!$6:$6,0))</f>
        <v>0</v>
      </c>
      <c r="O52" s="189">
        <f>+INDEX('2017'!$1:$1048576,MATCH(CONCATENATE('Analitika - 2017'!$A52,"p"),'2017'!$A:$A,0),MATCH('Analitika - 2017'!$O$6,'2017'!$100:$100,0))</f>
        <v>0</v>
      </c>
      <c r="P52" s="190">
        <f t="shared" si="3"/>
        <v>0</v>
      </c>
      <c r="Q52" s="346" t="str">
        <f t="shared" si="4"/>
        <v>…</v>
      </c>
      <c r="R52" s="189">
        <f>+INDEX('2016'!$1:$1048576,MATCH('Analitika - 2017'!$A52,'2016'!$A:$A,0),MATCH('Analitika - 2017'!$R$6,'2016'!$6:$6,0))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29" t="str">
        <f>+VLOOKUP($A53,Master!$D$25:$G$223,4,FALSE)</f>
        <v>Otplata obaveza iz prethodnih godina</v>
      </c>
      <c r="C53" s="430"/>
      <c r="D53" s="430"/>
      <c r="E53" s="430"/>
      <c r="F53" s="430"/>
      <c r="G53" s="393">
        <f>+SUMPRODUCT(('2017'!$G53:$R53)*('2017'!$G$5:$R$5&lt;=Master!$B$3)*($A53='2017'!$A$10:$A$65))</f>
        <v>4048248.37</v>
      </c>
      <c r="H53" s="393">
        <f>+SUMPRODUCT(('2017'!$G53:$R53)*('2017'!$G$5:$R$5&lt;=Master!$B$3)*($A53='2017'!$A$10:$A$65))</f>
        <v>4048248.37</v>
      </c>
      <c r="I53" s="352">
        <f>G53-H53</f>
        <v>0</v>
      </c>
      <c r="J53" s="347">
        <f t="shared" si="1"/>
        <v>0</v>
      </c>
      <c r="K53" s="393">
        <f>+SUMPRODUCT(('2016'!$G53:$R53)*('2016'!$G$5:$R$5&lt;=Master!$B$3))</f>
        <v>12093228.99</v>
      </c>
      <c r="L53" s="358">
        <f t="shared" si="7"/>
        <v>-8044980.6200000001</v>
      </c>
      <c r="M53" s="356">
        <f t="shared" si="2"/>
        <v>-0.66524669520873769</v>
      </c>
      <c r="N53" s="393">
        <f>+INDEX('2017'!$1:$1048576,MATCH('Analitika - 2017'!$A53,'2017'!$A:$A,0),MATCH('Analitika - 2017'!$N$6,'2017'!$6:$6,0))</f>
        <v>1722446.51</v>
      </c>
      <c r="O53" s="393">
        <v>0</v>
      </c>
      <c r="P53" s="352">
        <f>N53-O53</f>
        <v>1722446.51</v>
      </c>
      <c r="Q53" s="347" t="str">
        <f t="shared" si="4"/>
        <v>…</v>
      </c>
      <c r="R53" s="393">
        <f>+INDEX('2016'!$1:$1048576,MATCH('Analitika - 2017'!$A53,'2016'!$A:$A,0),MATCH('Analitika - 2017'!$R$6,'2016'!$6:$6,0))</f>
        <v>10483507.640000001</v>
      </c>
      <c r="S53" s="358">
        <f>+N53-R53</f>
        <v>-8761061.1300000008</v>
      </c>
      <c r="T53" s="356">
        <f>+IF(ISNUMBER(N53/R53-1),N53/R53-1,"…")</f>
        <v>-0.83569940814198707</v>
      </c>
    </row>
    <row r="54" spans="1:20" ht="15.75" thickBot="1">
      <c r="A54" s="170">
        <v>1005</v>
      </c>
      <c r="B54" s="429" t="str">
        <f>+VLOOKUP($A54,Master!$D$25:$G$225,4,FALSE)</f>
        <v>Neto povećanje obaveza</v>
      </c>
      <c r="C54" s="430"/>
      <c r="D54" s="430"/>
      <c r="E54" s="430"/>
      <c r="F54" s="430"/>
      <c r="G54" s="189">
        <f>+SUMPRODUCT(('2017'!$G54:$R54)*('2017'!$G$5:$R$5&lt;=Master!$B$3)*($A54='2017'!$A$10:$A$65))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+SUMPRODUCT(('2016'!$G54:$R54)*('2016'!$G$5:$R$5&lt;=Master!$B$3))</f>
        <v>0</v>
      </c>
      <c r="L54" s="358">
        <f t="shared" si="7"/>
        <v>0</v>
      </c>
      <c r="M54" s="356" t="str">
        <f t="shared" si="2"/>
        <v>…</v>
      </c>
      <c r="N54" s="189">
        <f>+INDEX('2017'!$1:$1048576,MATCH('Analitika - 2017'!$A54,'2017'!$A:$A,0),MATCH('Analitika - 2017'!$N$6,'2017'!$6:$6,0))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+INDEX('2016'!$1:$1048576,MATCH('Analitika - 2017'!$A54,'2016'!$A:$A,0),MATCH('Analitika - 2017'!$R$6,'2016'!$6:$6,0))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31" t="str">
        <f>+VLOOKUP($A55,Master!$D$25:$G$223,4,FALSE)</f>
        <v>Suficit / deficit</v>
      </c>
      <c r="C55" s="432"/>
      <c r="D55" s="432"/>
      <c r="E55" s="432"/>
      <c r="F55" s="432"/>
      <c r="G55" s="177">
        <f>+SUMPRODUCT(('2017'!$G55:$R55)*('2017'!$G$5:$R$5&lt;=Master!$B$3)*($A55='2017'!$A$10:$A$65))</f>
        <v>-39387174.809999973</v>
      </c>
      <c r="H55" s="177">
        <f>+SUMPRODUCT(('2017'!$G149:$R149)*('2017'!$G$5:$R$5&lt;=Master!$B$3))</f>
        <v>-81980909.207228512</v>
      </c>
      <c r="I55" s="510">
        <f>+G55-H55</f>
        <v>42593734.397228539</v>
      </c>
      <c r="J55" s="349">
        <f t="shared" si="1"/>
        <v>-0.51955674569992349</v>
      </c>
      <c r="K55" s="177">
        <f>+SUMPRODUCT(('2016'!$G55:$R55)*('2016'!$G$5:$R$5&lt;=Master!$B$3))</f>
        <v>-37846968.25</v>
      </c>
      <c r="L55" s="359">
        <f t="shared" si="7"/>
        <v>-1540206.5599999726</v>
      </c>
      <c r="M55" s="357">
        <f t="shared" si="2"/>
        <v>4.0695639075396084E-2</v>
      </c>
      <c r="N55" s="177">
        <f>+INDEX('2017'!$1:$1048576,MATCH('Analitika - 2017'!$A55,'2017'!$A:$A,0),MATCH('Analitika - 2017'!$N$6,'2017'!$6:$6,0))</f>
        <v>-17745999.209999979</v>
      </c>
      <c r="O55" s="177">
        <f>+INDEX('2017'!$1:$1048576,MATCH(CONCATENATE('Analitika - 2017'!$A55,"p"),'2017'!$A:$A,0),MATCH('Analitika - 2017'!$O$6,'2017'!$100:$100,0))</f>
        <v>-27056640.219965741</v>
      </c>
      <c r="P55" s="510">
        <f>N55+O55</f>
        <v>-44802639.42996572</v>
      </c>
      <c r="Q55" s="349">
        <f t="shared" si="4"/>
        <v>-0.3441166728119931</v>
      </c>
      <c r="R55" s="177">
        <f>+INDEX('2016'!$1:$1048576,MATCH('Analitika - 2017'!$A55,'2016'!$A:$A,0),MATCH('Analitika - 2017'!$R$6,'2016'!$6:$6,0))</f>
        <v>-17372276.129999995</v>
      </c>
      <c r="S55" s="359">
        <f t="shared" si="5"/>
        <v>-373723.07999998331</v>
      </c>
      <c r="T55" s="357">
        <f t="shared" si="6"/>
        <v>2.1512614536134622E-2</v>
      </c>
    </row>
    <row r="56" spans="1:20" ht="15.75" thickBot="1">
      <c r="A56" s="170">
        <v>1001</v>
      </c>
      <c r="B56" s="433" t="str">
        <f>+VLOOKUP($A56,Master!$D$25:$G$223,4,FALSE)</f>
        <v>Primarni bilans</v>
      </c>
      <c r="C56" s="434"/>
      <c r="D56" s="434"/>
      <c r="E56" s="434"/>
      <c r="F56" s="434"/>
      <c r="G56" s="177">
        <f>+SUMPRODUCT(('2017'!$G56:$R56)*('2017'!$G$5:$R$5&lt;=Master!$B$3)*($A56='2017'!$A$10:$A$65))</f>
        <v>-35044547.189999968</v>
      </c>
      <c r="H56" s="177">
        <f>+SUMPRODUCT(('2017'!$G150:$R150)*('2017'!$G$5:$R$5&lt;=Master!$B$3))</f>
        <v>9865648.0166666657</v>
      </c>
      <c r="I56" s="232">
        <f t="shared" si="0"/>
        <v>-44910195.206666633</v>
      </c>
      <c r="J56" s="233">
        <f t="shared" si="1"/>
        <v>-4.5521789476775361</v>
      </c>
      <c r="K56" s="177">
        <f>+SUMPRODUCT(('2016'!$G56:$R56)*('2016'!$G$5:$R$5&lt;=Master!$B$3))</f>
        <v>-33070344.350000001</v>
      </c>
      <c r="L56" s="232">
        <f t="shared" si="7"/>
        <v>-1974202.8399999663</v>
      </c>
      <c r="M56" s="234">
        <f t="shared" si="2"/>
        <v>5.9697075394981924E-2</v>
      </c>
      <c r="N56" s="177">
        <f>+INDEX('2017'!$1:$1048576,MATCH('Analitika - 2017'!$A56,'2017'!$A:$A,0),MATCH('Analitika - 2017'!$N$6,'2017'!$6:$6,0))</f>
        <v>-16636643.57999998</v>
      </c>
      <c r="O56" s="177">
        <f>+INDEX('2017'!$1:$1048576,MATCH(CONCATENATE('Analitika - 2017'!$A56,"p"),'2017'!$A:$A,0),MATCH('Analitika - 2017'!$O$6,'2017'!$100:$100,0))</f>
        <v>-25959968.68996574</v>
      </c>
      <c r="P56" s="232">
        <f t="shared" si="3"/>
        <v>9323325.1099657603</v>
      </c>
      <c r="Q56" s="233">
        <f t="shared" si="4"/>
        <v>-0.35914238654569286</v>
      </c>
      <c r="R56" s="177">
        <f>+INDEX('2016'!$1:$1048576,MATCH('Analitika - 2017'!$A56,'2016'!$A:$A,0),MATCH('Analitika - 2017'!$R$6,'2016'!$6:$6,0))</f>
        <v>-16448828.249999994</v>
      </c>
      <c r="S56" s="232">
        <f t="shared" si="5"/>
        <v>-187815.32999998517</v>
      </c>
      <c r="T56" s="234">
        <f t="shared" si="6"/>
        <v>1.1418158615643881E-2</v>
      </c>
    </row>
    <row r="57" spans="1:20">
      <c r="A57" s="170">
        <v>46</v>
      </c>
      <c r="B57" s="425" t="str">
        <f>+VLOOKUP($A57,Master!$D$25:$G$223,4,FALSE)</f>
        <v>Otplata dugova</v>
      </c>
      <c r="C57" s="426"/>
      <c r="D57" s="426"/>
      <c r="E57" s="426"/>
      <c r="F57" s="426"/>
      <c r="G57" s="183">
        <f>+SUMPRODUCT(('2017'!$G57:$R57)*('2017'!$G$5:$R$5&lt;=Master!$B$3)*($A57='2017'!$A$10:$A$65))</f>
        <v>11674232.589999998</v>
      </c>
      <c r="H57" s="183">
        <f>+SUMPRODUCT(('2017'!$G150:$R150)*('2017'!$G$5:$R$5&lt;=Master!$B$3))</f>
        <v>9865648.0166666657</v>
      </c>
      <c r="I57" s="220">
        <f t="shared" si="0"/>
        <v>1808584.5733333323</v>
      </c>
      <c r="J57" s="221">
        <f t="shared" si="1"/>
        <v>0.18332141692851556</v>
      </c>
      <c r="K57" s="201">
        <f>+SUMPRODUCT(('2016'!$G57:$R57)*('2016'!$G$5:$R$5&lt;=Master!$B$3))</f>
        <v>74398985.829999998</v>
      </c>
      <c r="L57" s="220">
        <f t="shared" si="7"/>
        <v>-62724753.240000002</v>
      </c>
      <c r="M57" s="222">
        <f t="shared" si="2"/>
        <v>-0.84308613269708599</v>
      </c>
      <c r="N57" s="183">
        <f>+INDEX('2017'!$1:$1048576,MATCH('Analitika - 2017'!$A57,'2017'!$A:$A,0),MATCH('Analitika - 2017'!$N$6,'2017'!$6:$6,0))</f>
        <v>9762594.3999999985</v>
      </c>
      <c r="O57" s="183">
        <f>+INDEX('2017'!$1:$1048576,MATCH(CONCATENATE('Analitika - 2017'!$A57,"p"),'2017'!$A:$A,0),MATCH('Analitika - 2017'!$O$6,'2017'!$100:$100,0))</f>
        <v>5248180.4533333331</v>
      </c>
      <c r="P57" s="220">
        <f t="shared" si="3"/>
        <v>4514413.9466666654</v>
      </c>
      <c r="Q57" s="221">
        <f t="shared" si="4"/>
        <v>0.86018649450199014</v>
      </c>
      <c r="R57" s="201">
        <f>+INDEX('2016'!$1:$1048576,MATCH('Analitika - 2017'!$A57,'2016'!$A:$A,0),MATCH('Analitika - 2017'!$R$6,'2016'!$6:$6,0))</f>
        <v>41379235.089999996</v>
      </c>
      <c r="S57" s="220">
        <f t="shared" si="5"/>
        <v>-31616640.689999998</v>
      </c>
      <c r="T57" s="222">
        <f t="shared" si="6"/>
        <v>-0.76407020625764788</v>
      </c>
    </row>
    <row r="58" spans="1:20">
      <c r="A58" s="170">
        <v>4611</v>
      </c>
      <c r="B58" s="451" t="str">
        <f>+VLOOKUP($A58,Master!$D$25:$G$223,4,FALSE)</f>
        <v>Otplata hartija od vrijednosti i kredita rezidentima</v>
      </c>
      <c r="C58" s="452"/>
      <c r="D58" s="452"/>
      <c r="E58" s="452"/>
      <c r="F58" s="452"/>
      <c r="G58" s="189">
        <f>+SUMPRODUCT(('2017'!$G58:$R58)*('2017'!$G$5:$R$5&lt;=Master!$B$3)*($A58='2017'!$A$10:$A$65))</f>
        <v>7979316.2899999991</v>
      </c>
      <c r="H58" s="189">
        <f>+SUMPRODUCT(('2017'!$G151:$R151)*('2017'!$G$5:$R$5&lt;=Master!$B$3))</f>
        <v>351667.36</v>
      </c>
      <c r="I58" s="238">
        <f t="shared" si="0"/>
        <v>7627648.9299999988</v>
      </c>
      <c r="J58" s="239">
        <f t="shared" si="1"/>
        <v>21.689954194213531</v>
      </c>
      <c r="K58" s="189">
        <f>+SUMPRODUCT(('2016'!$G58:$R58)*('2016'!$G$5:$R$5&lt;=Master!$B$3))</f>
        <v>56689116.609999999</v>
      </c>
      <c r="L58" s="238">
        <f t="shared" si="7"/>
        <v>-48709800.32</v>
      </c>
      <c r="M58" s="240">
        <f t="shared" si="2"/>
        <v>-0.85924430001450325</v>
      </c>
      <c r="N58" s="189">
        <f>+INDEX('2017'!$1:$1048576,MATCH('Analitika - 2017'!$A58,'2017'!$A:$A,0),MATCH('Analitika - 2017'!$N$6,'2017'!$6:$6,0))</f>
        <v>7869986.2699999996</v>
      </c>
      <c r="O58" s="189">
        <f>+INDEX('2017'!$1:$1048576,MATCH(CONCATENATE('Analitika - 2017'!$A58,"p"),'2017'!$A:$A,0),MATCH('Analitika - 2017'!$O$6,'2017'!$100:$100,0))</f>
        <v>177326.85</v>
      </c>
      <c r="P58" s="238">
        <f t="shared" si="3"/>
        <v>7692659.4199999999</v>
      </c>
      <c r="Q58" s="239">
        <f t="shared" si="4"/>
        <v>43.381244408277702</v>
      </c>
      <c r="R58" s="189">
        <f>+INDEX('2016'!$1:$1048576,MATCH('Analitika - 2017'!$A58,'2016'!$A:$A,0),MATCH('Analitika - 2017'!$R$6,'2016'!$6:$6,0))</f>
        <v>40102784.689999998</v>
      </c>
      <c r="S58" s="238">
        <f t="shared" si="5"/>
        <v>-32232798.419999998</v>
      </c>
      <c r="T58" s="240">
        <f t="shared" si="6"/>
        <v>-0.8037546187668495</v>
      </c>
    </row>
    <row r="59" spans="1:20">
      <c r="A59" s="170">
        <v>4612</v>
      </c>
      <c r="B59" s="427" t="str">
        <f>+VLOOKUP($A59,Master!$D$25:$G$223,4,FALSE)</f>
        <v>Otplata hartija od vrijednosti i kredita nerezidentima</v>
      </c>
      <c r="C59" s="428"/>
      <c r="D59" s="428"/>
      <c r="E59" s="428"/>
      <c r="F59" s="428"/>
      <c r="G59" s="189">
        <f>+SUMPRODUCT(('2017'!$G59:$R59)*('2017'!$G$5:$R$5&lt;=Master!$B$3)*($A59='2017'!$A$10:$A$65))</f>
        <v>3694916.3</v>
      </c>
      <c r="H59" s="189">
        <f>+SUMPRODUCT(('2017'!$G152:$R152)*('2017'!$G$5:$R$5&lt;=Master!$B$3))</f>
        <v>3894564.1900000004</v>
      </c>
      <c r="I59" s="238">
        <f t="shared" si="0"/>
        <v>-199647.8900000006</v>
      </c>
      <c r="J59" s="239">
        <f t="shared" si="1"/>
        <v>-5.1263217207366263E-2</v>
      </c>
      <c r="K59" s="189">
        <f>+SUMPRODUCT(('2016'!$G59:$R59)*('2016'!$G$5:$R$5&lt;=Master!$B$3))</f>
        <v>17709869.219999999</v>
      </c>
      <c r="L59" s="238">
        <f t="shared" si="7"/>
        <v>-14014952.919999998</v>
      </c>
      <c r="M59" s="240">
        <f t="shared" si="2"/>
        <v>-0.7913639985648635</v>
      </c>
      <c r="N59" s="189">
        <f>+INDEX('2017'!$1:$1048576,MATCH('Analitika - 2017'!$A59,'2017'!$A:$A,0),MATCH('Analitika - 2017'!$N$6,'2017'!$6:$6,0))</f>
        <v>1892608.13</v>
      </c>
      <c r="O59" s="189">
        <f>+INDEX('2017'!$1:$1048576,MATCH(CONCATENATE('Analitika - 2017'!$A59,"p"),'2017'!$A:$A,0),MATCH('Analitika - 2017'!$O$6,'2017'!$100:$100,0))</f>
        <v>2261145.37</v>
      </c>
      <c r="P59" s="238">
        <f t="shared" si="3"/>
        <v>-368537.24000000022</v>
      </c>
      <c r="Q59" s="239">
        <f t="shared" si="4"/>
        <v>-0.16298697327894496</v>
      </c>
      <c r="R59" s="189">
        <f>+INDEX('2016'!$1:$1048576,MATCH('Analitika - 2017'!$A59,'2016'!$A:$A,0),MATCH('Analitika - 2017'!$R$6,'2016'!$6:$6,0))</f>
        <v>1276450.3999999999</v>
      </c>
      <c r="S59" s="238">
        <f t="shared" si="5"/>
        <v>616157.73</v>
      </c>
      <c r="T59" s="240">
        <f t="shared" si="6"/>
        <v>0.48271184685280377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+SUMPRODUCT(('2017'!$G153:$R153)*('2017'!$G$5:$R$5&lt;=Master!$B$3))</f>
        <v>5619416.4666666659</v>
      </c>
      <c r="I60" s="238">
        <f t="shared" si="0"/>
        <v>-5619416.4666666659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'2017'!G153</f>
        <v>2809708.2333333329</v>
      </c>
      <c r="P60" s="238">
        <f t="shared" si="3"/>
        <v>-2809708.2333333329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53" t="str">
        <f>+VLOOKUP($A61,Master!$D$25:$G$223,4,FALSE)</f>
        <v>Nedostajuća sredstva</v>
      </c>
      <c r="C61" s="454"/>
      <c r="D61" s="454"/>
      <c r="E61" s="454"/>
      <c r="F61" s="454"/>
      <c r="G61" s="394">
        <f>+SUMPRODUCT(('2017'!$G60:$R60)*('2017'!$G$5:$R$5&lt;=Master!$B$3)*($A61='2017'!$A$10:$A$65))</f>
        <v>-51061407.399999976</v>
      </c>
      <c r="H61" s="509">
        <f>+SUMPRODUCT(('2017'!$G154:$R154)*('2017'!$G$5:$R$5&lt;=Master!$B$3))</f>
        <v>-96276986.183895186</v>
      </c>
      <c r="I61" s="511">
        <f t="shared" si="0"/>
        <v>45215578.783895209</v>
      </c>
      <c r="J61" s="512">
        <f t="shared" si="1"/>
        <v>-0.46964057119040437</v>
      </c>
      <c r="K61" s="509">
        <f>+SUMPRODUCT(('2016'!$G60:$R60)*('2016'!$G$5:$R$5&lt;=Master!$B$3))</f>
        <v>-112245954.08</v>
      </c>
      <c r="L61" s="511">
        <f t="shared" si="7"/>
        <v>61184546.680000022</v>
      </c>
      <c r="M61" s="514">
        <f t="shared" si="2"/>
        <v>-0.54509355977670726</v>
      </c>
      <c r="N61" s="394">
        <f>+INDEX('2017'!$1:$1048576,MATCH('Analitika - 2017'!$A61,'2017'!$A:$A,0),MATCH('Analitika - 2017'!$N$6,'2017'!$6:$6,0))</f>
        <v>-27508593.609999977</v>
      </c>
      <c r="O61" s="509">
        <f>+INDEX('2017'!$1:$1048576,MATCH(CONCATENATE('Analitika - 2017'!$A61,"p"),'2017'!$A:$A,0),MATCH('Analitika - 2017'!$O$6,'2017'!$100:$100,0))</f>
        <v>-32304820.673299074</v>
      </c>
      <c r="P61" s="511">
        <f t="shared" si="3"/>
        <v>4796227.0632990971</v>
      </c>
      <c r="Q61" s="512">
        <f t="shared" si="4"/>
        <v>-0.14846784360153797</v>
      </c>
      <c r="R61" s="509">
        <f>+INDEX('2016'!$1:$1048576,MATCH('Analitika - 2017'!$A61,'2016'!$A:$A,0),MATCH('Analitika - 2017'!$R$6,'2016'!$6:$6,0))</f>
        <v>-58751511.219999991</v>
      </c>
      <c r="S61" s="511">
        <f t="shared" si="5"/>
        <v>31242917.610000014</v>
      </c>
      <c r="T61" s="514">
        <f t="shared" si="6"/>
        <v>-0.53178066336044139</v>
      </c>
    </row>
    <row r="62" spans="1:20" ht="15.75" thickBot="1">
      <c r="A62" s="170">
        <v>1003</v>
      </c>
      <c r="B62" s="417" t="str">
        <f>+VLOOKUP($A62,Master!$D$25:$G$223,4,FALSE)</f>
        <v>Finansiranje</v>
      </c>
      <c r="C62" s="418"/>
      <c r="D62" s="418"/>
      <c r="E62" s="418"/>
      <c r="F62" s="418"/>
      <c r="G62" s="177">
        <f>+SUMPRODUCT(('2017'!$G61:$R61)*('2017'!$G$5:$R$5&lt;=Master!$B$3)*($A62='2017'!$A$10:$A$65))</f>
        <v>51061407.399999976</v>
      </c>
      <c r="H62" s="177">
        <f>+SUMPRODUCT(('2017'!$G155:$R155)*('2017'!$G$5:$R$5&lt;=Master!$B$3))</f>
        <v>96276986.183895186</v>
      </c>
      <c r="I62" s="510">
        <f t="shared" si="0"/>
        <v>-45215578.783895209</v>
      </c>
      <c r="J62" s="513">
        <f t="shared" si="1"/>
        <v>-0.46964057119040437</v>
      </c>
      <c r="K62" s="177">
        <f>+SUMPRODUCT(('2016'!$G61:$R61)*('2016'!$G$5:$R$5&lt;=Master!$B$3))</f>
        <v>112245954.08000001</v>
      </c>
      <c r="L62" s="510">
        <f t="shared" si="7"/>
        <v>-61184546.680000037</v>
      </c>
      <c r="M62" s="515">
        <f t="shared" si="2"/>
        <v>-0.54509355977670737</v>
      </c>
      <c r="N62" s="177">
        <f>+INDEX('2017'!$1:$1048576,MATCH('Analitika - 2017'!$A62,'2017'!$A:$A,0),MATCH('Analitika - 2017'!$N$6,'2017'!$6:$6,0))</f>
        <v>27508593.609999977</v>
      </c>
      <c r="O62" s="177">
        <f>+INDEX('2017'!$1:$1048576,MATCH(CONCATENATE('Analitika - 2017'!$A62,"p"),'2017'!$A:$A,0),MATCH('Analitika - 2017'!$O$6,'2017'!$100:$100,0))</f>
        <v>32304820.673299074</v>
      </c>
      <c r="P62" s="510">
        <f t="shared" si="3"/>
        <v>-4796227.0632990971</v>
      </c>
      <c r="Q62" s="513">
        <f t="shared" si="4"/>
        <v>-0.14846784360153797</v>
      </c>
      <c r="R62" s="177">
        <f>+INDEX('2016'!$1:$1048576,MATCH('Analitika - 2017'!$A62,'2016'!$A:$A,0),MATCH('Analitika - 2017'!$R$6,'2016'!$6:$6,0))</f>
        <v>58751511.219999991</v>
      </c>
      <c r="S62" s="510">
        <f t="shared" si="5"/>
        <v>-31242917.610000014</v>
      </c>
      <c r="T62" s="515">
        <f t="shared" si="6"/>
        <v>-0.53178066336044139</v>
      </c>
    </row>
    <row r="63" spans="1:20">
      <c r="A63" s="170">
        <v>7511</v>
      </c>
      <c r="B63" s="451" t="str">
        <f>+VLOOKUP($A63,Master!$D$25:$G$223,4,FALSE)</f>
        <v>Pozajmice i krediti od domaćih izvora</v>
      </c>
      <c r="C63" s="452"/>
      <c r="D63" s="452"/>
      <c r="E63" s="452"/>
      <c r="F63" s="452"/>
      <c r="G63" s="189">
        <f>+SUMPRODUCT(('2017'!$G62:$R62)*('2017'!$G$5:$R$5&lt;=Master!$B$3)*($A63='2017'!$A$10:$A$65))</f>
        <v>23050000</v>
      </c>
      <c r="H63" s="189">
        <f>+SUMPRODUCT(('2017'!$G156:$R156)*('2017'!$G$5:$R$5&lt;=Master!$B$3))</f>
        <v>16666666.666666666</v>
      </c>
      <c r="I63" s="238">
        <f t="shared" si="0"/>
        <v>6383333.333333334</v>
      </c>
      <c r="J63" s="239">
        <f t="shared" si="1"/>
        <v>0.38300000000000001</v>
      </c>
      <c r="K63" s="189">
        <f>+SUMPRODUCT(('2016'!$G62:$R62)*('2016'!$G$5:$R$5&lt;=Master!$B$3))</f>
        <v>67650217.069999993</v>
      </c>
      <c r="L63" s="238">
        <f t="shared" si="7"/>
        <v>-44600217.069999993</v>
      </c>
      <c r="M63" s="240">
        <f t="shared" si="2"/>
        <v>-0.65927677695181108</v>
      </c>
      <c r="N63" s="189">
        <f>+INDEX('2017'!$1:$1048576,MATCH('Analitika - 2017'!$A63,'2017'!$A:$A,0),MATCH('Analitika - 2017'!$N$6,'2017'!$6:$6,0))</f>
        <v>22749318.890000001</v>
      </c>
      <c r="O63" s="189">
        <f>+INDEX('2017'!$1:$1048576,MATCH(CONCATENATE('Analitika - 2017'!$A63,"p"),'2017'!$A:$A,0),MATCH('Analitika - 2017'!$O$6,'2017'!$100:$100,0))</f>
        <v>8333333.333333333</v>
      </c>
      <c r="P63" s="238">
        <f t="shared" si="3"/>
        <v>14415985.556666669</v>
      </c>
      <c r="Q63" s="239">
        <f t="shared" si="4"/>
        <v>1.7299182668000004</v>
      </c>
      <c r="R63" s="189">
        <f>+INDEX('2016'!$1:$1048576,MATCH('Analitika - 2017'!$A63,'2016'!$A:$A,0),MATCH('Analitika - 2017'!$R$6,'2016'!$6:$6,0))</f>
        <v>51250217.07</v>
      </c>
      <c r="S63" s="238">
        <f t="shared" si="5"/>
        <v>-28500898.18</v>
      </c>
      <c r="T63" s="240">
        <f t="shared" si="6"/>
        <v>-0.55611273101677028</v>
      </c>
    </row>
    <row r="64" spans="1:20">
      <c r="A64" s="170">
        <v>7512</v>
      </c>
      <c r="B64" s="427" t="str">
        <f>+VLOOKUP($A64,Master!$D$25:$G$223,4,FALSE)</f>
        <v>Pozajmice i krediti od inostranih izvora</v>
      </c>
      <c r="C64" s="428"/>
      <c r="D64" s="428"/>
      <c r="E64" s="428"/>
      <c r="F64" s="428"/>
      <c r="G64" s="189">
        <f>+SUMPRODUCT(('2017'!$G63:$R63)*('2017'!$G$5:$R$5&lt;=Master!$B$3)*($A64='2017'!$A$10:$A$65))</f>
        <v>357139.46</v>
      </c>
      <c r="H64" s="189">
        <f>+SUMPRODUCT(('2017'!$G157:$R157)*('2017'!$G$5:$R$5&lt;=Master!$B$3))</f>
        <v>59028970.605811656</v>
      </c>
      <c r="I64" s="238">
        <f t="shared" si="0"/>
        <v>-58671831.145811655</v>
      </c>
      <c r="J64" s="239">
        <f t="shared" si="1"/>
        <v>-0.99394975964624332</v>
      </c>
      <c r="K64" s="189">
        <f>+SUMPRODUCT(('2016'!$G63:$R63)*('2016'!$G$5:$R$5&lt;=Master!$B$3))</f>
        <v>1357378.92</v>
      </c>
      <c r="L64" s="238">
        <f t="shared" si="7"/>
        <v>-1000239.46</v>
      </c>
      <c r="M64" s="240">
        <f t="shared" si="2"/>
        <v>-0.73689037398635893</v>
      </c>
      <c r="N64" s="189">
        <f>+INDEX('2017'!$1:$1048576,MATCH('Analitika - 2017'!$A64,'2017'!$A:$A,0),MATCH('Analitika - 2017'!$N$6,'2017'!$6:$6,0))</f>
        <v>322585.33</v>
      </c>
      <c r="O64" s="189">
        <f>+INDEX('2017'!$1:$1048576,MATCH(CONCATENATE('Analitika - 2017'!$A64,"p"),'2017'!$A:$A,0),MATCH('Analitika - 2017'!$O$6,'2017'!$100:$100,0))</f>
        <v>29514485.302905828</v>
      </c>
      <c r="P64" s="238">
        <f t="shared" si="3"/>
        <v>-29191899.97290583</v>
      </c>
      <c r="Q64" s="239">
        <f t="shared" si="4"/>
        <v>-0.98907027086227928</v>
      </c>
      <c r="R64" s="189">
        <f>+INDEX('2016'!$1:$1048576,MATCH('Analitika - 2017'!$A64,'2016'!$A:$A,0),MATCH('Analitika - 2017'!$R$6,'2016'!$6:$6,0))</f>
        <v>1028135.44</v>
      </c>
      <c r="S64" s="238">
        <f t="shared" si="5"/>
        <v>-705550.10999999987</v>
      </c>
      <c r="T64" s="240">
        <f t="shared" si="6"/>
        <v>-0.68624237872784533</v>
      </c>
    </row>
    <row r="65" spans="1:20">
      <c r="A65" s="170">
        <v>72</v>
      </c>
      <c r="B65" s="427" t="str">
        <f>+VLOOKUP($A65,Master!$D$25:$G$223,4,FALSE)</f>
        <v>Primici od prodaje imovine</v>
      </c>
      <c r="C65" s="428"/>
      <c r="D65" s="428"/>
      <c r="E65" s="428"/>
      <c r="F65" s="428"/>
      <c r="G65" s="189">
        <f>+SUMPRODUCT(('2017'!$G64:$R64)*('2017'!$G$5:$R$5&lt;=Master!$B$3)*($A65='2017'!$A$10:$A$65))</f>
        <v>91783.49</v>
      </c>
      <c r="H65" s="189">
        <f>+SUMPRODUCT(('2017'!$G158:$R158)*('2017'!$G$5:$R$5&lt;=Master!$B$3))</f>
        <v>0</v>
      </c>
      <c r="I65" s="238">
        <f t="shared" si="0"/>
        <v>91783.49</v>
      </c>
      <c r="J65" s="239" t="str">
        <f t="shared" si="1"/>
        <v>…</v>
      </c>
      <c r="K65" s="189">
        <f>+SUMPRODUCT(('2016'!$G64:$R64)*('2016'!$G$5:$R$5&lt;=Master!$B$3))</f>
        <v>724320.38</v>
      </c>
      <c r="L65" s="238">
        <f t="shared" si="7"/>
        <v>-632536.89</v>
      </c>
      <c r="M65" s="240">
        <f t="shared" si="2"/>
        <v>-0.87328329764792756</v>
      </c>
      <c r="N65" s="189">
        <f>+INDEX('2017'!$1:$1048576,MATCH('Analitika - 2017'!$A65,'2017'!$A:$A,0),MATCH('Analitika - 2017'!$N$6,'2017'!$6:$6,0))</f>
        <v>70916.160000000003</v>
      </c>
      <c r="O65" s="189">
        <f>+INDEX('2017'!$1:$1048576,MATCH(CONCATENATE('Analitika - 2017'!$A65,"p"),'2017'!$A:$A,0),MATCH('Analitika - 2017'!$O$6,'2017'!$100:$100,0))</f>
        <v>0</v>
      </c>
      <c r="P65" s="238">
        <f t="shared" si="3"/>
        <v>70916.160000000003</v>
      </c>
      <c r="Q65" s="239" t="str">
        <f t="shared" si="4"/>
        <v>…</v>
      </c>
      <c r="R65" s="189">
        <f>+INDEX('2016'!$1:$1048576,MATCH('Analitika - 2017'!$A65,'2016'!$A:$A,0),MATCH('Analitika - 2017'!$R$6,'2016'!$6:$6,0))</f>
        <v>691978.88</v>
      </c>
      <c r="S65" s="238">
        <f t="shared" si="5"/>
        <v>-621062.72</v>
      </c>
      <c r="T65" s="240">
        <f t="shared" si="6"/>
        <v>-0.89751687219124376</v>
      </c>
    </row>
    <row r="66" spans="1:20" ht="15.7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395">
        <f>+SUMPRODUCT(('2017'!$G65:$R65)*('2017'!$G$5:$R$5&lt;=Master!$B$3)*($A66='2017'!$A$10:$A$65))</f>
        <v>27562484.449999973</v>
      </c>
      <c r="H66" s="399">
        <f>+SUMPRODUCT(('2017'!$G159:$R159)*('2017'!$G$5:$R$5&lt;=Master!$B$3))</f>
        <v>20581348.911416858</v>
      </c>
      <c r="I66" s="252">
        <f t="shared" si="0"/>
        <v>6981135.5385831147</v>
      </c>
      <c r="J66" s="253" t="str">
        <f>+IF(ISNUMBER(G65/H65-1),G65/H65-1,"…")</f>
        <v>…</v>
      </c>
      <c r="K66" s="399">
        <f>+SUMPRODUCT(('2016'!$G65:$R65)*('2016'!$G$5:$R$5&lt;=Master!$B$3))</f>
        <v>42514037.710000001</v>
      </c>
      <c r="L66" s="252">
        <f t="shared" si="7"/>
        <v>-14951553.260000028</v>
      </c>
      <c r="M66" s="254">
        <f t="shared" si="2"/>
        <v>-0.35168509192160724</v>
      </c>
      <c r="N66" s="395">
        <f>+INDEX('2017'!$1:$1048576,MATCH('Analitika - 2017'!$A66,'2017'!$A:$A,0),MATCH('Analitika - 2017'!$N$6,'2017'!$6:$6,0))</f>
        <v>4365773.2299999781</v>
      </c>
      <c r="O66" s="399">
        <f>+INDEX('2017'!$1:$1048576,MATCH(CONCATENATE('Analitika - 2017'!$A66,"p"),'2017'!$A:$A,0),MATCH('Analitika - 2017'!$O$6,'2017'!$100:$100,0))</f>
        <v>-5542997.9629400894</v>
      </c>
      <c r="P66" s="252">
        <f t="shared" si="3"/>
        <v>9908771.1929400675</v>
      </c>
      <c r="Q66" s="253">
        <f t="shared" si="4"/>
        <v>-1.7876194902450058</v>
      </c>
      <c r="R66" s="399">
        <f>+INDEX('2016'!$1:$1048576,MATCH('Analitika - 2017'!$A66,'2016'!$A:$A,0),MATCH('Analitika - 2017'!$R$6,'2016'!$6:$6,0))</f>
        <v>5781179.8299999908</v>
      </c>
      <c r="S66" s="252">
        <f t="shared" si="5"/>
        <v>-1415406.6000000127</v>
      </c>
      <c r="T66" s="254">
        <f t="shared" si="6"/>
        <v>-0.2448300591957222</v>
      </c>
    </row>
    <row r="68" spans="1:20">
      <c r="H68" s="396"/>
    </row>
    <row r="69" spans="1:20">
      <c r="H69" s="365"/>
    </row>
  </sheetData>
  <mergeCells count="62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J44" sqref="J44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744</v>
      </c>
      <c r="H6" s="260" t="s">
        <v>745</v>
      </c>
      <c r="I6" s="260" t="s">
        <v>746</v>
      </c>
      <c r="J6" s="260" t="s">
        <v>747</v>
      </c>
      <c r="K6" s="260" t="s">
        <v>748</v>
      </c>
      <c r="L6" s="260" t="s">
        <v>749</v>
      </c>
      <c r="M6" s="260" t="s">
        <v>750</v>
      </c>
      <c r="N6" s="260" t="s">
        <v>751</v>
      </c>
      <c r="O6" s="260" t="s">
        <v>752</v>
      </c>
      <c r="P6" s="260" t="s">
        <v>753</v>
      </c>
      <c r="Q6" s="260" t="s">
        <v>754</v>
      </c>
      <c r="R6" s="260" t="s">
        <v>755</v>
      </c>
      <c r="S6" s="259"/>
      <c r="T6" s="259"/>
    </row>
    <row r="7" spans="1:20" ht="15" customHeight="1" thickBot="1">
      <c r="A7" s="170"/>
      <c r="B7" s="457" t="str">
        <f>+Master!G249</f>
        <v>Ostvarenje budžeta</v>
      </c>
      <c r="C7" s="438"/>
      <c r="D7" s="438"/>
      <c r="E7" s="438"/>
      <c r="F7" s="438"/>
      <c r="G7" s="446">
        <v>2017</v>
      </c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50"/>
      <c r="S7" s="261" t="str">
        <f>+Master!G246</f>
        <v>BDP</v>
      </c>
      <c r="T7" s="262">
        <v>3928500000</v>
      </c>
    </row>
    <row r="8" spans="1:20" ht="16.5" customHeight="1">
      <c r="A8" s="170"/>
      <c r="B8" s="439"/>
      <c r="C8" s="440"/>
      <c r="D8" s="440"/>
      <c r="E8" s="440"/>
      <c r="F8" s="441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6" t="str">
        <f>+Master!G243</f>
        <v>Jan - Feb</v>
      </c>
      <c r="T8" s="450"/>
    </row>
    <row r="9" spans="1:20" ht="13.5" thickBot="1">
      <c r="A9" s="170"/>
      <c r="B9" s="442"/>
      <c r="C9" s="443"/>
      <c r="D9" s="443"/>
      <c r="E9" s="443"/>
      <c r="F9" s="444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05" t="str">
        <f>+VLOOKUP($A10,Master!$D$25:$G$223,4,FALSE)</f>
        <v>Prihodi budžeta</v>
      </c>
      <c r="C10" s="406"/>
      <c r="D10" s="406"/>
      <c r="E10" s="406"/>
      <c r="F10" s="406"/>
      <c r="G10" s="177">
        <f t="shared" ref="G10:R10" si="1">+G11+G19+SUM(G24:G28)</f>
        <v>73650344.109999999</v>
      </c>
      <c r="H10" s="177">
        <f t="shared" si="1"/>
        <v>88762737.360000014</v>
      </c>
      <c r="I10" s="177">
        <f t="shared" si="1"/>
        <v>0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162413081.47000003</v>
      </c>
      <c r="T10" s="266">
        <f>+S10/$T$7</f>
        <v>4.1342263324424089E-2</v>
      </c>
    </row>
    <row r="11" spans="1:20">
      <c r="A11" s="176">
        <v>711</v>
      </c>
      <c r="B11" s="407" t="str">
        <f>+VLOOKUP($A11,Master!$D$25:$G$223,4,FALSE)</f>
        <v>Porezi</v>
      </c>
      <c r="C11" s="408"/>
      <c r="D11" s="408"/>
      <c r="E11" s="408"/>
      <c r="F11" s="408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0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104127290.65000001</v>
      </c>
      <c r="T11" s="269">
        <f t="shared" ref="T11:T65" si="4">+S11/$T$7</f>
        <v>2.6505610449280896E-2</v>
      </c>
    </row>
    <row r="12" spans="1:20">
      <c r="A12" s="176">
        <v>7111</v>
      </c>
      <c r="B12" s="409" t="str">
        <f>+VLOOKUP($A12,Master!$D$25:$G$223,4,FALSE)</f>
        <v>Porez na dohodak fizičkih lica</v>
      </c>
      <c r="C12" s="410"/>
      <c r="D12" s="410"/>
      <c r="E12" s="410"/>
      <c r="F12" s="410"/>
      <c r="G12" s="189">
        <f>+INDEX(DataEx!$1:$1048576,MATCH('2017'!$A12,DataEx!$D:$D,0),MATCH('2017'!G$6,DataEx!$7:$7,0))</f>
        <v>3855468.97</v>
      </c>
      <c r="H12" s="189">
        <f>+INDEX(DataEx!$1:$1048576,MATCH('2017'!$A12,DataEx!$D:$D,0),MATCH('2017'!H$6,DataEx!$7:$7,0))</f>
        <v>7751521.5300000003</v>
      </c>
      <c r="I12" s="189">
        <f>+INDEX(DataEx!$1:$1048576,MATCH('2017'!$A12,DataEx!$D:$D,0),MATCH('2017'!I$6,DataEx!$7:$7,0))</f>
        <v>0</v>
      </c>
      <c r="J12" s="189">
        <f>+INDEX(DataEx!$1:$1048576,MATCH('2017'!$A12,DataEx!$D:$D,0),MATCH('2017'!J$6,DataEx!$7:$7,0))</f>
        <v>0</v>
      </c>
      <c r="K12" s="189">
        <f>+INDEX(DataEx!$1:$1048576,MATCH('2017'!$A12,DataEx!$D:$D,0),MATCH('2017'!K$6,DataEx!$7:$7,0))</f>
        <v>0</v>
      </c>
      <c r="L12" s="189">
        <f>+INDEX(DataEx!$1:$1048576,MATCH('2017'!$A12,DataEx!$D:$D,0),MATCH('2017'!L$6,DataEx!$7:$7,0))</f>
        <v>0</v>
      </c>
      <c r="M12" s="189">
        <f>+INDEX(DataEx!$1:$1048576,MATCH('2017'!$A12,DataEx!$D:$D,0),MATCH('2017'!M$6,DataEx!$7:$7,0))</f>
        <v>0</v>
      </c>
      <c r="N12" s="189">
        <f>+INDEX(DataEx!$1:$1048576,MATCH('2017'!$A12,DataEx!$D:$D,0),MATCH('2017'!N$6,DataEx!$7:$7,0))</f>
        <v>0</v>
      </c>
      <c r="O12" s="189">
        <f>+INDEX(DataEx!$1:$1048576,MATCH('2017'!$A12,DataEx!$D:$D,0),MATCH('2017'!O$6,DataEx!$7:$7,0))</f>
        <v>0</v>
      </c>
      <c r="P12" s="189">
        <f>+INDEX(DataEx!$1:$1048576,MATCH('2017'!$A12,DataEx!$D:$D,0),MATCH('2017'!P$6,DataEx!$7:$7,0))</f>
        <v>0</v>
      </c>
      <c r="Q12" s="189">
        <f>+INDEX(DataEx!$1:$1048576,MATCH('2017'!$A12,DataEx!$D:$D,0),MATCH('2017'!Q$6,DataEx!$7:$7,0))</f>
        <v>0</v>
      </c>
      <c r="R12" s="189">
        <f>+INDEX(DataEx!$1:$1048576,MATCH('2017'!$A12,DataEx!$D:$D,0),MATCH('2017'!R$6,DataEx!$7:$7,0))</f>
        <v>0</v>
      </c>
      <c r="S12" s="270">
        <f t="shared" si="3"/>
        <v>11606990.5</v>
      </c>
      <c r="T12" s="271">
        <f t="shared" si="4"/>
        <v>2.9545603920071275E-3</v>
      </c>
    </row>
    <row r="13" spans="1:20">
      <c r="A13" s="176">
        <v>7112</v>
      </c>
      <c r="B13" s="409" t="str">
        <f>+VLOOKUP($A13,Master!$D$25:$G$223,4,FALSE)</f>
        <v>Porez na dobit pravnih lica</v>
      </c>
      <c r="C13" s="410"/>
      <c r="D13" s="410"/>
      <c r="E13" s="410"/>
      <c r="F13" s="410"/>
      <c r="G13" s="189">
        <f>+INDEX(DataEx!$1:$1048576,MATCH('2017'!$A13,DataEx!$D:$D,0),MATCH('2017'!G$6,DataEx!$7:$7,0))</f>
        <v>632316.18999999994</v>
      </c>
      <c r="H13" s="189">
        <f>+INDEX(DataEx!$1:$1048576,MATCH('2017'!$A13,DataEx!$D:$D,0),MATCH('2017'!H$6,DataEx!$7:$7,0))</f>
        <v>1242026.04</v>
      </c>
      <c r="I13" s="189">
        <f>+INDEX(DataEx!$1:$1048576,MATCH('2017'!$A13,DataEx!$D:$D,0),MATCH('2017'!I$6,DataEx!$7:$7,0))</f>
        <v>0</v>
      </c>
      <c r="J13" s="189">
        <f>+INDEX(DataEx!$1:$1048576,MATCH('2017'!$A13,DataEx!$D:$D,0),MATCH('2017'!J$6,DataEx!$7:$7,0))</f>
        <v>0</v>
      </c>
      <c r="K13" s="189">
        <f>+INDEX(DataEx!$1:$1048576,MATCH('2017'!$A13,DataEx!$D:$D,0),MATCH('2017'!K$6,DataEx!$7:$7,0))</f>
        <v>0</v>
      </c>
      <c r="L13" s="189">
        <f>+INDEX(DataEx!$1:$1048576,MATCH('2017'!$A13,DataEx!$D:$D,0),MATCH('2017'!L$6,DataEx!$7:$7,0))</f>
        <v>0</v>
      </c>
      <c r="M13" s="189">
        <f>+INDEX(DataEx!$1:$1048576,MATCH('2017'!$A13,DataEx!$D:$D,0),MATCH('2017'!M$6,DataEx!$7:$7,0))</f>
        <v>0</v>
      </c>
      <c r="N13" s="189">
        <f>+INDEX(DataEx!$1:$1048576,MATCH('2017'!$A13,DataEx!$D:$D,0),MATCH('2017'!N$6,DataEx!$7:$7,0))</f>
        <v>0</v>
      </c>
      <c r="O13" s="189">
        <f>+INDEX(DataEx!$1:$1048576,MATCH('2017'!$A13,DataEx!$D:$D,0),MATCH('2017'!O$6,DataEx!$7:$7,0))</f>
        <v>0</v>
      </c>
      <c r="P13" s="189">
        <f>+INDEX(DataEx!$1:$1048576,MATCH('2017'!$A13,DataEx!$D:$D,0),MATCH('2017'!P$6,DataEx!$7:$7,0))</f>
        <v>0</v>
      </c>
      <c r="Q13" s="189">
        <f>+INDEX(DataEx!$1:$1048576,MATCH('2017'!$A13,DataEx!$D:$D,0),MATCH('2017'!Q$6,DataEx!$7:$7,0))</f>
        <v>0</v>
      </c>
      <c r="R13" s="189">
        <f>+INDEX(DataEx!$1:$1048576,MATCH('2017'!$A13,DataEx!$D:$D,0),MATCH('2017'!R$6,DataEx!$7:$7,0))</f>
        <v>0</v>
      </c>
      <c r="S13" s="270">
        <f t="shared" si="3"/>
        <v>1874342.23</v>
      </c>
      <c r="T13" s="271">
        <f t="shared" si="4"/>
        <v>4.7711396970854018E-4</v>
      </c>
    </row>
    <row r="14" spans="1:20">
      <c r="A14" s="176">
        <v>7113</v>
      </c>
      <c r="B14" s="409" t="str">
        <f>+VLOOKUP($A14,Master!$D$25:$G$223,4,FALSE)</f>
        <v>Porez na promet nepokretnosti</v>
      </c>
      <c r="C14" s="410"/>
      <c r="D14" s="410"/>
      <c r="E14" s="410"/>
      <c r="F14" s="410"/>
      <c r="G14" s="189">
        <f>+INDEX(DataEx!$1:$1048576,MATCH('2017'!$A14,DataEx!$D:$D,0),MATCH('2017'!G$6,DataEx!$7:$7,0))</f>
        <v>58790.3</v>
      </c>
      <c r="H14" s="189">
        <f>+INDEX(DataEx!$1:$1048576,MATCH('2017'!$A14,DataEx!$D:$D,0),MATCH('2017'!H$6,DataEx!$7:$7,0))</f>
        <v>107978.26</v>
      </c>
      <c r="I14" s="189">
        <f>+INDEX(DataEx!$1:$1048576,MATCH('2017'!$A14,DataEx!$D:$D,0),MATCH('2017'!I$6,DataEx!$7:$7,0))</f>
        <v>0</v>
      </c>
      <c r="J14" s="189">
        <f>+INDEX(DataEx!$1:$1048576,MATCH('2017'!$A14,DataEx!$D:$D,0),MATCH('2017'!J$6,DataEx!$7:$7,0))</f>
        <v>0</v>
      </c>
      <c r="K14" s="189">
        <f>+INDEX(DataEx!$1:$1048576,MATCH('2017'!$A14,DataEx!$D:$D,0),MATCH('2017'!K$6,DataEx!$7:$7,0))</f>
        <v>0</v>
      </c>
      <c r="L14" s="189">
        <f>+INDEX(DataEx!$1:$1048576,MATCH('2017'!$A14,DataEx!$D:$D,0),MATCH('2017'!L$6,DataEx!$7:$7,0))</f>
        <v>0</v>
      </c>
      <c r="M14" s="189">
        <f>+INDEX(DataEx!$1:$1048576,MATCH('2017'!$A14,DataEx!$D:$D,0),MATCH('2017'!M$6,DataEx!$7:$7,0))</f>
        <v>0</v>
      </c>
      <c r="N14" s="189">
        <f>+INDEX(DataEx!$1:$1048576,MATCH('2017'!$A14,DataEx!$D:$D,0),MATCH('2017'!N$6,DataEx!$7:$7,0))</f>
        <v>0</v>
      </c>
      <c r="O14" s="189">
        <f>+INDEX(DataEx!$1:$1048576,MATCH('2017'!$A14,DataEx!$D:$D,0),MATCH('2017'!O$6,DataEx!$7:$7,0))</f>
        <v>0</v>
      </c>
      <c r="P14" s="189">
        <f>+INDEX(DataEx!$1:$1048576,MATCH('2017'!$A14,DataEx!$D:$D,0),MATCH('2017'!P$6,DataEx!$7:$7,0))</f>
        <v>0</v>
      </c>
      <c r="Q14" s="189">
        <f>+INDEX(DataEx!$1:$1048576,MATCH('2017'!$A14,DataEx!$D:$D,0),MATCH('2017'!Q$6,DataEx!$7:$7,0))</f>
        <v>0</v>
      </c>
      <c r="R14" s="189">
        <f>+INDEX(DataEx!$1:$1048576,MATCH('2017'!$A14,DataEx!$D:$D,0),MATCH('2017'!R$6,DataEx!$7:$7,0))</f>
        <v>0</v>
      </c>
      <c r="S14" s="270">
        <f t="shared" si="3"/>
        <v>166768.56</v>
      </c>
      <c r="T14" s="271">
        <f t="shared" si="4"/>
        <v>4.245095074455899E-5</v>
      </c>
    </row>
    <row r="15" spans="1:20">
      <c r="A15" s="176">
        <v>7114</v>
      </c>
      <c r="B15" s="409" t="str">
        <f>+VLOOKUP($A15,Master!$D$25:$G$223,4,FALSE)</f>
        <v>Porez na dodatu vrijednost</v>
      </c>
      <c r="C15" s="410"/>
      <c r="D15" s="410"/>
      <c r="E15" s="410"/>
      <c r="F15" s="410"/>
      <c r="G15" s="189">
        <f>+INDEX(DataEx!$1:$1048576,MATCH('2017'!$A15,DataEx!$D:$D,0),MATCH('2017'!G$6,DataEx!$7:$7,0))</f>
        <v>33352018.879999999</v>
      </c>
      <c r="H15" s="189">
        <f>+INDEX(DataEx!$1:$1048576,MATCH('2017'!$A15,DataEx!$D:$D,0),MATCH('2017'!H$6,DataEx!$7:$7,0))</f>
        <v>26961493.609999999</v>
      </c>
      <c r="I15" s="189">
        <f>+INDEX(DataEx!$1:$1048576,MATCH('2017'!$A15,DataEx!$D:$D,0),MATCH('2017'!I$6,DataEx!$7:$7,0))</f>
        <v>0</v>
      </c>
      <c r="J15" s="189">
        <f>+INDEX(DataEx!$1:$1048576,MATCH('2017'!$A15,DataEx!$D:$D,0),MATCH('2017'!J$6,DataEx!$7:$7,0))</f>
        <v>0</v>
      </c>
      <c r="K15" s="189">
        <f>+INDEX(DataEx!$1:$1048576,MATCH('2017'!$A15,DataEx!$D:$D,0),MATCH('2017'!K$6,DataEx!$7:$7,0))</f>
        <v>0</v>
      </c>
      <c r="L15" s="189">
        <f>+INDEX(DataEx!$1:$1048576,MATCH('2017'!$A15,DataEx!$D:$D,0),MATCH('2017'!L$6,DataEx!$7:$7,0))</f>
        <v>0</v>
      </c>
      <c r="M15" s="189">
        <f>+INDEX(DataEx!$1:$1048576,MATCH('2017'!$A15,DataEx!$D:$D,0),MATCH('2017'!M$6,DataEx!$7:$7,0))</f>
        <v>0</v>
      </c>
      <c r="N15" s="189">
        <f>+INDEX(DataEx!$1:$1048576,MATCH('2017'!$A15,DataEx!$D:$D,0),MATCH('2017'!N$6,DataEx!$7:$7,0))</f>
        <v>0</v>
      </c>
      <c r="O15" s="189">
        <f>+INDEX(DataEx!$1:$1048576,MATCH('2017'!$A15,DataEx!$D:$D,0),MATCH('2017'!O$6,DataEx!$7:$7,0))</f>
        <v>0</v>
      </c>
      <c r="P15" s="189">
        <f>+INDEX(DataEx!$1:$1048576,MATCH('2017'!$A15,DataEx!$D:$D,0),MATCH('2017'!P$6,DataEx!$7:$7,0))</f>
        <v>0</v>
      </c>
      <c r="Q15" s="189">
        <f>+INDEX(DataEx!$1:$1048576,MATCH('2017'!$A15,DataEx!$D:$D,0),MATCH('2017'!Q$6,DataEx!$7:$7,0))</f>
        <v>0</v>
      </c>
      <c r="R15" s="189">
        <f>+INDEX(DataEx!$1:$1048576,MATCH('2017'!$A15,DataEx!$D:$D,0),MATCH('2017'!R$6,DataEx!$7:$7,0))</f>
        <v>0</v>
      </c>
      <c r="S15" s="270">
        <f t="shared" si="3"/>
        <v>60313512.489999995</v>
      </c>
      <c r="T15" s="271">
        <f t="shared" si="4"/>
        <v>1.5352809593992617E-2</v>
      </c>
    </row>
    <row r="16" spans="1:20">
      <c r="A16" s="176">
        <v>7115</v>
      </c>
      <c r="B16" s="409" t="str">
        <f>+VLOOKUP($A16,Master!$D$25:$G$223,4,FALSE)</f>
        <v>Akcize</v>
      </c>
      <c r="C16" s="410"/>
      <c r="D16" s="410"/>
      <c r="E16" s="410"/>
      <c r="F16" s="410"/>
      <c r="G16" s="189">
        <f>+INDEX(DataEx!$1:$1048576,MATCH('2017'!$A16,DataEx!$D:$D,0),MATCH('2017'!G$6,DataEx!$7:$7,0))</f>
        <v>13972593.029999999</v>
      </c>
      <c r="H16" s="189">
        <f>+INDEX(DataEx!$1:$1048576,MATCH('2017'!$A16,DataEx!$D:$D,0),MATCH('2017'!H$6,DataEx!$7:$7,0))</f>
        <v>12356371.449999999</v>
      </c>
      <c r="I16" s="189">
        <f>+INDEX(DataEx!$1:$1048576,MATCH('2017'!$A16,DataEx!$D:$D,0),MATCH('2017'!I$6,DataEx!$7:$7,0))</f>
        <v>0</v>
      </c>
      <c r="J16" s="189">
        <f>+INDEX(DataEx!$1:$1048576,MATCH('2017'!$A16,DataEx!$D:$D,0),MATCH('2017'!J$6,DataEx!$7:$7,0))</f>
        <v>0</v>
      </c>
      <c r="K16" s="189">
        <f>+INDEX(DataEx!$1:$1048576,MATCH('2017'!$A16,DataEx!$D:$D,0),MATCH('2017'!K$6,DataEx!$7:$7,0))</f>
        <v>0</v>
      </c>
      <c r="L16" s="189">
        <f>+INDEX(DataEx!$1:$1048576,MATCH('2017'!$A16,DataEx!$D:$D,0),MATCH('2017'!L$6,DataEx!$7:$7,0))</f>
        <v>0</v>
      </c>
      <c r="M16" s="189">
        <f>+INDEX(DataEx!$1:$1048576,MATCH('2017'!$A16,DataEx!$D:$D,0),MATCH('2017'!M$6,DataEx!$7:$7,0))</f>
        <v>0</v>
      </c>
      <c r="N16" s="189">
        <f>+INDEX(DataEx!$1:$1048576,MATCH('2017'!$A16,DataEx!$D:$D,0),MATCH('2017'!N$6,DataEx!$7:$7,0))</f>
        <v>0</v>
      </c>
      <c r="O16" s="189">
        <f>+INDEX(DataEx!$1:$1048576,MATCH('2017'!$A16,DataEx!$D:$D,0),MATCH('2017'!O$6,DataEx!$7:$7,0))</f>
        <v>0</v>
      </c>
      <c r="P16" s="189">
        <f>+INDEX(DataEx!$1:$1048576,MATCH('2017'!$A16,DataEx!$D:$D,0),MATCH('2017'!P$6,DataEx!$7:$7,0))</f>
        <v>0</v>
      </c>
      <c r="Q16" s="189">
        <f>+INDEX(DataEx!$1:$1048576,MATCH('2017'!$A16,DataEx!$D:$D,0),MATCH('2017'!Q$6,DataEx!$7:$7,0))</f>
        <v>0</v>
      </c>
      <c r="R16" s="189">
        <f>+INDEX(DataEx!$1:$1048576,MATCH('2017'!$A16,DataEx!$D:$D,0),MATCH('2017'!R$6,DataEx!$7:$7,0))</f>
        <v>0</v>
      </c>
      <c r="S16" s="270">
        <f t="shared" si="3"/>
        <v>26328964.479999997</v>
      </c>
      <c r="T16" s="271">
        <f t="shared" si="4"/>
        <v>6.7020400865470276E-3</v>
      </c>
    </row>
    <row r="17" spans="1:25">
      <c r="A17" s="176">
        <v>7116</v>
      </c>
      <c r="B17" s="409" t="str">
        <f>+VLOOKUP($A17,Master!$D$25:$G$223,4,FALSE)</f>
        <v>Porez na međunarodnu trgovinu i transakcije</v>
      </c>
      <c r="C17" s="410"/>
      <c r="D17" s="410"/>
      <c r="E17" s="410"/>
      <c r="F17" s="410"/>
      <c r="G17" s="189">
        <f>+INDEX(DataEx!$1:$1048576,MATCH('2017'!$A17,DataEx!$D:$D,0),MATCH('2017'!G$6,DataEx!$7:$7,0))</f>
        <v>1071292.49</v>
      </c>
      <c r="H17" s="189">
        <f>+INDEX(DataEx!$1:$1048576,MATCH('2017'!$A17,DataEx!$D:$D,0),MATCH('2017'!H$6,DataEx!$7:$7,0))</f>
        <v>1596950.17</v>
      </c>
      <c r="I17" s="189">
        <f>+INDEX(DataEx!$1:$1048576,MATCH('2017'!$A17,DataEx!$D:$D,0),MATCH('2017'!I$6,DataEx!$7:$7,0))</f>
        <v>0</v>
      </c>
      <c r="J17" s="189">
        <f>+INDEX(DataEx!$1:$1048576,MATCH('2017'!$A17,DataEx!$D:$D,0),MATCH('2017'!J$6,DataEx!$7:$7,0))</f>
        <v>0</v>
      </c>
      <c r="K17" s="189">
        <f>+INDEX(DataEx!$1:$1048576,MATCH('2017'!$A17,DataEx!$D:$D,0),MATCH('2017'!K$6,DataEx!$7:$7,0))</f>
        <v>0</v>
      </c>
      <c r="L17" s="189">
        <f>+INDEX(DataEx!$1:$1048576,MATCH('2017'!$A17,DataEx!$D:$D,0),MATCH('2017'!L$6,DataEx!$7:$7,0))</f>
        <v>0</v>
      </c>
      <c r="M17" s="189">
        <f>+INDEX(DataEx!$1:$1048576,MATCH('2017'!$A17,DataEx!$D:$D,0),MATCH('2017'!M$6,DataEx!$7:$7,0))</f>
        <v>0</v>
      </c>
      <c r="N17" s="189">
        <f>+INDEX(DataEx!$1:$1048576,MATCH('2017'!$A17,DataEx!$D:$D,0),MATCH('2017'!N$6,DataEx!$7:$7,0))</f>
        <v>0</v>
      </c>
      <c r="O17" s="189">
        <f>+INDEX(DataEx!$1:$1048576,MATCH('2017'!$A17,DataEx!$D:$D,0),MATCH('2017'!O$6,DataEx!$7:$7,0))</f>
        <v>0</v>
      </c>
      <c r="P17" s="189">
        <f>+INDEX(DataEx!$1:$1048576,MATCH('2017'!$A17,DataEx!$D:$D,0),MATCH('2017'!P$6,DataEx!$7:$7,0))</f>
        <v>0</v>
      </c>
      <c r="Q17" s="189">
        <f>+INDEX(DataEx!$1:$1048576,MATCH('2017'!$A17,DataEx!$D:$D,0),MATCH('2017'!Q$6,DataEx!$7:$7,0))</f>
        <v>0</v>
      </c>
      <c r="R17" s="189">
        <f>+INDEX(DataEx!$1:$1048576,MATCH('2017'!$A17,DataEx!$D:$D,0),MATCH('2017'!R$6,DataEx!$7:$7,0))</f>
        <v>0</v>
      </c>
      <c r="S17" s="270">
        <f t="shared" si="3"/>
        <v>2668242.66</v>
      </c>
      <c r="T17" s="271">
        <f t="shared" si="4"/>
        <v>6.7920138984345173E-4</v>
      </c>
    </row>
    <row r="18" spans="1:25">
      <c r="A18" s="176">
        <v>7118</v>
      </c>
      <c r="B18" s="409" t="str">
        <f>+VLOOKUP($A18,Master!$D$25:$G$223,4,FALSE)</f>
        <v>Ostali državni porezi</v>
      </c>
      <c r="C18" s="410"/>
      <c r="D18" s="410"/>
      <c r="E18" s="410"/>
      <c r="F18" s="410"/>
      <c r="G18" s="189">
        <f>+INDEX(DataEx!$1:$1048576,MATCH('2017'!$A18,DataEx!$D:$D,0),MATCH('2017'!G$6,DataEx!$7:$7,0))</f>
        <v>569690.59</v>
      </c>
      <c r="H18" s="189">
        <f>+INDEX(DataEx!$1:$1048576,MATCH('2017'!$A18,DataEx!$D:$D,0),MATCH('2017'!H$6,DataEx!$7:$7,0))</f>
        <v>598779.14</v>
      </c>
      <c r="I18" s="189">
        <f>+INDEX(DataEx!$1:$1048576,MATCH('2017'!$A18,DataEx!$D:$D,0),MATCH('2017'!I$6,DataEx!$7:$7,0))</f>
        <v>0</v>
      </c>
      <c r="J18" s="189">
        <f>+INDEX(DataEx!$1:$1048576,MATCH('2017'!$A18,DataEx!$D:$D,0),MATCH('2017'!J$6,DataEx!$7:$7,0))</f>
        <v>0</v>
      </c>
      <c r="K18" s="189">
        <f>+INDEX(DataEx!$1:$1048576,MATCH('2017'!$A18,DataEx!$D:$D,0),MATCH('2017'!K$6,DataEx!$7:$7,0))</f>
        <v>0</v>
      </c>
      <c r="L18" s="189">
        <f>+INDEX(DataEx!$1:$1048576,MATCH('2017'!$A18,DataEx!$D:$D,0),MATCH('2017'!L$6,DataEx!$7:$7,0))</f>
        <v>0</v>
      </c>
      <c r="M18" s="189">
        <f>+INDEX(DataEx!$1:$1048576,MATCH('2017'!$A18,DataEx!$D:$D,0),MATCH('2017'!M$6,DataEx!$7:$7,0))</f>
        <v>0</v>
      </c>
      <c r="N18" s="189">
        <f>+INDEX(DataEx!$1:$1048576,MATCH('2017'!$A18,DataEx!$D:$D,0),MATCH('2017'!N$6,DataEx!$7:$7,0))</f>
        <v>0</v>
      </c>
      <c r="O18" s="189">
        <f>+INDEX(DataEx!$1:$1048576,MATCH('2017'!$A18,DataEx!$D:$D,0),MATCH('2017'!O$6,DataEx!$7:$7,0))</f>
        <v>0</v>
      </c>
      <c r="P18" s="189">
        <f>+INDEX(DataEx!$1:$1048576,MATCH('2017'!$A18,DataEx!$D:$D,0),MATCH('2017'!P$6,DataEx!$7:$7,0))</f>
        <v>0</v>
      </c>
      <c r="Q18" s="189">
        <f>+INDEX(DataEx!$1:$1048576,MATCH('2017'!$A18,DataEx!$D:$D,0),MATCH('2017'!Q$6,DataEx!$7:$7,0))</f>
        <v>0</v>
      </c>
      <c r="R18" s="189">
        <f>+INDEX(DataEx!$1:$1048576,MATCH('2017'!$A18,DataEx!$D:$D,0),MATCH('2017'!R$6,DataEx!$7:$7,0))</f>
        <v>0</v>
      </c>
      <c r="S18" s="270">
        <f t="shared" si="3"/>
        <v>1168469.73</v>
      </c>
      <c r="T18" s="271">
        <f t="shared" si="4"/>
        <v>2.974340664375716E-4</v>
      </c>
    </row>
    <row r="19" spans="1:25">
      <c r="A19" s="176">
        <v>712</v>
      </c>
      <c r="B19" s="413" t="str">
        <f>+VLOOKUP($A19,Master!$D$25:$G$223,4,FALSE)</f>
        <v>Doprinosi</v>
      </c>
      <c r="C19" s="414"/>
      <c r="D19" s="414"/>
      <c r="E19" s="414"/>
      <c r="F19" s="414"/>
      <c r="G19" s="195">
        <f>+INDEX(DataEx!$1:$1048576,MATCH('2017'!$A19,DataEx!$D:$D,0),MATCH('2017'!G$6,DataEx!$7:$7,0))</f>
        <v>15942566.910000002</v>
      </c>
      <c r="H19" s="195">
        <f>+INDEX(DataEx!$1:$1048576,MATCH('2017'!$A19,DataEx!$D:$D,0),MATCH('2017'!H$6,DataEx!$7:$7,0))</f>
        <v>32105522.039999999</v>
      </c>
      <c r="I19" s="195">
        <f>+INDEX(DataEx!$1:$1048576,MATCH('2017'!$A19,DataEx!$D:$D,0),MATCH('2017'!I$6,DataEx!$7:$7,0))</f>
        <v>0</v>
      </c>
      <c r="J19" s="195">
        <f>+INDEX(DataEx!$1:$1048576,MATCH('2017'!$A19,DataEx!$D:$D,0),MATCH('2017'!J$6,DataEx!$7:$7,0))</f>
        <v>0</v>
      </c>
      <c r="K19" s="195">
        <f>+INDEX(DataEx!$1:$1048576,MATCH('2017'!$A19,DataEx!$D:$D,0),MATCH('2017'!K$6,DataEx!$7:$7,0))</f>
        <v>0</v>
      </c>
      <c r="L19" s="195">
        <f>+INDEX(DataEx!$1:$1048576,MATCH('2017'!$A19,DataEx!$D:$D,0),MATCH('2017'!L$6,DataEx!$7:$7,0))</f>
        <v>0</v>
      </c>
      <c r="M19" s="195">
        <f>+INDEX(DataEx!$1:$1048576,MATCH('2017'!$A19,DataEx!$D:$D,0),MATCH('2017'!M$6,DataEx!$7:$7,0))</f>
        <v>0</v>
      </c>
      <c r="N19" s="195">
        <f>+INDEX(DataEx!$1:$1048576,MATCH('2017'!$A19,DataEx!$D:$D,0),MATCH('2017'!N$6,DataEx!$7:$7,0))</f>
        <v>0</v>
      </c>
      <c r="O19" s="195">
        <f>+INDEX(DataEx!$1:$1048576,MATCH('2017'!$A19,DataEx!$D:$D,0),MATCH('2017'!O$6,DataEx!$7:$7,0))</f>
        <v>0</v>
      </c>
      <c r="P19" s="195">
        <f>+INDEX(DataEx!$1:$1048576,MATCH('2017'!$A19,DataEx!$D:$D,0),MATCH('2017'!P$6,DataEx!$7:$7,0))</f>
        <v>0</v>
      </c>
      <c r="Q19" s="195">
        <f>+INDEX(DataEx!$1:$1048576,MATCH('2017'!$A19,DataEx!$D:$D,0),MATCH('2017'!Q$6,DataEx!$7:$7,0))</f>
        <v>0</v>
      </c>
      <c r="R19" s="195">
        <f>+INDEX(DataEx!$1:$1048576,MATCH('2017'!$A19,DataEx!$D:$D,0),MATCH('2017'!R$6,DataEx!$7:$7,0))</f>
        <v>0</v>
      </c>
      <c r="S19" s="273">
        <f t="shared" si="3"/>
        <v>48048088.950000003</v>
      </c>
      <c r="T19" s="274">
        <f t="shared" si="4"/>
        <v>1.2230645017182131E-2</v>
      </c>
    </row>
    <row r="20" spans="1:25">
      <c r="A20" s="176">
        <v>7121</v>
      </c>
      <c r="B20" s="409" t="str">
        <f>+VLOOKUP($A20,Master!$D$25:$G$223,4,FALSE)</f>
        <v>Doprinosi za penzijsko i invalidsko osiguranje</v>
      </c>
      <c r="C20" s="410"/>
      <c r="D20" s="410"/>
      <c r="E20" s="410"/>
      <c r="F20" s="410"/>
      <c r="G20" s="189">
        <f>+INDEX(DataEx!$1:$1048576,MATCH('2017'!$A20,DataEx!$D:$D,0),MATCH('2017'!G$6,DataEx!$7:$7,0))</f>
        <v>9612063.3000000007</v>
      </c>
      <c r="H20" s="189">
        <f>+INDEX(DataEx!$1:$1048576,MATCH('2017'!$A20,DataEx!$D:$D,0),MATCH('2017'!H$6,DataEx!$7:$7,0))</f>
        <v>19294210.57</v>
      </c>
      <c r="I20" s="189">
        <f>+INDEX(DataEx!$1:$1048576,MATCH('2017'!$A20,DataEx!$D:$D,0),MATCH('2017'!I$6,DataEx!$7:$7,0))</f>
        <v>0</v>
      </c>
      <c r="J20" s="189">
        <f>+INDEX(DataEx!$1:$1048576,MATCH('2017'!$A20,DataEx!$D:$D,0),MATCH('2017'!J$6,DataEx!$7:$7,0))</f>
        <v>0</v>
      </c>
      <c r="K20" s="189">
        <f>+INDEX(DataEx!$1:$1048576,MATCH('2017'!$A20,DataEx!$D:$D,0),MATCH('2017'!K$6,DataEx!$7:$7,0))</f>
        <v>0</v>
      </c>
      <c r="L20" s="189">
        <f>+INDEX(DataEx!$1:$1048576,MATCH('2017'!$A20,DataEx!$D:$D,0),MATCH('2017'!L$6,DataEx!$7:$7,0))</f>
        <v>0</v>
      </c>
      <c r="M20" s="189">
        <f>+INDEX(DataEx!$1:$1048576,MATCH('2017'!$A20,DataEx!$D:$D,0),MATCH('2017'!M$6,DataEx!$7:$7,0))</f>
        <v>0</v>
      </c>
      <c r="N20" s="189">
        <f>+INDEX(DataEx!$1:$1048576,MATCH('2017'!$A20,DataEx!$D:$D,0),MATCH('2017'!N$6,DataEx!$7:$7,0))</f>
        <v>0</v>
      </c>
      <c r="O20" s="189">
        <f>+INDEX(DataEx!$1:$1048576,MATCH('2017'!$A20,DataEx!$D:$D,0),MATCH('2017'!O$6,DataEx!$7:$7,0))</f>
        <v>0</v>
      </c>
      <c r="P20" s="189">
        <f>+INDEX(DataEx!$1:$1048576,MATCH('2017'!$A20,DataEx!$D:$D,0),MATCH('2017'!P$6,DataEx!$7:$7,0))</f>
        <v>0</v>
      </c>
      <c r="Q20" s="189">
        <f>+INDEX(DataEx!$1:$1048576,MATCH('2017'!$A20,DataEx!$D:$D,0),MATCH('2017'!Q$6,DataEx!$7:$7,0))</f>
        <v>0</v>
      </c>
      <c r="R20" s="189">
        <f>+INDEX(DataEx!$1:$1048576,MATCH('2017'!$A20,DataEx!$D:$D,0),MATCH('2017'!R$6,DataEx!$7:$7,0))</f>
        <v>0</v>
      </c>
      <c r="S20" s="270">
        <f t="shared" si="3"/>
        <v>28906273.870000001</v>
      </c>
      <c r="T20" s="271">
        <f t="shared" si="4"/>
        <v>7.3580944049891819E-3</v>
      </c>
    </row>
    <row r="21" spans="1:25">
      <c r="A21" s="176">
        <v>7122</v>
      </c>
      <c r="B21" s="409" t="str">
        <f>+VLOOKUP($A21,Master!$D$25:$G$223,4,FALSE)</f>
        <v>Doprinosi za zdravstveno osiguranje</v>
      </c>
      <c r="C21" s="410"/>
      <c r="D21" s="410"/>
      <c r="E21" s="410"/>
      <c r="F21" s="410"/>
      <c r="G21" s="189">
        <f>+INDEX(DataEx!$1:$1048576,MATCH('2017'!$A21,DataEx!$D:$D,0),MATCH('2017'!G$6,DataEx!$7:$7,0))</f>
        <v>5487815.8700000001</v>
      </c>
      <c r="H21" s="189">
        <f>+INDEX(DataEx!$1:$1048576,MATCH('2017'!$A21,DataEx!$D:$D,0),MATCH('2017'!H$6,DataEx!$7:$7,0))</f>
        <v>11136277.539999999</v>
      </c>
      <c r="I21" s="189">
        <f>+INDEX(DataEx!$1:$1048576,MATCH('2017'!$A21,DataEx!$D:$D,0),MATCH('2017'!I$6,DataEx!$7:$7,0))</f>
        <v>0</v>
      </c>
      <c r="J21" s="189">
        <f>+INDEX(DataEx!$1:$1048576,MATCH('2017'!$A21,DataEx!$D:$D,0),MATCH('2017'!J$6,DataEx!$7:$7,0))</f>
        <v>0</v>
      </c>
      <c r="K21" s="189">
        <f>+INDEX(DataEx!$1:$1048576,MATCH('2017'!$A21,DataEx!$D:$D,0),MATCH('2017'!K$6,DataEx!$7:$7,0))</f>
        <v>0</v>
      </c>
      <c r="L21" s="189">
        <f>+INDEX(DataEx!$1:$1048576,MATCH('2017'!$A21,DataEx!$D:$D,0),MATCH('2017'!L$6,DataEx!$7:$7,0))</f>
        <v>0</v>
      </c>
      <c r="M21" s="189">
        <f>+INDEX(DataEx!$1:$1048576,MATCH('2017'!$A21,DataEx!$D:$D,0),MATCH('2017'!M$6,DataEx!$7:$7,0))</f>
        <v>0</v>
      </c>
      <c r="N21" s="189">
        <f>+INDEX(DataEx!$1:$1048576,MATCH('2017'!$A21,DataEx!$D:$D,0),MATCH('2017'!N$6,DataEx!$7:$7,0))</f>
        <v>0</v>
      </c>
      <c r="O21" s="189">
        <f>+INDEX(DataEx!$1:$1048576,MATCH('2017'!$A21,DataEx!$D:$D,0),MATCH('2017'!O$6,DataEx!$7:$7,0))</f>
        <v>0</v>
      </c>
      <c r="P21" s="189">
        <f>+INDEX(DataEx!$1:$1048576,MATCH('2017'!$A21,DataEx!$D:$D,0),MATCH('2017'!P$6,DataEx!$7:$7,0))</f>
        <v>0</v>
      </c>
      <c r="Q21" s="189">
        <f>+INDEX(DataEx!$1:$1048576,MATCH('2017'!$A21,DataEx!$D:$D,0),MATCH('2017'!Q$6,DataEx!$7:$7,0))</f>
        <v>0</v>
      </c>
      <c r="R21" s="189">
        <f>+INDEX(DataEx!$1:$1048576,MATCH('2017'!$A21,DataEx!$D:$D,0),MATCH('2017'!R$6,DataEx!$7:$7,0))</f>
        <v>0</v>
      </c>
      <c r="S21" s="270">
        <f t="shared" si="3"/>
        <v>16624093.41</v>
      </c>
      <c r="T21" s="271">
        <f t="shared" si="4"/>
        <v>4.2316643528064147E-3</v>
      </c>
    </row>
    <row r="22" spans="1:25">
      <c r="A22" s="176">
        <v>7123</v>
      </c>
      <c r="B22" s="409" t="str">
        <f>+VLOOKUP($A22,Master!$D$25:$G$223,4,FALSE)</f>
        <v>Doprinosi za osiguranje od nezaposlenosti</v>
      </c>
      <c r="C22" s="410"/>
      <c r="D22" s="410"/>
      <c r="E22" s="410"/>
      <c r="F22" s="410"/>
      <c r="G22" s="189">
        <f>+INDEX(DataEx!$1:$1048576,MATCH('2017'!$A22,DataEx!$D:$D,0),MATCH('2017'!G$6,DataEx!$7:$7,0))</f>
        <v>436423.06</v>
      </c>
      <c r="H22" s="189">
        <f>+INDEX(DataEx!$1:$1048576,MATCH('2017'!$A22,DataEx!$D:$D,0),MATCH('2017'!H$6,DataEx!$7:$7,0))</f>
        <v>884778.14</v>
      </c>
      <c r="I22" s="189">
        <f>+INDEX(DataEx!$1:$1048576,MATCH('2017'!$A22,DataEx!$D:$D,0),MATCH('2017'!I$6,DataEx!$7:$7,0))</f>
        <v>0</v>
      </c>
      <c r="J22" s="189">
        <f>+INDEX(DataEx!$1:$1048576,MATCH('2017'!$A22,DataEx!$D:$D,0),MATCH('2017'!J$6,DataEx!$7:$7,0))</f>
        <v>0</v>
      </c>
      <c r="K22" s="189">
        <f>+INDEX(DataEx!$1:$1048576,MATCH('2017'!$A22,DataEx!$D:$D,0),MATCH('2017'!K$6,DataEx!$7:$7,0))</f>
        <v>0</v>
      </c>
      <c r="L22" s="189">
        <f>+INDEX(DataEx!$1:$1048576,MATCH('2017'!$A22,DataEx!$D:$D,0),MATCH('2017'!L$6,DataEx!$7:$7,0))</f>
        <v>0</v>
      </c>
      <c r="M22" s="189">
        <f>+INDEX(DataEx!$1:$1048576,MATCH('2017'!$A22,DataEx!$D:$D,0),MATCH('2017'!M$6,DataEx!$7:$7,0))</f>
        <v>0</v>
      </c>
      <c r="N22" s="189">
        <f>+INDEX(DataEx!$1:$1048576,MATCH('2017'!$A22,DataEx!$D:$D,0),MATCH('2017'!N$6,DataEx!$7:$7,0))</f>
        <v>0</v>
      </c>
      <c r="O22" s="189">
        <f>+INDEX(DataEx!$1:$1048576,MATCH('2017'!$A22,DataEx!$D:$D,0),MATCH('2017'!O$6,DataEx!$7:$7,0))</f>
        <v>0</v>
      </c>
      <c r="P22" s="189">
        <f>+INDEX(DataEx!$1:$1048576,MATCH('2017'!$A22,DataEx!$D:$D,0),MATCH('2017'!P$6,DataEx!$7:$7,0))</f>
        <v>0</v>
      </c>
      <c r="Q22" s="189">
        <f>+INDEX(DataEx!$1:$1048576,MATCH('2017'!$A22,DataEx!$D:$D,0),MATCH('2017'!Q$6,DataEx!$7:$7,0))</f>
        <v>0</v>
      </c>
      <c r="R22" s="189">
        <f>+INDEX(DataEx!$1:$1048576,MATCH('2017'!$A22,DataEx!$D:$D,0),MATCH('2017'!R$6,DataEx!$7:$7,0))</f>
        <v>0</v>
      </c>
      <c r="S22" s="270">
        <f t="shared" si="3"/>
        <v>1321201.2</v>
      </c>
      <c r="T22" s="271">
        <f t="shared" si="4"/>
        <v>3.3631187476135927E-4</v>
      </c>
    </row>
    <row r="23" spans="1:25">
      <c r="A23" s="176">
        <v>7124</v>
      </c>
      <c r="B23" s="409" t="str">
        <f>+VLOOKUP($A23,Master!$D$25:$G$223,4,FALSE)</f>
        <v>Ostali doprinosi</v>
      </c>
      <c r="C23" s="410"/>
      <c r="D23" s="410"/>
      <c r="E23" s="410"/>
      <c r="F23" s="410"/>
      <c r="G23" s="189">
        <f>+INDEX(DataEx!$1:$1048576,MATCH('2017'!$A23,DataEx!$D:$D,0),MATCH('2017'!G$6,DataEx!$7:$7,0))</f>
        <v>406264.68</v>
      </c>
      <c r="H23" s="189">
        <f>+INDEX(DataEx!$1:$1048576,MATCH('2017'!$A23,DataEx!$D:$D,0),MATCH('2017'!H$6,DataEx!$7:$7,0))</f>
        <v>790255.79</v>
      </c>
      <c r="I23" s="189">
        <f>+INDEX(DataEx!$1:$1048576,MATCH('2017'!$A23,DataEx!$D:$D,0),MATCH('2017'!I$6,DataEx!$7:$7,0))</f>
        <v>0</v>
      </c>
      <c r="J23" s="189">
        <f>+INDEX(DataEx!$1:$1048576,MATCH('2017'!$A23,DataEx!$D:$D,0),MATCH('2017'!J$6,DataEx!$7:$7,0))</f>
        <v>0</v>
      </c>
      <c r="K23" s="189">
        <f>+INDEX(DataEx!$1:$1048576,MATCH('2017'!$A23,DataEx!$D:$D,0),MATCH('2017'!K$6,DataEx!$7:$7,0))</f>
        <v>0</v>
      </c>
      <c r="L23" s="189">
        <f>+INDEX(DataEx!$1:$1048576,MATCH('2017'!$A23,DataEx!$D:$D,0),MATCH('2017'!L$6,DataEx!$7:$7,0))</f>
        <v>0</v>
      </c>
      <c r="M23" s="189">
        <f>+INDEX(DataEx!$1:$1048576,MATCH('2017'!$A23,DataEx!$D:$D,0),MATCH('2017'!M$6,DataEx!$7:$7,0))</f>
        <v>0</v>
      </c>
      <c r="N23" s="189">
        <f>+INDEX(DataEx!$1:$1048576,MATCH('2017'!$A23,DataEx!$D:$D,0),MATCH('2017'!N$6,DataEx!$7:$7,0))</f>
        <v>0</v>
      </c>
      <c r="O23" s="189">
        <f>+INDEX(DataEx!$1:$1048576,MATCH('2017'!$A23,DataEx!$D:$D,0),MATCH('2017'!O$6,DataEx!$7:$7,0))</f>
        <v>0</v>
      </c>
      <c r="P23" s="189">
        <f>+INDEX(DataEx!$1:$1048576,MATCH('2017'!$A23,DataEx!$D:$D,0),MATCH('2017'!P$6,DataEx!$7:$7,0))</f>
        <v>0</v>
      </c>
      <c r="Q23" s="189">
        <f>+INDEX(DataEx!$1:$1048576,MATCH('2017'!$A23,DataEx!$D:$D,0),MATCH('2017'!Q$6,DataEx!$7:$7,0))</f>
        <v>0</v>
      </c>
      <c r="R23" s="189">
        <f>+INDEX(DataEx!$1:$1048576,MATCH('2017'!$A23,DataEx!$D:$D,0),MATCH('2017'!R$6,DataEx!$7:$7,0))</f>
        <v>0</v>
      </c>
      <c r="S23" s="270">
        <f t="shared" si="3"/>
        <v>1196520.47</v>
      </c>
      <c r="T23" s="271">
        <f t="shared" si="4"/>
        <v>3.0457438462517497E-4</v>
      </c>
      <c r="Y23" s="380"/>
    </row>
    <row r="24" spans="1:25">
      <c r="A24" s="176">
        <v>713</v>
      </c>
      <c r="B24" s="411" t="str">
        <f>+VLOOKUP($A24,Master!$D$25:$G$223,4,FALSE)</f>
        <v>Takse</v>
      </c>
      <c r="C24" s="412"/>
      <c r="D24" s="412"/>
      <c r="E24" s="412"/>
      <c r="F24" s="412"/>
      <c r="G24" s="201">
        <f>+INDEX(DataEx!$1:$1048576,MATCH('2017'!$A24,DataEx!$D:$D,0),MATCH('2017'!G$6,DataEx!$7:$7,0))</f>
        <v>550918.32999999996</v>
      </c>
      <c r="H24" s="201">
        <f>+INDEX(DataEx!$1:$1048576,MATCH('2017'!$A24,DataEx!$D:$D,0),MATCH('2017'!H$6,DataEx!$7:$7,0))</f>
        <v>772214.17</v>
      </c>
      <c r="I24" s="201">
        <f>+INDEX(DataEx!$1:$1048576,MATCH('2017'!$A24,DataEx!$D:$D,0),MATCH('2017'!I$6,DataEx!$7:$7,0))</f>
        <v>0</v>
      </c>
      <c r="J24" s="201">
        <f>+INDEX(DataEx!$1:$1048576,MATCH('2017'!$A24,DataEx!$D:$D,0),MATCH('2017'!J$6,DataEx!$7:$7,0))</f>
        <v>0</v>
      </c>
      <c r="K24" s="201">
        <f>+INDEX(DataEx!$1:$1048576,MATCH('2017'!$A24,DataEx!$D:$D,0),MATCH('2017'!K$6,DataEx!$7:$7,0))</f>
        <v>0</v>
      </c>
      <c r="L24" s="201">
        <f>+INDEX(DataEx!$1:$1048576,MATCH('2017'!$A24,DataEx!$D:$D,0),MATCH('2017'!L$6,DataEx!$7:$7,0))</f>
        <v>0</v>
      </c>
      <c r="M24" s="201">
        <f>+INDEX(DataEx!$1:$1048576,MATCH('2017'!$A24,DataEx!$D:$D,0),MATCH('2017'!M$6,DataEx!$7:$7,0))</f>
        <v>0</v>
      </c>
      <c r="N24" s="201">
        <f>+INDEX(DataEx!$1:$1048576,MATCH('2017'!$A24,DataEx!$D:$D,0),MATCH('2017'!N$6,DataEx!$7:$7,0))</f>
        <v>0</v>
      </c>
      <c r="O24" s="201">
        <f>+INDEX(DataEx!$1:$1048576,MATCH('2017'!$A24,DataEx!$D:$D,0),MATCH('2017'!O$6,DataEx!$7:$7,0))</f>
        <v>0</v>
      </c>
      <c r="P24" s="201">
        <f>+INDEX(DataEx!$1:$1048576,MATCH('2017'!$A24,DataEx!$D:$D,0),MATCH('2017'!P$6,DataEx!$7:$7,0))</f>
        <v>0</v>
      </c>
      <c r="Q24" s="201">
        <f>+INDEX(DataEx!$1:$1048576,MATCH('2017'!$A24,DataEx!$D:$D,0),MATCH('2017'!Q$6,DataEx!$7:$7,0))</f>
        <v>0</v>
      </c>
      <c r="R24" s="275">
        <f>+INDEX(DataEx!$1:$1048576,MATCH('2017'!$A24,DataEx!$D:$D,0),MATCH('2017'!R$6,DataEx!$7:$7,0))</f>
        <v>0</v>
      </c>
      <c r="S24" s="273">
        <f t="shared" si="3"/>
        <v>1323132.5</v>
      </c>
      <c r="T24" s="274">
        <f t="shared" si="4"/>
        <v>3.3680348733613341E-4</v>
      </c>
      <c r="Y24" s="380"/>
    </row>
    <row r="25" spans="1:25">
      <c r="A25" s="176">
        <v>714</v>
      </c>
      <c r="B25" s="411" t="str">
        <f>+VLOOKUP($A25,Master!$D$25:$G$223,4,FALSE)</f>
        <v>Naknade</v>
      </c>
      <c r="C25" s="412"/>
      <c r="D25" s="412"/>
      <c r="E25" s="412"/>
      <c r="F25" s="412"/>
      <c r="G25" s="201">
        <f>+INDEX(DataEx!$1:$1048576,MATCH('2017'!$A25,DataEx!$D:$D,0),MATCH('2017'!G$6,DataEx!$7:$7,0))</f>
        <v>1745843.13</v>
      </c>
      <c r="H25" s="201">
        <f>+INDEX(DataEx!$1:$1048576,MATCH('2017'!$A25,DataEx!$D:$D,0),MATCH('2017'!H$6,DataEx!$7:$7,0))</f>
        <v>1287615.1399999999</v>
      </c>
      <c r="I25" s="201">
        <f>+INDEX(DataEx!$1:$1048576,MATCH('2017'!$A25,DataEx!$D:$D,0),MATCH('2017'!I$6,DataEx!$7:$7,0))</f>
        <v>0</v>
      </c>
      <c r="J25" s="201">
        <f>+INDEX(DataEx!$1:$1048576,MATCH('2017'!$A25,DataEx!$D:$D,0),MATCH('2017'!J$6,DataEx!$7:$7,0))</f>
        <v>0</v>
      </c>
      <c r="K25" s="201">
        <f>+INDEX(DataEx!$1:$1048576,MATCH('2017'!$A25,DataEx!$D:$D,0),MATCH('2017'!K$6,DataEx!$7:$7,0))</f>
        <v>0</v>
      </c>
      <c r="L25" s="201">
        <f>+INDEX(DataEx!$1:$1048576,MATCH('2017'!$A25,DataEx!$D:$D,0),MATCH('2017'!L$6,DataEx!$7:$7,0))</f>
        <v>0</v>
      </c>
      <c r="M25" s="201">
        <f>+INDEX(DataEx!$1:$1048576,MATCH('2017'!$A25,DataEx!$D:$D,0),MATCH('2017'!M$6,DataEx!$7:$7,0))</f>
        <v>0</v>
      </c>
      <c r="N25" s="201">
        <f>+INDEX(DataEx!$1:$1048576,MATCH('2017'!$A25,DataEx!$D:$D,0),MATCH('2017'!N$6,DataEx!$7:$7,0))</f>
        <v>0</v>
      </c>
      <c r="O25" s="201">
        <f>+INDEX(DataEx!$1:$1048576,MATCH('2017'!$A25,DataEx!$D:$D,0),MATCH('2017'!O$6,DataEx!$7:$7,0))</f>
        <v>0</v>
      </c>
      <c r="P25" s="201">
        <f>+INDEX(DataEx!$1:$1048576,MATCH('2017'!$A25,DataEx!$D:$D,0),MATCH('2017'!P$6,DataEx!$7:$7,0))</f>
        <v>0</v>
      </c>
      <c r="Q25" s="201">
        <f>+INDEX(DataEx!$1:$1048576,MATCH('2017'!$A25,DataEx!$D:$D,0),MATCH('2017'!Q$6,DataEx!$7:$7,0))</f>
        <v>0</v>
      </c>
      <c r="R25" s="275">
        <f>+INDEX(DataEx!$1:$1048576,MATCH('2017'!$A25,DataEx!$D:$D,0),MATCH('2017'!R$6,DataEx!$7:$7,0))</f>
        <v>0</v>
      </c>
      <c r="S25" s="273">
        <f t="shared" si="3"/>
        <v>3033458.2699999996</v>
      </c>
      <c r="T25" s="274">
        <f t="shared" si="4"/>
        <v>7.7216705358279232E-4</v>
      </c>
      <c r="W25" s="367"/>
    </row>
    <row r="26" spans="1:25">
      <c r="A26" s="176">
        <v>715</v>
      </c>
      <c r="B26" s="411" t="str">
        <f>+VLOOKUP($A26,Master!$D$25:$G$223,4,FALSE)</f>
        <v>Ostali prihodi</v>
      </c>
      <c r="C26" s="412"/>
      <c r="D26" s="412"/>
      <c r="E26" s="412"/>
      <c r="F26" s="412"/>
      <c r="G26" s="201">
        <f>+INDEX(DataEx!$1:$1048576,MATCH('2017'!$A26,DataEx!$D:$D,0),MATCH('2017'!G$6,DataEx!$7:$7,0))</f>
        <v>1549592.16</v>
      </c>
      <c r="H26" s="201">
        <f>+INDEX(DataEx!$1:$1048576,MATCH('2017'!$A26,DataEx!$D:$D,0),MATCH('2017'!H$6,DataEx!$7:$7,0))</f>
        <v>2362532.17</v>
      </c>
      <c r="I26" s="201">
        <f>+INDEX(DataEx!$1:$1048576,MATCH('2017'!$A26,DataEx!$D:$D,0),MATCH('2017'!I$6,DataEx!$7:$7,0))</f>
        <v>0</v>
      </c>
      <c r="J26" s="201">
        <f>+INDEX(DataEx!$1:$1048576,MATCH('2017'!$A26,DataEx!$D:$D,0),MATCH('2017'!J$6,DataEx!$7:$7,0))</f>
        <v>0</v>
      </c>
      <c r="K26" s="201">
        <f>+INDEX(DataEx!$1:$1048576,MATCH('2017'!$A26,DataEx!$D:$D,0),MATCH('2017'!K$6,DataEx!$7:$7,0))</f>
        <v>0</v>
      </c>
      <c r="L26" s="201">
        <f>+INDEX(DataEx!$1:$1048576,MATCH('2017'!$A26,DataEx!$D:$D,0),MATCH('2017'!L$6,DataEx!$7:$7,0))</f>
        <v>0</v>
      </c>
      <c r="M26" s="201">
        <f>+INDEX(DataEx!$1:$1048576,MATCH('2017'!$A26,DataEx!$D:$D,0),MATCH('2017'!M$6,DataEx!$7:$7,0))</f>
        <v>0</v>
      </c>
      <c r="N26" s="201">
        <f>+INDEX(DataEx!$1:$1048576,MATCH('2017'!$A26,DataEx!$D:$D,0),MATCH('2017'!N$6,DataEx!$7:$7,0))</f>
        <v>0</v>
      </c>
      <c r="O26" s="201">
        <f>+INDEX(DataEx!$1:$1048576,MATCH('2017'!$A26,DataEx!$D:$D,0),MATCH('2017'!O$6,DataEx!$7:$7,0))</f>
        <v>0</v>
      </c>
      <c r="P26" s="201">
        <f>+INDEX(DataEx!$1:$1048576,MATCH('2017'!$A26,DataEx!$D:$D,0),MATCH('2017'!P$6,DataEx!$7:$7,0))</f>
        <v>0</v>
      </c>
      <c r="Q26" s="201">
        <f>+INDEX(DataEx!$1:$1048576,MATCH('2017'!$A26,DataEx!$D:$D,0),MATCH('2017'!Q$6,DataEx!$7:$7,0))</f>
        <v>0</v>
      </c>
      <c r="R26" s="275">
        <f>+INDEX(DataEx!$1:$1048576,MATCH('2017'!$A26,DataEx!$D:$D,0),MATCH('2017'!R$6,DataEx!$7:$7,0))</f>
        <v>0</v>
      </c>
      <c r="S26" s="273">
        <f t="shared" si="3"/>
        <v>3912124.33</v>
      </c>
      <c r="T26" s="274">
        <f t="shared" si="4"/>
        <v>9.9583157184676089E-4</v>
      </c>
    </row>
    <row r="27" spans="1:25">
      <c r="A27" s="176">
        <v>73</v>
      </c>
      <c r="B27" s="411" t="str">
        <f>+VLOOKUP($A27,Master!$D$25:$G$223,4,FALSE)</f>
        <v>Primici od otplate kredita i sredstva prenesena iz prethodne godine</v>
      </c>
      <c r="C27" s="412"/>
      <c r="D27" s="412"/>
      <c r="E27" s="412"/>
      <c r="F27" s="412"/>
      <c r="G27" s="201">
        <f>+INDEX(DataEx!$1:$1048576,MATCH('2017'!$A27,DataEx!$D:$D,0),MATCH('2017'!G$6,DataEx!$7:$7,0))</f>
        <v>150350.67000000001</v>
      </c>
      <c r="H27" s="201">
        <f>+INDEX(DataEx!$1:$1048576,MATCH('2017'!$A27,DataEx!$D:$D,0),MATCH('2017'!H$6,DataEx!$7:$7,0))</f>
        <v>500193.46</v>
      </c>
      <c r="I27" s="201">
        <f>+INDEX(DataEx!$1:$1048576,MATCH('2017'!$A27,DataEx!$D:$D,0),MATCH('2017'!I$6,DataEx!$7:$7,0))</f>
        <v>0</v>
      </c>
      <c r="J27" s="201">
        <f>+INDEX(DataEx!$1:$1048576,MATCH('2017'!$A27,DataEx!$D:$D,0),MATCH('2017'!J$6,DataEx!$7:$7,0))</f>
        <v>0</v>
      </c>
      <c r="K27" s="201">
        <f>+INDEX(DataEx!$1:$1048576,MATCH('2017'!$A27,DataEx!$D:$D,0),MATCH('2017'!K$6,DataEx!$7:$7,0))</f>
        <v>0</v>
      </c>
      <c r="L27" s="201">
        <f>+INDEX(DataEx!$1:$1048576,MATCH('2017'!$A27,DataEx!$D:$D,0),MATCH('2017'!L$6,DataEx!$7:$7,0))</f>
        <v>0</v>
      </c>
      <c r="M27" s="201">
        <f>+INDEX(DataEx!$1:$1048576,MATCH('2017'!$A27,DataEx!$D:$D,0),MATCH('2017'!M$6,DataEx!$7:$7,0))</f>
        <v>0</v>
      </c>
      <c r="N27" s="201">
        <f>+INDEX(DataEx!$1:$1048576,MATCH('2017'!$A27,DataEx!$D:$D,0),MATCH('2017'!N$6,DataEx!$7:$7,0))</f>
        <v>0</v>
      </c>
      <c r="O27" s="201">
        <f>+INDEX(DataEx!$1:$1048576,MATCH('2017'!$A27,DataEx!$D:$D,0),MATCH('2017'!O$6,DataEx!$7:$7,0))</f>
        <v>0</v>
      </c>
      <c r="P27" s="201">
        <f>+INDEX(DataEx!$1:$1048576,MATCH('2017'!$A27,DataEx!$D:$D,0),MATCH('2017'!P$6,DataEx!$7:$7,0))</f>
        <v>0</v>
      </c>
      <c r="Q27" s="201">
        <f>+INDEX(DataEx!$1:$1048576,MATCH('2017'!$A27,DataEx!$D:$D,0),MATCH('2017'!Q$6,DataEx!$7:$7,0))</f>
        <v>0</v>
      </c>
      <c r="R27" s="275">
        <f>+INDEX(DataEx!$1:$1048576,MATCH('2017'!$A27,DataEx!$D:$D,0),MATCH('2017'!R$6,DataEx!$7:$7,0))</f>
        <v>0</v>
      </c>
      <c r="S27" s="273">
        <f t="shared" si="3"/>
        <v>650544.13</v>
      </c>
      <c r="T27" s="274">
        <f t="shared" si="4"/>
        <v>1.6559606211022018E-4</v>
      </c>
    </row>
    <row r="28" spans="1:25" ht="13.5" thickBot="1">
      <c r="A28" s="176">
        <v>74</v>
      </c>
      <c r="B28" s="415" t="str">
        <f>+VLOOKUP($A28,Master!$D$25:$G$223,4,FALSE)</f>
        <v>Donacije i transferi</v>
      </c>
      <c r="C28" s="416"/>
      <c r="D28" s="416"/>
      <c r="E28" s="416"/>
      <c r="F28" s="416"/>
      <c r="G28" s="201">
        <f>+INDEX(DataEx!$1:$1048576,MATCH('2017'!$A28,DataEx!$D:$D,0),MATCH('2017'!G$6,DataEx!$7:$7,0))</f>
        <v>198902.46</v>
      </c>
      <c r="H28" s="201">
        <f>+INDEX(DataEx!$1:$1048576,MATCH('2017'!$A28,DataEx!$D:$D,0),MATCH('2017'!H$6,DataEx!$7:$7,0))</f>
        <v>1119540.18</v>
      </c>
      <c r="I28" s="201">
        <f>+INDEX(DataEx!$1:$1048576,MATCH('2017'!$A28,DataEx!$D:$D,0),MATCH('2017'!I$6,DataEx!$7:$7,0))</f>
        <v>0</v>
      </c>
      <c r="J28" s="201">
        <f>+INDEX(DataEx!$1:$1048576,MATCH('2017'!$A28,DataEx!$D:$D,0),MATCH('2017'!J$6,DataEx!$7:$7,0))</f>
        <v>0</v>
      </c>
      <c r="K28" s="201">
        <f>+INDEX(DataEx!$1:$1048576,MATCH('2017'!$A28,DataEx!$D:$D,0),MATCH('2017'!K$6,DataEx!$7:$7,0))</f>
        <v>0</v>
      </c>
      <c r="L28" s="201">
        <f>+INDEX(DataEx!$1:$1048576,MATCH('2017'!$A28,DataEx!$D:$D,0),MATCH('2017'!L$6,DataEx!$7:$7,0))</f>
        <v>0</v>
      </c>
      <c r="M28" s="201">
        <f>+INDEX(DataEx!$1:$1048576,MATCH('2017'!$A28,DataEx!$D:$D,0),MATCH('2017'!M$6,DataEx!$7:$7,0))</f>
        <v>0</v>
      </c>
      <c r="N28" s="201">
        <f>+INDEX(DataEx!$1:$1048576,MATCH('2017'!$A28,DataEx!$D:$D,0),MATCH('2017'!N$6,DataEx!$7:$7,0))</f>
        <v>0</v>
      </c>
      <c r="O28" s="201">
        <f>+INDEX(DataEx!$1:$1048576,MATCH('2017'!$A28,DataEx!$D:$D,0),MATCH('2017'!O$6,DataEx!$7:$7,0))</f>
        <v>0</v>
      </c>
      <c r="P28" s="201">
        <f>+INDEX(DataEx!$1:$1048576,MATCH('2017'!$A28,DataEx!$D:$D,0),MATCH('2017'!P$6,DataEx!$7:$7,0))</f>
        <v>0</v>
      </c>
      <c r="Q28" s="201">
        <f>+INDEX(DataEx!$1:$1048576,MATCH('2017'!$A28,DataEx!$D:$D,0),MATCH('2017'!Q$6,DataEx!$7:$7,0))</f>
        <v>0</v>
      </c>
      <c r="R28" s="275">
        <f>+INDEX(DataEx!$1:$1048576,MATCH('2017'!$A28,DataEx!$D:$D,0),MATCH('2017'!R$6,DataEx!$7:$7,0))</f>
        <v>0</v>
      </c>
      <c r="S28" s="276">
        <f t="shared" si="3"/>
        <v>1318442.6399999999</v>
      </c>
      <c r="T28" s="277">
        <f t="shared" si="4"/>
        <v>3.3560968308514699E-4</v>
      </c>
    </row>
    <row r="29" spans="1:25" ht="13.5" thickBot="1">
      <c r="A29" s="176">
        <v>4</v>
      </c>
      <c r="B29" s="417" t="str">
        <f>+VLOOKUP($A29,Master!$D$25:$G$223,4,FALSE)</f>
        <v>Budžetki izdaci</v>
      </c>
      <c r="C29" s="418"/>
      <c r="D29" s="418"/>
      <c r="E29" s="418"/>
      <c r="F29" s="418"/>
      <c r="G29" s="177">
        <f>+G31+G42+G48+SUM(G49:G53)</f>
        <v>95291519.709999993</v>
      </c>
      <c r="H29" s="177">
        <f t="shared" ref="H29:R29" si="5">+H31+H42+H48+SUM(H49:H53)</f>
        <v>106508736.56999999</v>
      </c>
      <c r="I29" s="177">
        <f t="shared" si="5"/>
        <v>0</v>
      </c>
      <c r="J29" s="177">
        <f t="shared" si="5"/>
        <v>0</v>
      </c>
      <c r="K29" s="177">
        <f t="shared" si="5"/>
        <v>0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201800256.27999997</v>
      </c>
      <c r="T29" s="279">
        <f t="shared" si="4"/>
        <v>5.136827193076237E-2</v>
      </c>
    </row>
    <row r="30" spans="1:25" ht="13.5" thickBot="1">
      <c r="A30" s="176">
        <v>41</v>
      </c>
      <c r="B30" s="419" t="str">
        <f>+VLOOKUP($A30,Master!$D$25:$G$223,4,FALSE)</f>
        <v>Tekući izdaci</v>
      </c>
      <c r="C30" s="420"/>
      <c r="D30" s="420"/>
      <c r="E30" s="420"/>
      <c r="F30" s="420"/>
      <c r="G30" s="207">
        <f>+G29-G49</f>
        <v>95181875.269999996</v>
      </c>
      <c r="H30" s="207">
        <f t="shared" ref="H30:R30" si="6">+H29-H49</f>
        <v>105017146.22999999</v>
      </c>
      <c r="I30" s="207">
        <f t="shared" si="6"/>
        <v>0</v>
      </c>
      <c r="J30" s="207">
        <f t="shared" si="6"/>
        <v>0</v>
      </c>
      <c r="K30" s="207">
        <f t="shared" si="6"/>
        <v>0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200199021.5</v>
      </c>
      <c r="T30" s="281">
        <f t="shared" si="4"/>
        <v>5.096067748504518E-2</v>
      </c>
    </row>
    <row r="31" spans="1:25">
      <c r="A31" s="176">
        <v>40</v>
      </c>
      <c r="B31" s="421" t="str">
        <f>+VLOOKUP($A31,Master!$D$25:$G$223,4,FALSE)</f>
        <v>Tekući budžetski izdaci</v>
      </c>
      <c r="C31" s="422"/>
      <c r="D31" s="422"/>
      <c r="E31" s="422"/>
      <c r="F31" s="422"/>
      <c r="G31" s="213">
        <f>+SUM(G32:G41)</f>
        <v>43630080.390000001</v>
      </c>
      <c r="H31" s="213">
        <f t="shared" ref="H31:R31" si="7">+SUM(H32:H41)</f>
        <v>48410112.940000005</v>
      </c>
      <c r="I31" s="213">
        <f t="shared" si="7"/>
        <v>0</v>
      </c>
      <c r="J31" s="213">
        <f t="shared" si="7"/>
        <v>0</v>
      </c>
      <c r="K31" s="213">
        <f t="shared" si="7"/>
        <v>0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92040193.330000013</v>
      </c>
      <c r="T31" s="269">
        <f t="shared" si="4"/>
        <v>2.342883882652412E-2</v>
      </c>
    </row>
    <row r="32" spans="1:25">
      <c r="A32" s="176">
        <v>411</v>
      </c>
      <c r="B32" s="409" t="str">
        <f>+VLOOKUP($A32,Master!$D$25:$G$223,4,FALSE)</f>
        <v>Bruto zarade i doprinosi na teret poslodavca</v>
      </c>
      <c r="C32" s="410"/>
      <c r="D32" s="410"/>
      <c r="E32" s="410"/>
      <c r="F32" s="410"/>
      <c r="G32" s="189">
        <f>+INDEX(DataEx!$1:$1048576,MATCH('2017'!$A32,DataEx!$D:$D,0),MATCH('2017'!G$6,DataEx!$7:$7,0))</f>
        <v>36273856.270000003</v>
      </c>
      <c r="H32" s="189">
        <f>+INDEX(DataEx!$1:$1048576,MATCH('2017'!$A32,DataEx!$D:$D,0),MATCH('2017'!H$6,DataEx!$7:$7,0))</f>
        <v>36442747.460000001</v>
      </c>
      <c r="I32" s="189">
        <f>+INDEX(DataEx!$1:$1048576,MATCH('2017'!$A32,DataEx!$D:$D,0),MATCH('2017'!I$6,DataEx!$7:$7,0))</f>
        <v>0</v>
      </c>
      <c r="J32" s="189">
        <f>+INDEX(DataEx!$1:$1048576,MATCH('2017'!$A32,DataEx!$D:$D,0),MATCH('2017'!J$6,DataEx!$7:$7,0))</f>
        <v>0</v>
      </c>
      <c r="K32" s="189">
        <f>+INDEX(DataEx!$1:$1048576,MATCH('2017'!$A32,DataEx!$D:$D,0),MATCH('2017'!K$6,DataEx!$7:$7,0))</f>
        <v>0</v>
      </c>
      <c r="L32" s="189">
        <f>+INDEX(DataEx!$1:$1048576,MATCH('2017'!$A32,DataEx!$D:$D,0),MATCH('2017'!L$6,DataEx!$7:$7,0))</f>
        <v>0</v>
      </c>
      <c r="M32" s="189">
        <f>+INDEX(DataEx!$1:$1048576,MATCH('2017'!$A32,DataEx!$D:$D,0),MATCH('2017'!M$6,DataEx!$7:$7,0))</f>
        <v>0</v>
      </c>
      <c r="N32" s="189">
        <f>+INDEX(DataEx!$1:$1048576,MATCH('2017'!$A32,DataEx!$D:$D,0),MATCH('2017'!N$6,DataEx!$7:$7,0))</f>
        <v>0</v>
      </c>
      <c r="O32" s="189">
        <f>+INDEX(DataEx!$1:$1048576,MATCH('2017'!$A32,DataEx!$D:$D,0),MATCH('2017'!O$6,DataEx!$7:$7,0))</f>
        <v>0</v>
      </c>
      <c r="P32" s="189">
        <f>+INDEX(DataEx!$1:$1048576,MATCH('2017'!$A32,DataEx!$D:$D,0),MATCH('2017'!P$6,DataEx!$7:$7,0))</f>
        <v>0</v>
      </c>
      <c r="Q32" s="189">
        <f>+INDEX(DataEx!$1:$1048576,MATCH('2017'!$A32,DataEx!$D:$D,0),MATCH('2017'!Q$6,DataEx!$7:$7,0))</f>
        <v>0</v>
      </c>
      <c r="R32" s="189">
        <f>+INDEX(DataEx!$1:$1048576,MATCH('2017'!$A32,DataEx!$D:$D,0),MATCH('2017'!R$6,DataEx!$7:$7,0))</f>
        <v>0</v>
      </c>
      <c r="S32" s="270">
        <f t="shared" si="3"/>
        <v>72716603.730000004</v>
      </c>
      <c r="T32" s="271">
        <f t="shared" si="4"/>
        <v>1.8510017495227186E-2</v>
      </c>
    </row>
    <row r="33" spans="1:22">
      <c r="A33" s="176">
        <v>412</v>
      </c>
      <c r="B33" s="409" t="str">
        <f>+VLOOKUP($A33,Master!$D$25:$G$223,4,FALSE)</f>
        <v>Ostala lična primanja</v>
      </c>
      <c r="C33" s="410"/>
      <c r="D33" s="410"/>
      <c r="E33" s="410"/>
      <c r="F33" s="410"/>
      <c r="G33" s="189">
        <f>+INDEX(DataEx!$1:$1048576,MATCH('2017'!$A33,DataEx!$D:$D,0),MATCH('2017'!G$6,DataEx!$7:$7,0))</f>
        <v>70065.570000000007</v>
      </c>
      <c r="H33" s="189">
        <f>+INDEX(DataEx!$1:$1048576,MATCH('2017'!$A33,DataEx!$D:$D,0),MATCH('2017'!H$6,DataEx!$7:$7,0))</f>
        <v>920424.11</v>
      </c>
      <c r="I33" s="189">
        <f>+INDEX(DataEx!$1:$1048576,MATCH('2017'!$A33,DataEx!$D:$D,0),MATCH('2017'!I$6,DataEx!$7:$7,0))</f>
        <v>0</v>
      </c>
      <c r="J33" s="189">
        <f>+INDEX(DataEx!$1:$1048576,MATCH('2017'!$A33,DataEx!$D:$D,0),MATCH('2017'!J$6,DataEx!$7:$7,0))</f>
        <v>0</v>
      </c>
      <c r="K33" s="189">
        <f>+INDEX(DataEx!$1:$1048576,MATCH('2017'!$A33,DataEx!$D:$D,0),MATCH('2017'!K$6,DataEx!$7:$7,0))</f>
        <v>0</v>
      </c>
      <c r="L33" s="189">
        <f>+INDEX(DataEx!$1:$1048576,MATCH('2017'!$A33,DataEx!$D:$D,0),MATCH('2017'!L$6,DataEx!$7:$7,0))</f>
        <v>0</v>
      </c>
      <c r="M33" s="189">
        <f>+INDEX(DataEx!$1:$1048576,MATCH('2017'!$A33,DataEx!$D:$D,0),MATCH('2017'!M$6,DataEx!$7:$7,0))</f>
        <v>0</v>
      </c>
      <c r="N33" s="189">
        <f>+INDEX(DataEx!$1:$1048576,MATCH('2017'!$A33,DataEx!$D:$D,0),MATCH('2017'!N$6,DataEx!$7:$7,0))</f>
        <v>0</v>
      </c>
      <c r="O33" s="189">
        <f>+INDEX(DataEx!$1:$1048576,MATCH('2017'!$A33,DataEx!$D:$D,0),MATCH('2017'!O$6,DataEx!$7:$7,0))</f>
        <v>0</v>
      </c>
      <c r="P33" s="189">
        <f>+INDEX(DataEx!$1:$1048576,MATCH('2017'!$A33,DataEx!$D:$D,0),MATCH('2017'!P$6,DataEx!$7:$7,0))</f>
        <v>0</v>
      </c>
      <c r="Q33" s="189">
        <f>+INDEX(DataEx!$1:$1048576,MATCH('2017'!$A33,DataEx!$D:$D,0),MATCH('2017'!Q$6,DataEx!$7:$7,0))</f>
        <v>0</v>
      </c>
      <c r="R33" s="189">
        <f>+INDEX(DataEx!$1:$1048576,MATCH('2017'!$A33,DataEx!$D:$D,0),MATCH('2017'!R$6,DataEx!$7:$7,0))</f>
        <v>0</v>
      </c>
      <c r="S33" s="270">
        <f t="shared" si="3"/>
        <v>990489.67999999993</v>
      </c>
      <c r="T33" s="271">
        <f t="shared" si="4"/>
        <v>2.5212922998599972E-4</v>
      </c>
      <c r="U33" s="368"/>
    </row>
    <row r="34" spans="1:22">
      <c r="A34" s="176">
        <v>413</v>
      </c>
      <c r="B34" s="409" t="str">
        <f>+VLOOKUP($A34,Master!$D$25:$G$223,4,FALSE)</f>
        <v>Rashodi za materijal</v>
      </c>
      <c r="C34" s="410"/>
      <c r="D34" s="410"/>
      <c r="E34" s="410"/>
      <c r="F34" s="410"/>
      <c r="G34" s="189">
        <f>+INDEX(DataEx!$1:$1048576,MATCH('2017'!$A34,DataEx!$D:$D,0),MATCH('2017'!G$6,DataEx!$7:$7,0))</f>
        <v>963799.19</v>
      </c>
      <c r="H34" s="189">
        <f>+INDEX(DataEx!$1:$1048576,MATCH('2017'!$A34,DataEx!$D:$D,0),MATCH('2017'!H$6,DataEx!$7:$7,0))</f>
        <v>2109344.7799999998</v>
      </c>
      <c r="I34" s="189">
        <f>+INDEX(DataEx!$1:$1048576,MATCH('2017'!$A34,DataEx!$D:$D,0),MATCH('2017'!I$6,DataEx!$7:$7,0))</f>
        <v>0</v>
      </c>
      <c r="J34" s="189">
        <f>+INDEX(DataEx!$1:$1048576,MATCH('2017'!$A34,DataEx!$D:$D,0),MATCH('2017'!J$6,DataEx!$7:$7,0))</f>
        <v>0</v>
      </c>
      <c r="K34" s="189">
        <f>+INDEX(DataEx!$1:$1048576,MATCH('2017'!$A34,DataEx!$D:$D,0),MATCH('2017'!K$6,DataEx!$7:$7,0))</f>
        <v>0</v>
      </c>
      <c r="L34" s="189">
        <f>+INDEX(DataEx!$1:$1048576,MATCH('2017'!$A34,DataEx!$D:$D,0),MATCH('2017'!L$6,DataEx!$7:$7,0))</f>
        <v>0</v>
      </c>
      <c r="M34" s="189">
        <f>+INDEX(DataEx!$1:$1048576,MATCH('2017'!$A34,DataEx!$D:$D,0),MATCH('2017'!M$6,DataEx!$7:$7,0))</f>
        <v>0</v>
      </c>
      <c r="N34" s="189">
        <f>+INDEX(DataEx!$1:$1048576,MATCH('2017'!$A34,DataEx!$D:$D,0),MATCH('2017'!N$6,DataEx!$7:$7,0))</f>
        <v>0</v>
      </c>
      <c r="O34" s="189">
        <f>+INDEX(DataEx!$1:$1048576,MATCH('2017'!$A34,DataEx!$D:$D,0),MATCH('2017'!O$6,DataEx!$7:$7,0))</f>
        <v>0</v>
      </c>
      <c r="P34" s="189">
        <f>+INDEX(DataEx!$1:$1048576,MATCH('2017'!$A34,DataEx!$D:$D,0),MATCH('2017'!P$6,DataEx!$7:$7,0))</f>
        <v>0</v>
      </c>
      <c r="Q34" s="189">
        <f>+INDEX(DataEx!$1:$1048576,MATCH('2017'!$A34,DataEx!$D:$D,0),MATCH('2017'!Q$6,DataEx!$7:$7,0))</f>
        <v>0</v>
      </c>
      <c r="R34" s="189">
        <f>+INDEX(DataEx!$1:$1048576,MATCH('2017'!$A34,DataEx!$D:$D,0),MATCH('2017'!R$6,DataEx!$7:$7,0))</f>
        <v>0</v>
      </c>
      <c r="S34" s="270">
        <f t="shared" si="3"/>
        <v>3073143.9699999997</v>
      </c>
      <c r="T34" s="271">
        <f t="shared" si="4"/>
        <v>7.8226905180094172E-4</v>
      </c>
      <c r="U34" s="386"/>
      <c r="V34" s="366"/>
    </row>
    <row r="35" spans="1:22">
      <c r="A35" s="176">
        <v>414</v>
      </c>
      <c r="B35" s="409" t="str">
        <f>+VLOOKUP($A35,Master!$D$25:$G$223,4,FALSE)</f>
        <v>Rashodi za usluge</v>
      </c>
      <c r="C35" s="410"/>
      <c r="D35" s="410"/>
      <c r="E35" s="410"/>
      <c r="F35" s="410"/>
      <c r="G35" s="189">
        <f>+INDEX(DataEx!$1:$1048576,MATCH('2017'!$A35,DataEx!$D:$D,0),MATCH('2017'!G$6,DataEx!$7:$7,0))</f>
        <v>1449826.12</v>
      </c>
      <c r="H35" s="189">
        <f>+INDEX(DataEx!$1:$1048576,MATCH('2017'!$A35,DataEx!$D:$D,0),MATCH('2017'!H$6,DataEx!$7:$7,0))</f>
        <v>3315172.03</v>
      </c>
      <c r="I35" s="189">
        <f>+INDEX(DataEx!$1:$1048576,MATCH('2017'!$A35,DataEx!$D:$D,0),MATCH('2017'!I$6,DataEx!$7:$7,0))</f>
        <v>0</v>
      </c>
      <c r="J35" s="189">
        <f>+INDEX(DataEx!$1:$1048576,MATCH('2017'!$A35,DataEx!$D:$D,0),MATCH('2017'!J$6,DataEx!$7:$7,0))</f>
        <v>0</v>
      </c>
      <c r="K35" s="189">
        <f>+INDEX(DataEx!$1:$1048576,MATCH('2017'!$A35,DataEx!$D:$D,0),MATCH('2017'!K$6,DataEx!$7:$7,0))</f>
        <v>0</v>
      </c>
      <c r="L35" s="189">
        <f>+INDEX(DataEx!$1:$1048576,MATCH('2017'!$A35,DataEx!$D:$D,0),MATCH('2017'!L$6,DataEx!$7:$7,0))</f>
        <v>0</v>
      </c>
      <c r="M35" s="189">
        <f>+INDEX(DataEx!$1:$1048576,MATCH('2017'!$A35,DataEx!$D:$D,0),MATCH('2017'!M$6,DataEx!$7:$7,0))</f>
        <v>0</v>
      </c>
      <c r="N35" s="189">
        <f>+INDEX(DataEx!$1:$1048576,MATCH('2017'!$A35,DataEx!$D:$D,0),MATCH('2017'!N$6,DataEx!$7:$7,0))</f>
        <v>0</v>
      </c>
      <c r="O35" s="189">
        <f>+INDEX(DataEx!$1:$1048576,MATCH('2017'!$A35,DataEx!$D:$D,0),MATCH('2017'!O$6,DataEx!$7:$7,0))</f>
        <v>0</v>
      </c>
      <c r="P35" s="189">
        <f>+INDEX(DataEx!$1:$1048576,MATCH('2017'!$A35,DataEx!$D:$D,0),MATCH('2017'!P$6,DataEx!$7:$7,0))</f>
        <v>0</v>
      </c>
      <c r="Q35" s="189">
        <f>+INDEX(DataEx!$1:$1048576,MATCH('2017'!$A35,DataEx!$D:$D,0),MATCH('2017'!Q$6,DataEx!$7:$7,0))</f>
        <v>0</v>
      </c>
      <c r="R35" s="189">
        <f>+INDEX(DataEx!$1:$1048576,MATCH('2017'!$A35,DataEx!$D:$D,0),MATCH('2017'!R$6,DataEx!$7:$7,0))</f>
        <v>0</v>
      </c>
      <c r="S35" s="270">
        <f t="shared" si="3"/>
        <v>4764998.1500000004</v>
      </c>
      <c r="T35" s="271">
        <f t="shared" si="4"/>
        <v>1.2129306732849689E-3</v>
      </c>
    </row>
    <row r="36" spans="1:22">
      <c r="A36" s="176">
        <v>415</v>
      </c>
      <c r="B36" s="409" t="str">
        <f>+VLOOKUP($A36,Master!$D$25:$G$223,4,FALSE)</f>
        <v>Rashodi za tekuće održavanje</v>
      </c>
      <c r="C36" s="410"/>
      <c r="D36" s="410"/>
      <c r="E36" s="410"/>
      <c r="F36" s="410"/>
      <c r="G36" s="189">
        <f>+INDEX(DataEx!$1:$1048576,MATCH('2017'!$A36,DataEx!$D:$D,0),MATCH('2017'!G$6,DataEx!$7:$7,0))</f>
        <v>133702.59</v>
      </c>
      <c r="H36" s="189">
        <f>+INDEX(DataEx!$1:$1048576,MATCH('2017'!$A36,DataEx!$D:$D,0),MATCH('2017'!H$6,DataEx!$7:$7,0))</f>
        <v>831406.02</v>
      </c>
      <c r="I36" s="189">
        <f>+INDEX(DataEx!$1:$1048576,MATCH('2017'!$A36,DataEx!$D:$D,0),MATCH('2017'!I$6,DataEx!$7:$7,0))</f>
        <v>0</v>
      </c>
      <c r="J36" s="189">
        <f>+INDEX(DataEx!$1:$1048576,MATCH('2017'!$A36,DataEx!$D:$D,0),MATCH('2017'!J$6,DataEx!$7:$7,0))</f>
        <v>0</v>
      </c>
      <c r="K36" s="189">
        <f>+INDEX(DataEx!$1:$1048576,MATCH('2017'!$A36,DataEx!$D:$D,0),MATCH('2017'!K$6,DataEx!$7:$7,0))</f>
        <v>0</v>
      </c>
      <c r="L36" s="189">
        <f>+INDEX(DataEx!$1:$1048576,MATCH('2017'!$A36,DataEx!$D:$D,0),MATCH('2017'!L$6,DataEx!$7:$7,0))</f>
        <v>0</v>
      </c>
      <c r="M36" s="189">
        <f>+INDEX(DataEx!$1:$1048576,MATCH('2017'!$A36,DataEx!$D:$D,0),MATCH('2017'!M$6,DataEx!$7:$7,0))</f>
        <v>0</v>
      </c>
      <c r="N36" s="189">
        <f>+INDEX(DataEx!$1:$1048576,MATCH('2017'!$A36,DataEx!$D:$D,0),MATCH('2017'!N$6,DataEx!$7:$7,0))</f>
        <v>0</v>
      </c>
      <c r="O36" s="189">
        <f>+INDEX(DataEx!$1:$1048576,MATCH('2017'!$A36,DataEx!$D:$D,0),MATCH('2017'!O$6,DataEx!$7:$7,0))</f>
        <v>0</v>
      </c>
      <c r="P36" s="189">
        <f>+INDEX(DataEx!$1:$1048576,MATCH('2017'!$A36,DataEx!$D:$D,0),MATCH('2017'!P$6,DataEx!$7:$7,0))</f>
        <v>0</v>
      </c>
      <c r="Q36" s="189">
        <f>+INDEX(DataEx!$1:$1048576,MATCH('2017'!$A36,DataEx!$D:$D,0),MATCH('2017'!Q$6,DataEx!$7:$7,0))</f>
        <v>0</v>
      </c>
      <c r="R36" s="189">
        <f>+INDEX(DataEx!$1:$1048576,MATCH('2017'!$A36,DataEx!$D:$D,0),MATCH('2017'!R$6,DataEx!$7:$7,0))</f>
        <v>0</v>
      </c>
      <c r="S36" s="270">
        <f t="shared" si="3"/>
        <v>965108.61</v>
      </c>
      <c r="T36" s="271">
        <f t="shared" si="4"/>
        <v>2.4566847651775488E-4</v>
      </c>
    </row>
    <row r="37" spans="1:22">
      <c r="A37" s="176">
        <v>416</v>
      </c>
      <c r="B37" s="409" t="str">
        <f>+VLOOKUP($A37,Master!$D$25:$G$223,4,FALSE)</f>
        <v>Kamate</v>
      </c>
      <c r="C37" s="410"/>
      <c r="D37" s="410"/>
      <c r="E37" s="410"/>
      <c r="F37" s="410"/>
      <c r="G37" s="189">
        <f>+INDEX(DataEx!$1:$1048576,MATCH('2017'!$A37,DataEx!$D:$D,0),MATCH('2017'!G$6,DataEx!$7:$7,0))</f>
        <v>3233271.99</v>
      </c>
      <c r="H37" s="189">
        <f>+INDEX(DataEx!$1:$1048576,MATCH('2017'!$A37,DataEx!$D:$D,0),MATCH('2017'!H$6,DataEx!$7:$7,0))</f>
        <v>1109355.6299999999</v>
      </c>
      <c r="I37" s="189">
        <f>+INDEX(DataEx!$1:$1048576,MATCH('2017'!$A37,DataEx!$D:$D,0),MATCH('2017'!I$6,DataEx!$7:$7,0))</f>
        <v>0</v>
      </c>
      <c r="J37" s="189">
        <f>+INDEX(DataEx!$1:$1048576,MATCH('2017'!$A37,DataEx!$D:$D,0),MATCH('2017'!J$6,DataEx!$7:$7,0))</f>
        <v>0</v>
      </c>
      <c r="K37" s="189">
        <f>+INDEX(DataEx!$1:$1048576,MATCH('2017'!$A37,DataEx!$D:$D,0),MATCH('2017'!K$6,DataEx!$7:$7,0))</f>
        <v>0</v>
      </c>
      <c r="L37" s="189">
        <f>+INDEX(DataEx!$1:$1048576,MATCH('2017'!$A37,DataEx!$D:$D,0),MATCH('2017'!L$6,DataEx!$7:$7,0))</f>
        <v>0</v>
      </c>
      <c r="M37" s="189">
        <f>+INDEX(DataEx!$1:$1048576,MATCH('2017'!$A37,DataEx!$D:$D,0),MATCH('2017'!M$6,DataEx!$7:$7,0))</f>
        <v>0</v>
      </c>
      <c r="N37" s="189">
        <f>+INDEX(DataEx!$1:$1048576,MATCH('2017'!$A37,DataEx!$D:$D,0),MATCH('2017'!N$6,DataEx!$7:$7,0))</f>
        <v>0</v>
      </c>
      <c r="O37" s="189">
        <f>+INDEX(DataEx!$1:$1048576,MATCH('2017'!$A37,DataEx!$D:$D,0),MATCH('2017'!O$6,DataEx!$7:$7,0))</f>
        <v>0</v>
      </c>
      <c r="P37" s="189">
        <f>+INDEX(DataEx!$1:$1048576,MATCH('2017'!$A37,DataEx!$D:$D,0),MATCH('2017'!P$6,DataEx!$7:$7,0))</f>
        <v>0</v>
      </c>
      <c r="Q37" s="189">
        <f>+INDEX(DataEx!$1:$1048576,MATCH('2017'!$A37,DataEx!$D:$D,0),MATCH('2017'!Q$6,DataEx!$7:$7,0))</f>
        <v>0</v>
      </c>
      <c r="R37" s="189">
        <f>+INDEX(DataEx!$1:$1048576,MATCH('2017'!$A37,DataEx!$D:$D,0),MATCH('2017'!R$6,DataEx!$7:$7,0))</f>
        <v>0</v>
      </c>
      <c r="S37" s="270">
        <f>+SUM(G37:R37)</f>
        <v>4342627.62</v>
      </c>
      <c r="T37" s="271">
        <f t="shared" si="4"/>
        <v>1.1054162199312715E-3</v>
      </c>
    </row>
    <row r="38" spans="1:22">
      <c r="A38" s="176">
        <v>417</v>
      </c>
      <c r="B38" s="409" t="str">
        <f>+VLOOKUP($A38,Master!$D$25:$G$223,4,FALSE)</f>
        <v>Renta</v>
      </c>
      <c r="C38" s="410"/>
      <c r="D38" s="410"/>
      <c r="E38" s="410"/>
      <c r="F38" s="410"/>
      <c r="G38" s="189">
        <f>+INDEX(DataEx!$1:$1048576,MATCH('2017'!$A38,DataEx!$D:$D,0),MATCH('2017'!G$6,DataEx!$7:$7,0))</f>
        <v>576439.54</v>
      </c>
      <c r="H38" s="189">
        <f>+INDEX(DataEx!$1:$1048576,MATCH('2017'!$A38,DataEx!$D:$D,0),MATCH('2017'!H$6,DataEx!$7:$7,0))</f>
        <v>609518.68999999994</v>
      </c>
      <c r="I38" s="189">
        <f>+INDEX(DataEx!$1:$1048576,MATCH('2017'!$A38,DataEx!$D:$D,0),MATCH('2017'!I$6,DataEx!$7:$7,0))</f>
        <v>0</v>
      </c>
      <c r="J38" s="189">
        <f>+INDEX(DataEx!$1:$1048576,MATCH('2017'!$A38,DataEx!$D:$D,0),MATCH('2017'!J$6,DataEx!$7:$7,0))</f>
        <v>0</v>
      </c>
      <c r="K38" s="189">
        <f>+INDEX(DataEx!$1:$1048576,MATCH('2017'!$A38,DataEx!$D:$D,0),MATCH('2017'!K$6,DataEx!$7:$7,0))</f>
        <v>0</v>
      </c>
      <c r="L38" s="189">
        <f>+INDEX(DataEx!$1:$1048576,MATCH('2017'!$A38,DataEx!$D:$D,0),MATCH('2017'!L$6,DataEx!$7:$7,0))</f>
        <v>0</v>
      </c>
      <c r="M38" s="189">
        <f>+INDEX(DataEx!$1:$1048576,MATCH('2017'!$A38,DataEx!$D:$D,0),MATCH('2017'!M$6,DataEx!$7:$7,0))</f>
        <v>0</v>
      </c>
      <c r="N38" s="189">
        <f>+INDEX(DataEx!$1:$1048576,MATCH('2017'!$A38,DataEx!$D:$D,0),MATCH('2017'!N$6,DataEx!$7:$7,0))</f>
        <v>0</v>
      </c>
      <c r="O38" s="189">
        <f>+INDEX(DataEx!$1:$1048576,MATCH('2017'!$A38,DataEx!$D:$D,0),MATCH('2017'!O$6,DataEx!$7:$7,0))</f>
        <v>0</v>
      </c>
      <c r="P38" s="189">
        <f>+INDEX(DataEx!$1:$1048576,MATCH('2017'!$A38,DataEx!$D:$D,0),MATCH('2017'!P$6,DataEx!$7:$7,0))</f>
        <v>0</v>
      </c>
      <c r="Q38" s="189">
        <f>+INDEX(DataEx!$1:$1048576,MATCH('2017'!$A38,DataEx!$D:$D,0),MATCH('2017'!Q$6,DataEx!$7:$7,0))</f>
        <v>0</v>
      </c>
      <c r="R38" s="189">
        <f>+INDEX(DataEx!$1:$1048576,MATCH('2017'!$A38,DataEx!$D:$D,0),MATCH('2017'!R$6,DataEx!$7:$7,0))</f>
        <v>0</v>
      </c>
      <c r="S38" s="270">
        <f t="shared" si="3"/>
        <v>1185958.23</v>
      </c>
      <c r="T38" s="271">
        <f t="shared" si="4"/>
        <v>3.0188576555937382E-4</v>
      </c>
    </row>
    <row r="39" spans="1:22">
      <c r="A39" s="176">
        <v>418</v>
      </c>
      <c r="B39" s="409" t="str">
        <f>+VLOOKUP($A39,Master!$D$25:$G$223,4,FALSE)</f>
        <v>Subvencije</v>
      </c>
      <c r="C39" s="410"/>
      <c r="D39" s="410"/>
      <c r="E39" s="410"/>
      <c r="F39" s="410"/>
      <c r="G39" s="189">
        <f>+INDEX(DataEx!$1:$1048576,MATCH('2017'!$A39,DataEx!$D:$D,0),MATCH('2017'!G$6,DataEx!$7:$7,0))</f>
        <v>1010</v>
      </c>
      <c r="H39" s="189">
        <f>+INDEX(DataEx!$1:$1048576,MATCH('2017'!$A39,DataEx!$D:$D,0),MATCH('2017'!H$6,DataEx!$7:$7,0))</f>
        <v>437077.96</v>
      </c>
      <c r="I39" s="189">
        <f>+INDEX(DataEx!$1:$1048576,MATCH('2017'!$A39,DataEx!$D:$D,0),MATCH('2017'!I$6,DataEx!$7:$7,0))</f>
        <v>0</v>
      </c>
      <c r="J39" s="189">
        <f>+INDEX(DataEx!$1:$1048576,MATCH('2017'!$A39,DataEx!$D:$D,0),MATCH('2017'!J$6,DataEx!$7:$7,0))</f>
        <v>0</v>
      </c>
      <c r="K39" s="189">
        <f>+INDEX(DataEx!$1:$1048576,MATCH('2017'!$A39,DataEx!$D:$D,0),MATCH('2017'!K$6,DataEx!$7:$7,0))</f>
        <v>0</v>
      </c>
      <c r="L39" s="189">
        <f>+INDEX(DataEx!$1:$1048576,MATCH('2017'!$A39,DataEx!$D:$D,0),MATCH('2017'!L$6,DataEx!$7:$7,0))</f>
        <v>0</v>
      </c>
      <c r="M39" s="189">
        <f>+INDEX(DataEx!$1:$1048576,MATCH('2017'!$A39,DataEx!$D:$D,0),MATCH('2017'!M$6,DataEx!$7:$7,0))</f>
        <v>0</v>
      </c>
      <c r="N39" s="189">
        <f>+INDEX(DataEx!$1:$1048576,MATCH('2017'!$A39,DataEx!$D:$D,0),MATCH('2017'!N$6,DataEx!$7:$7,0))</f>
        <v>0</v>
      </c>
      <c r="O39" s="189">
        <f>+INDEX(DataEx!$1:$1048576,MATCH('2017'!$A39,DataEx!$D:$D,0),MATCH('2017'!O$6,DataEx!$7:$7,0))</f>
        <v>0</v>
      </c>
      <c r="P39" s="189">
        <f>+INDEX(DataEx!$1:$1048576,MATCH('2017'!$A39,DataEx!$D:$D,0),MATCH('2017'!P$6,DataEx!$7:$7,0))</f>
        <v>0</v>
      </c>
      <c r="Q39" s="189">
        <f>+INDEX(DataEx!$1:$1048576,MATCH('2017'!$A39,DataEx!$D:$D,0),MATCH('2017'!Q$6,DataEx!$7:$7,0))</f>
        <v>0</v>
      </c>
      <c r="R39" s="189">
        <f>+INDEX(DataEx!$1:$1048576,MATCH('2017'!$A39,DataEx!$D:$D,0),MATCH('2017'!R$6,DataEx!$7:$7,0))</f>
        <v>0</v>
      </c>
      <c r="S39" s="270">
        <f t="shared" si="3"/>
        <v>438087.96</v>
      </c>
      <c r="T39" s="271">
        <f t="shared" si="4"/>
        <v>1.115153264604811E-4</v>
      </c>
    </row>
    <row r="40" spans="1:22">
      <c r="A40" s="176">
        <v>419</v>
      </c>
      <c r="B40" s="409" t="str">
        <f>+VLOOKUP($A40,Master!$D$25:$G$223,4,FALSE)</f>
        <v>Ostali izdaci</v>
      </c>
      <c r="C40" s="410"/>
      <c r="D40" s="410"/>
      <c r="E40" s="410"/>
      <c r="F40" s="410"/>
      <c r="G40" s="189">
        <f>+INDEX(DataEx!$1:$1048576,MATCH('2017'!$A40,DataEx!$D:$D,0),MATCH('2017'!G$6,DataEx!$7:$7,0))</f>
        <v>642181.18999999994</v>
      </c>
      <c r="H40" s="189">
        <f>+INDEX(DataEx!$1:$1048576,MATCH('2017'!$A40,DataEx!$D:$D,0),MATCH('2017'!H$6,DataEx!$7:$7,0))</f>
        <v>1813185.28</v>
      </c>
      <c r="I40" s="189">
        <f>+INDEX(DataEx!$1:$1048576,MATCH('2017'!$A40,DataEx!$D:$D,0),MATCH('2017'!I$6,DataEx!$7:$7,0))</f>
        <v>0</v>
      </c>
      <c r="J40" s="189">
        <f>+INDEX(DataEx!$1:$1048576,MATCH('2017'!$A40,DataEx!$D:$D,0),MATCH('2017'!J$6,DataEx!$7:$7,0))</f>
        <v>0</v>
      </c>
      <c r="K40" s="189">
        <f>+INDEX(DataEx!$1:$1048576,MATCH('2017'!$A40,DataEx!$D:$D,0),MATCH('2017'!K$6,DataEx!$7:$7,0))</f>
        <v>0</v>
      </c>
      <c r="L40" s="189">
        <f>+INDEX(DataEx!$1:$1048576,MATCH('2017'!$A40,DataEx!$D:$D,0),MATCH('2017'!L$6,DataEx!$7:$7,0))</f>
        <v>0</v>
      </c>
      <c r="M40" s="189">
        <f>+INDEX(DataEx!$1:$1048576,MATCH('2017'!$A40,DataEx!$D:$D,0),MATCH('2017'!M$6,DataEx!$7:$7,0))</f>
        <v>0</v>
      </c>
      <c r="N40" s="189">
        <f>+INDEX(DataEx!$1:$1048576,MATCH('2017'!$A40,DataEx!$D:$D,0),MATCH('2017'!N$6,DataEx!$7:$7,0))</f>
        <v>0</v>
      </c>
      <c r="O40" s="189">
        <f>+INDEX(DataEx!$1:$1048576,MATCH('2017'!$A40,DataEx!$D:$D,0),MATCH('2017'!O$6,DataEx!$7:$7,0))</f>
        <v>0</v>
      </c>
      <c r="P40" s="189">
        <f>+INDEX(DataEx!$1:$1048576,MATCH('2017'!$A40,DataEx!$D:$D,0),MATCH('2017'!P$6,DataEx!$7:$7,0))</f>
        <v>0</v>
      </c>
      <c r="Q40" s="189">
        <f>+INDEX(DataEx!$1:$1048576,MATCH('2017'!$A40,DataEx!$D:$D,0),MATCH('2017'!Q$6,DataEx!$7:$7,0))</f>
        <v>0</v>
      </c>
      <c r="R40" s="189">
        <f>+INDEX(DataEx!$1:$1048576,MATCH('2017'!$A40,DataEx!$D:$D,0),MATCH('2017'!R$6,DataEx!$7:$7,0))</f>
        <v>0</v>
      </c>
      <c r="S40" s="270">
        <f t="shared" si="3"/>
        <v>2455366.4699999997</v>
      </c>
      <c r="T40" s="271">
        <f t="shared" si="4"/>
        <v>6.2501373806796482E-4</v>
      </c>
    </row>
    <row r="41" spans="1:22">
      <c r="A41" s="176">
        <v>440</v>
      </c>
      <c r="B41" s="409" t="str">
        <f>+VLOOKUP($A41,Master!$D$25:$G$223,4,FALSE)</f>
        <v>Kapitalni izdaci u tekućem budžetu</v>
      </c>
      <c r="C41" s="410"/>
      <c r="D41" s="410"/>
      <c r="E41" s="410"/>
      <c r="F41" s="410"/>
      <c r="G41" s="189">
        <f>+INDEX(DataEx!$1:$1048576,MATCH('2017'!$A41,DataEx!$D:$D,0),MATCH('2017'!G$6,DataEx!$7:$7,0))</f>
        <v>285927.93</v>
      </c>
      <c r="H41" s="189">
        <f>+INDEX(DataEx!$1:$1048576,MATCH('2017'!$A41,DataEx!$D:$D,0),MATCH('2017'!H$6,DataEx!$7:$7,0))</f>
        <v>821880.98</v>
      </c>
      <c r="I41" s="189">
        <f>+INDEX(DataEx!$1:$1048576,MATCH('2017'!$A41,DataEx!$D:$D,0),MATCH('2017'!I$6,DataEx!$7:$7,0))</f>
        <v>0</v>
      </c>
      <c r="J41" s="189">
        <f>+INDEX(DataEx!$1:$1048576,MATCH('2017'!$A41,DataEx!$D:$D,0),MATCH('2017'!J$6,DataEx!$7:$7,0))</f>
        <v>0</v>
      </c>
      <c r="K41" s="189">
        <f>+INDEX(DataEx!$1:$1048576,MATCH('2017'!$A41,DataEx!$D:$D,0),MATCH('2017'!K$6,DataEx!$7:$7,0))</f>
        <v>0</v>
      </c>
      <c r="L41" s="189">
        <f>+INDEX(DataEx!$1:$1048576,MATCH('2017'!$A41,DataEx!$D:$D,0),MATCH('2017'!L$6,DataEx!$7:$7,0))</f>
        <v>0</v>
      </c>
      <c r="M41" s="189">
        <f>+INDEX(DataEx!$1:$1048576,MATCH('2017'!$A41,DataEx!$D:$D,0),MATCH('2017'!M$6,DataEx!$7:$7,0))</f>
        <v>0</v>
      </c>
      <c r="N41" s="189">
        <f>+INDEX(DataEx!$1:$1048576,MATCH('2017'!$A41,DataEx!$D:$D,0),MATCH('2017'!N$6,DataEx!$7:$7,0))</f>
        <v>0</v>
      </c>
      <c r="O41" s="189">
        <f>+INDEX(DataEx!$1:$1048576,MATCH('2017'!$A41,DataEx!$D:$D,0),MATCH('2017'!O$6,DataEx!$7:$7,0))</f>
        <v>0</v>
      </c>
      <c r="P41" s="189">
        <f>+INDEX(DataEx!$1:$1048576,MATCH('2017'!$A41,DataEx!$D:$D,0),MATCH('2017'!P$6,DataEx!$7:$7,0))</f>
        <v>0</v>
      </c>
      <c r="Q41" s="189">
        <f>+INDEX(DataEx!$1:$1048576,MATCH('2017'!$A41,DataEx!$D:$D,0),MATCH('2017'!Q$6,DataEx!$7:$7,0))</f>
        <v>0</v>
      </c>
      <c r="R41" s="189">
        <f>+INDEX(DataEx!$1:$1048576,MATCH('2017'!$A41,DataEx!$D:$D,0),MATCH('2017'!R$6,DataEx!$7:$7,0))</f>
        <v>0</v>
      </c>
      <c r="S41" s="270">
        <f t="shared" si="3"/>
        <v>1107808.9099999999</v>
      </c>
      <c r="T41" s="271">
        <f t="shared" si="4"/>
        <v>2.8199284968817611E-4</v>
      </c>
    </row>
    <row r="42" spans="1:22">
      <c r="A42" s="176">
        <v>42</v>
      </c>
      <c r="B42" s="425" t="str">
        <f>+VLOOKUP($A42,Master!$D$25:$G$223,4,FALSE)</f>
        <v>Transferi za socijalnu zaštitu</v>
      </c>
      <c r="C42" s="426"/>
      <c r="D42" s="426"/>
      <c r="E42" s="426"/>
      <c r="F42" s="426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0</v>
      </c>
      <c r="J42" s="219">
        <f t="shared" si="8"/>
        <v>0</v>
      </c>
      <c r="K42" s="219">
        <f t="shared" si="8"/>
        <v>0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90548599.679999992</v>
      </c>
      <c r="T42" s="274">
        <f t="shared" si="4"/>
        <v>2.3049153539518898E-2</v>
      </c>
    </row>
    <row r="43" spans="1:22">
      <c r="A43" s="176">
        <v>421</v>
      </c>
      <c r="B43" s="409" t="str">
        <f>+VLOOKUP($A43,Master!$D$25:$G$223,4,FALSE)</f>
        <v>Prava iz oblasti socijalne zaštite</v>
      </c>
      <c r="C43" s="410"/>
      <c r="D43" s="410"/>
      <c r="E43" s="410"/>
      <c r="F43" s="410"/>
      <c r="G43" s="189">
        <f>+INDEX(DataEx!$1:$1048576,MATCH('2017'!$A43,DataEx!$D:$D,0),MATCH('2017'!G$6,DataEx!$7:$7,0))</f>
        <v>10235148.66</v>
      </c>
      <c r="H43" s="189">
        <f>+INDEX(DataEx!$1:$1048576,MATCH('2017'!$A43,DataEx!$D:$D,0),MATCH('2017'!H$6,DataEx!$7:$7,0))</f>
        <v>10418756.810000001</v>
      </c>
      <c r="I43" s="189">
        <f>+INDEX(DataEx!$1:$1048576,MATCH('2017'!$A43,DataEx!$D:$D,0),MATCH('2017'!I$6,DataEx!$7:$7,0))</f>
        <v>0</v>
      </c>
      <c r="J43" s="189">
        <f>+INDEX(DataEx!$1:$1048576,MATCH('2017'!$A43,DataEx!$D:$D,0),MATCH('2017'!J$6,DataEx!$7:$7,0))</f>
        <v>0</v>
      </c>
      <c r="K43" s="189">
        <f>+INDEX(DataEx!$1:$1048576,MATCH('2017'!$A43,DataEx!$D:$D,0),MATCH('2017'!K$6,DataEx!$7:$7,0))</f>
        <v>0</v>
      </c>
      <c r="L43" s="189">
        <f>+INDEX(DataEx!$1:$1048576,MATCH('2017'!$A43,DataEx!$D:$D,0),MATCH('2017'!L$6,DataEx!$7:$7,0))</f>
        <v>0</v>
      </c>
      <c r="M43" s="189">
        <f>+INDEX(DataEx!$1:$1048576,MATCH('2017'!$A43,DataEx!$D:$D,0),MATCH('2017'!M$6,DataEx!$7:$7,0))</f>
        <v>0</v>
      </c>
      <c r="N43" s="189">
        <f>+INDEX(DataEx!$1:$1048576,MATCH('2017'!$A43,DataEx!$D:$D,0),MATCH('2017'!N$6,DataEx!$7:$7,0))</f>
        <v>0</v>
      </c>
      <c r="O43" s="189">
        <f>+INDEX(DataEx!$1:$1048576,MATCH('2017'!$A43,DataEx!$D:$D,0),MATCH('2017'!O$6,DataEx!$7:$7,0))</f>
        <v>0</v>
      </c>
      <c r="P43" s="189">
        <f>+INDEX(DataEx!$1:$1048576,MATCH('2017'!$A43,DataEx!$D:$D,0),MATCH('2017'!P$6,DataEx!$7:$7,0))</f>
        <v>0</v>
      </c>
      <c r="Q43" s="189">
        <f>+INDEX(DataEx!$1:$1048576,MATCH('2017'!$A43,DataEx!$D:$D,0),MATCH('2017'!Q$6,DataEx!$7:$7,0))</f>
        <v>0</v>
      </c>
      <c r="R43" s="189">
        <f>+INDEX(DataEx!$1:$1048576,MATCH('2017'!$A43,DataEx!$D:$D,0),MATCH('2017'!R$6,DataEx!$7:$7,0))</f>
        <v>0</v>
      </c>
      <c r="S43" s="270">
        <f t="shared" si="3"/>
        <v>20653905.469999999</v>
      </c>
      <c r="T43" s="271">
        <f t="shared" si="4"/>
        <v>5.2574533460608376E-3</v>
      </c>
    </row>
    <row r="44" spans="1:22">
      <c r="A44" s="176">
        <v>422</v>
      </c>
      <c r="B44" s="409" t="str">
        <f>+VLOOKUP($A44,Master!$D$25:$G$223,4,FALSE)</f>
        <v>Sredstva za tehnološke viškove</v>
      </c>
      <c r="C44" s="410"/>
      <c r="D44" s="410"/>
      <c r="E44" s="410"/>
      <c r="F44" s="410"/>
      <c r="G44" s="189">
        <f>+INDEX(DataEx!$1:$1048576,MATCH('2017'!$A44,DataEx!$D:$D,0),MATCH('2017'!G$6,DataEx!$7:$7,0))</f>
        <v>173100.67</v>
      </c>
      <c r="H44" s="189">
        <f>+INDEX(DataEx!$1:$1048576,MATCH('2017'!$A44,DataEx!$D:$D,0),MATCH('2017'!H$6,DataEx!$7:$7,0))</f>
        <v>1036027.42</v>
      </c>
      <c r="I44" s="189">
        <f>+INDEX(DataEx!$1:$1048576,MATCH('2017'!$A44,DataEx!$D:$D,0),MATCH('2017'!I$6,DataEx!$7:$7,0))</f>
        <v>0</v>
      </c>
      <c r="J44" s="189">
        <f>+INDEX(DataEx!$1:$1048576,MATCH('2017'!$A44,DataEx!$D:$D,0),MATCH('2017'!J$6,DataEx!$7:$7,0))</f>
        <v>0</v>
      </c>
      <c r="K44" s="189">
        <f>+INDEX(DataEx!$1:$1048576,MATCH('2017'!$A44,DataEx!$D:$D,0),MATCH('2017'!K$6,DataEx!$7:$7,0))</f>
        <v>0</v>
      </c>
      <c r="L44" s="189">
        <f>+INDEX(DataEx!$1:$1048576,MATCH('2017'!$A44,DataEx!$D:$D,0),MATCH('2017'!L$6,DataEx!$7:$7,0))</f>
        <v>0</v>
      </c>
      <c r="M44" s="189">
        <f>+INDEX(DataEx!$1:$1048576,MATCH('2017'!$A44,DataEx!$D:$D,0),MATCH('2017'!M$6,DataEx!$7:$7,0))</f>
        <v>0</v>
      </c>
      <c r="N44" s="189">
        <f>+INDEX(DataEx!$1:$1048576,MATCH('2017'!$A44,DataEx!$D:$D,0),MATCH('2017'!N$6,DataEx!$7:$7,0))</f>
        <v>0</v>
      </c>
      <c r="O44" s="189">
        <f>+INDEX(DataEx!$1:$1048576,MATCH('2017'!$A44,DataEx!$D:$D,0),MATCH('2017'!O$6,DataEx!$7:$7,0))</f>
        <v>0</v>
      </c>
      <c r="P44" s="189">
        <f>+INDEX(DataEx!$1:$1048576,MATCH('2017'!$A44,DataEx!$D:$D,0),MATCH('2017'!P$6,DataEx!$7:$7,0))</f>
        <v>0</v>
      </c>
      <c r="Q44" s="189">
        <f>+INDEX(DataEx!$1:$1048576,MATCH('2017'!$A44,DataEx!$D:$D,0),MATCH('2017'!Q$6,DataEx!$7:$7,0))</f>
        <v>0</v>
      </c>
      <c r="R44" s="189">
        <f>+INDEX(DataEx!$1:$1048576,MATCH('2017'!$A44,DataEx!$D:$D,0),MATCH('2017'!R$6,DataEx!$7:$7,0))</f>
        <v>0</v>
      </c>
      <c r="S44" s="270">
        <f t="shared" si="3"/>
        <v>1209128.0900000001</v>
      </c>
      <c r="T44" s="271">
        <f t="shared" si="4"/>
        <v>3.0778365533918803E-4</v>
      </c>
    </row>
    <row r="45" spans="1:22">
      <c r="A45" s="176">
        <v>423</v>
      </c>
      <c r="B45" s="409" t="str">
        <f>+VLOOKUP($A45,Master!$D$25:$G$223,4,FALSE)</f>
        <v>Prava iz oblasti penzijskog i invalidskog osiguranja</v>
      </c>
      <c r="C45" s="410"/>
      <c r="D45" s="410"/>
      <c r="E45" s="410"/>
      <c r="F45" s="410"/>
      <c r="G45" s="189">
        <f>+INDEX(DataEx!$1:$1048576,MATCH('2017'!$A45,DataEx!$D:$D,0),MATCH('2017'!G$6,DataEx!$7:$7,0))</f>
        <v>32976338.859999999</v>
      </c>
      <c r="H45" s="189">
        <f>+INDEX(DataEx!$1:$1048576,MATCH('2017'!$A45,DataEx!$D:$D,0),MATCH('2017'!H$6,DataEx!$7:$7,0))</f>
        <v>33304068.809999999</v>
      </c>
      <c r="I45" s="189">
        <f>+INDEX(DataEx!$1:$1048576,MATCH('2017'!$A45,DataEx!$D:$D,0),MATCH('2017'!I$6,DataEx!$7:$7,0))</f>
        <v>0</v>
      </c>
      <c r="J45" s="189">
        <f>+INDEX(DataEx!$1:$1048576,MATCH('2017'!$A45,DataEx!$D:$D,0),MATCH('2017'!J$6,DataEx!$7:$7,0))</f>
        <v>0</v>
      </c>
      <c r="K45" s="189">
        <f>+INDEX(DataEx!$1:$1048576,MATCH('2017'!$A45,DataEx!$D:$D,0),MATCH('2017'!K$6,DataEx!$7:$7,0))</f>
        <v>0</v>
      </c>
      <c r="L45" s="189">
        <f>+INDEX(DataEx!$1:$1048576,MATCH('2017'!$A45,DataEx!$D:$D,0),MATCH('2017'!L$6,DataEx!$7:$7,0))</f>
        <v>0</v>
      </c>
      <c r="M45" s="189">
        <f>+INDEX(DataEx!$1:$1048576,MATCH('2017'!$A45,DataEx!$D:$D,0),MATCH('2017'!M$6,DataEx!$7:$7,0))</f>
        <v>0</v>
      </c>
      <c r="N45" s="189">
        <f>+INDEX(DataEx!$1:$1048576,MATCH('2017'!$A45,DataEx!$D:$D,0),MATCH('2017'!N$6,DataEx!$7:$7,0))</f>
        <v>0</v>
      </c>
      <c r="O45" s="189">
        <f>+INDEX(DataEx!$1:$1048576,MATCH('2017'!$A45,DataEx!$D:$D,0),MATCH('2017'!O$6,DataEx!$7:$7,0))</f>
        <v>0</v>
      </c>
      <c r="P45" s="189">
        <f>+INDEX(DataEx!$1:$1048576,MATCH('2017'!$A45,DataEx!$D:$D,0),MATCH('2017'!P$6,DataEx!$7:$7,0))</f>
        <v>0</v>
      </c>
      <c r="Q45" s="189">
        <f>+INDEX(DataEx!$1:$1048576,MATCH('2017'!$A45,DataEx!$D:$D,0),MATCH('2017'!Q$6,DataEx!$7:$7,0))</f>
        <v>0</v>
      </c>
      <c r="R45" s="189">
        <f>+INDEX(DataEx!$1:$1048576,MATCH('2017'!$A45,DataEx!$D:$D,0),MATCH('2017'!R$6,DataEx!$7:$7,0))</f>
        <v>0</v>
      </c>
      <c r="S45" s="270">
        <f t="shared" si="3"/>
        <v>66280407.670000002</v>
      </c>
      <c r="T45" s="271">
        <f t="shared" si="4"/>
        <v>1.6871683255695557E-2</v>
      </c>
    </row>
    <row r="46" spans="1:22">
      <c r="A46" s="176">
        <v>424</v>
      </c>
      <c r="B46" s="409" t="str">
        <f>+VLOOKUP($A46,Master!$D$25:$G$223,4,FALSE)</f>
        <v>Ostala prava iz oblasti zdravstvene zaštite</v>
      </c>
      <c r="C46" s="410"/>
      <c r="D46" s="410"/>
      <c r="E46" s="410"/>
      <c r="F46" s="410"/>
      <c r="G46" s="189">
        <f>+INDEX(DataEx!$1:$1048576,MATCH('2017'!$A46,DataEx!$D:$D,0),MATCH('2017'!G$6,DataEx!$7:$7,0))</f>
        <v>202511.01</v>
      </c>
      <c r="H46" s="189">
        <f>+INDEX(DataEx!$1:$1048576,MATCH('2017'!$A46,DataEx!$D:$D,0),MATCH('2017'!H$6,DataEx!$7:$7,0))</f>
        <v>1122393.47</v>
      </c>
      <c r="I46" s="189">
        <f>+INDEX(DataEx!$1:$1048576,MATCH('2017'!$A46,DataEx!$D:$D,0),MATCH('2017'!I$6,DataEx!$7:$7,0))</f>
        <v>0</v>
      </c>
      <c r="J46" s="189">
        <f>+INDEX(DataEx!$1:$1048576,MATCH('2017'!$A46,DataEx!$D:$D,0),MATCH('2017'!J$6,DataEx!$7:$7,0))</f>
        <v>0</v>
      </c>
      <c r="K46" s="189">
        <f>+INDEX(DataEx!$1:$1048576,MATCH('2017'!$A46,DataEx!$D:$D,0),MATCH('2017'!K$6,DataEx!$7:$7,0))</f>
        <v>0</v>
      </c>
      <c r="L46" s="189">
        <f>+INDEX(DataEx!$1:$1048576,MATCH('2017'!$A46,DataEx!$D:$D,0),MATCH('2017'!L$6,DataEx!$7:$7,0))</f>
        <v>0</v>
      </c>
      <c r="M46" s="189">
        <f>+INDEX(DataEx!$1:$1048576,MATCH('2017'!$A46,DataEx!$D:$D,0),MATCH('2017'!M$6,DataEx!$7:$7,0))</f>
        <v>0</v>
      </c>
      <c r="N46" s="189">
        <f>+INDEX(DataEx!$1:$1048576,MATCH('2017'!$A46,DataEx!$D:$D,0),MATCH('2017'!N$6,DataEx!$7:$7,0))</f>
        <v>0</v>
      </c>
      <c r="O46" s="189">
        <f>+INDEX(DataEx!$1:$1048576,MATCH('2017'!$A46,DataEx!$D:$D,0),MATCH('2017'!O$6,DataEx!$7:$7,0))</f>
        <v>0</v>
      </c>
      <c r="P46" s="189">
        <f>+INDEX(DataEx!$1:$1048576,MATCH('2017'!$A46,DataEx!$D:$D,0),MATCH('2017'!P$6,DataEx!$7:$7,0))</f>
        <v>0</v>
      </c>
      <c r="Q46" s="189">
        <f>+INDEX(DataEx!$1:$1048576,MATCH('2017'!$A46,DataEx!$D:$D,0),MATCH('2017'!Q$6,DataEx!$7:$7,0))</f>
        <v>0</v>
      </c>
      <c r="R46" s="189">
        <f>+INDEX(DataEx!$1:$1048576,MATCH('2017'!$A46,DataEx!$D:$D,0),MATCH('2017'!R$6,DataEx!$7:$7,0))</f>
        <v>0</v>
      </c>
      <c r="S46" s="270">
        <f t="shared" si="3"/>
        <v>1324904.48</v>
      </c>
      <c r="T46" s="271">
        <f t="shared" si="4"/>
        <v>3.3725454499172714E-4</v>
      </c>
    </row>
    <row r="47" spans="1:22">
      <c r="A47" s="176">
        <v>425</v>
      </c>
      <c r="B47" s="409" t="str">
        <f>+VLOOKUP($A47,Master!$D$25:$G$223,4,FALSE)</f>
        <v>Ostala prava iz zdravstvenog osiguranja</v>
      </c>
      <c r="C47" s="410"/>
      <c r="D47" s="410"/>
      <c r="E47" s="410"/>
      <c r="F47" s="410"/>
      <c r="G47" s="189">
        <f>+INDEX(DataEx!$1:$1048576,MATCH('2017'!$A47,DataEx!$D:$D,0),MATCH('2017'!G$6,DataEx!$7:$7,0))</f>
        <v>266542</v>
      </c>
      <c r="H47" s="189">
        <f>+INDEX(DataEx!$1:$1048576,MATCH('2017'!$A47,DataEx!$D:$D,0),MATCH('2017'!H$6,DataEx!$7:$7,0))</f>
        <v>813711.97</v>
      </c>
      <c r="I47" s="189">
        <f>+INDEX(DataEx!$1:$1048576,MATCH('2017'!$A47,DataEx!$D:$D,0),MATCH('2017'!I$6,DataEx!$7:$7,0))</f>
        <v>0</v>
      </c>
      <c r="J47" s="189">
        <f>+INDEX(DataEx!$1:$1048576,MATCH('2017'!$A47,DataEx!$D:$D,0),MATCH('2017'!J$6,DataEx!$7:$7,0))</f>
        <v>0</v>
      </c>
      <c r="K47" s="189">
        <f>+INDEX(DataEx!$1:$1048576,MATCH('2017'!$A47,DataEx!$D:$D,0),MATCH('2017'!K$6,DataEx!$7:$7,0))</f>
        <v>0</v>
      </c>
      <c r="L47" s="189">
        <f>+INDEX(DataEx!$1:$1048576,MATCH('2017'!$A47,DataEx!$D:$D,0),MATCH('2017'!L$6,DataEx!$7:$7,0))</f>
        <v>0</v>
      </c>
      <c r="M47" s="189">
        <f>+INDEX(DataEx!$1:$1048576,MATCH('2017'!$A47,DataEx!$D:$D,0),MATCH('2017'!M$6,DataEx!$7:$7,0))</f>
        <v>0</v>
      </c>
      <c r="N47" s="189">
        <f>+INDEX(DataEx!$1:$1048576,MATCH('2017'!$A47,DataEx!$D:$D,0),MATCH('2017'!N$6,DataEx!$7:$7,0))</f>
        <v>0</v>
      </c>
      <c r="O47" s="189">
        <f>+INDEX(DataEx!$1:$1048576,MATCH('2017'!$A47,DataEx!$D:$D,0),MATCH('2017'!O$6,DataEx!$7:$7,0))</f>
        <v>0</v>
      </c>
      <c r="P47" s="189">
        <f>+INDEX(DataEx!$1:$1048576,MATCH('2017'!$A47,DataEx!$D:$D,0),MATCH('2017'!P$6,DataEx!$7:$7,0))</f>
        <v>0</v>
      </c>
      <c r="Q47" s="189">
        <f>+INDEX(DataEx!$1:$1048576,MATCH('2017'!$A47,DataEx!$D:$D,0),MATCH('2017'!Q$6,DataEx!$7:$7,0))</f>
        <v>0</v>
      </c>
      <c r="R47" s="189">
        <f>+INDEX(DataEx!$1:$1048576,MATCH('2017'!$A47,DataEx!$D:$D,0),MATCH('2017'!R$6,DataEx!$7:$7,0))</f>
        <v>0</v>
      </c>
      <c r="S47" s="270">
        <f t="shared" si="3"/>
        <v>1080253.97</v>
      </c>
      <c r="T47" s="271">
        <f t="shared" si="4"/>
        <v>2.7497873743158964E-4</v>
      </c>
    </row>
    <row r="48" spans="1:22">
      <c r="A48" s="176">
        <v>43</v>
      </c>
      <c r="B48" s="423" t="str">
        <f>+VLOOKUP($A48,Master!$D$25:$G$223,4,FALSE)</f>
        <v xml:space="preserve">Transferi institucijama, pojedincima, nevladinom i javnom sektoru </v>
      </c>
      <c r="C48" s="424"/>
      <c r="D48" s="424"/>
      <c r="E48" s="424"/>
      <c r="F48" s="424"/>
      <c r="G48" s="201">
        <f>+INDEX(DataEx!$1:$1048576,MATCH('2017'!$A48,DataEx!$D:$D,0),MATCH('2017'!G$6,DataEx!$7:$7,0))</f>
        <v>5367351.82</v>
      </c>
      <c r="H48" s="201">
        <f>+INDEX(DataEx!$1:$1048576,MATCH('2017'!$A48,DataEx!$D:$D,0),MATCH('2017'!H$6,DataEx!$7:$7,0))</f>
        <v>7878426.2999999998</v>
      </c>
      <c r="I48" s="201">
        <f>+INDEX(DataEx!$1:$1048576,MATCH('2017'!$A48,DataEx!$D:$D,0),MATCH('2017'!I$6,DataEx!$7:$7,0))</f>
        <v>0</v>
      </c>
      <c r="J48" s="201">
        <f>+INDEX(DataEx!$1:$1048576,MATCH('2017'!$A48,DataEx!$D:$D,0),MATCH('2017'!J$6,DataEx!$7:$7,0))</f>
        <v>0</v>
      </c>
      <c r="K48" s="201">
        <f>+INDEX(DataEx!$1:$1048576,MATCH('2017'!$A48,DataEx!$D:$D,0),MATCH('2017'!K$6,DataEx!$7:$7,0))</f>
        <v>0</v>
      </c>
      <c r="L48" s="201">
        <f>+INDEX(DataEx!$1:$1048576,MATCH('2017'!$A48,DataEx!$D:$D,0),MATCH('2017'!L$6,DataEx!$7:$7,0))</f>
        <v>0</v>
      </c>
      <c r="M48" s="201">
        <f>+INDEX(DataEx!$1:$1048576,MATCH('2017'!$A48,DataEx!$D:$D,0),MATCH('2017'!M$6,DataEx!$7:$7,0))</f>
        <v>0</v>
      </c>
      <c r="N48" s="201">
        <f>+INDEX(DataEx!$1:$1048576,MATCH('2017'!$A48,DataEx!$D:$D,0),MATCH('2017'!N$6,DataEx!$7:$7,0))</f>
        <v>0</v>
      </c>
      <c r="O48" s="201">
        <f>+INDEX(DataEx!$1:$1048576,MATCH('2017'!$A48,DataEx!$D:$D,0),MATCH('2017'!O$6,DataEx!$7:$7,0))</f>
        <v>0</v>
      </c>
      <c r="P48" s="201">
        <f>+INDEX(DataEx!$1:$1048576,MATCH('2017'!$A48,DataEx!$D:$D,0),MATCH('2017'!P$6,DataEx!$7:$7,0))</f>
        <v>0</v>
      </c>
      <c r="Q48" s="201">
        <f>+INDEX(DataEx!$1:$1048576,MATCH('2017'!$A48,DataEx!$D:$D,0),MATCH('2017'!Q$6,DataEx!$7:$7,0))</f>
        <v>0</v>
      </c>
      <c r="R48" s="275">
        <f>+INDEX(DataEx!$1:$1048576,MATCH('2017'!$A48,DataEx!$D:$D,0),MATCH('2017'!R$6,DataEx!$7:$7,0))</f>
        <v>0</v>
      </c>
      <c r="S48" s="273">
        <f t="shared" si="3"/>
        <v>13245778.120000001</v>
      </c>
      <c r="T48" s="274">
        <f t="shared" si="4"/>
        <v>3.3717139162530232E-3</v>
      </c>
    </row>
    <row r="49" spans="1:22">
      <c r="A49" s="176">
        <v>44</v>
      </c>
      <c r="B49" s="423" t="str">
        <f>+VLOOKUP($A49,Master!$D$25:$G$223,4,FALSE)</f>
        <v>Kapitalni budžet</v>
      </c>
      <c r="C49" s="424"/>
      <c r="D49" s="424"/>
      <c r="E49" s="424"/>
      <c r="F49" s="424"/>
      <c r="G49" s="201">
        <f>+INDEX(DataEx!$1:$1048576,MATCH('2017'!$A49,DataEx!$D:$D,0),MATCH('2017'!G$6,DataEx!$7:$7,0))</f>
        <v>109644.44</v>
      </c>
      <c r="H49" s="201">
        <f>+INDEX(DataEx!$1:$1048576,MATCH('2017'!$A49,DataEx!$D:$D,0),MATCH('2017'!H$6,DataEx!$7:$7,0))</f>
        <v>1491590.34</v>
      </c>
      <c r="I49" s="201">
        <f>+INDEX(DataEx!$1:$1048576,MATCH('2017'!$A49,DataEx!$D:$D,0),MATCH('2017'!I$6,DataEx!$7:$7,0))</f>
        <v>0</v>
      </c>
      <c r="J49" s="201">
        <f>+INDEX(DataEx!$1:$1048576,MATCH('2017'!$A49,DataEx!$D:$D,0),MATCH('2017'!J$6,DataEx!$7:$7,0))</f>
        <v>0</v>
      </c>
      <c r="K49" s="201">
        <f>+INDEX(DataEx!$1:$1048576,MATCH('2017'!$A49,DataEx!$D:$D,0),MATCH('2017'!K$6,DataEx!$7:$7,0))</f>
        <v>0</v>
      </c>
      <c r="L49" s="201">
        <f>+INDEX(DataEx!$1:$1048576,MATCH('2017'!$A49,DataEx!$D:$D,0),MATCH('2017'!L$6,DataEx!$7:$7,0))</f>
        <v>0</v>
      </c>
      <c r="M49" s="201">
        <f>+INDEX(DataEx!$1:$1048576,MATCH('2017'!$A49,DataEx!$D:$D,0),MATCH('2017'!M$6,DataEx!$7:$7,0))</f>
        <v>0</v>
      </c>
      <c r="N49" s="201">
        <f>+INDEX(DataEx!$1:$1048576,MATCH('2017'!$A49,DataEx!$D:$D,0),MATCH('2017'!N$6,DataEx!$7:$7,0))</f>
        <v>0</v>
      </c>
      <c r="O49" s="201">
        <f>+INDEX(DataEx!$1:$1048576,MATCH('2017'!$A49,DataEx!$D:$D,0),MATCH('2017'!O$6,DataEx!$7:$7,0))</f>
        <v>0</v>
      </c>
      <c r="P49" s="201">
        <f>+INDEX(DataEx!$1:$1048576,MATCH('2017'!$A49,DataEx!$D:$D,0),MATCH('2017'!P$6,DataEx!$7:$7,0))</f>
        <v>0</v>
      </c>
      <c r="Q49" s="201">
        <f>+INDEX(DataEx!$1:$1048576,MATCH('2017'!$A49,DataEx!$D:$D,0),MATCH('2017'!Q$6,DataEx!$7:$7,0))</f>
        <v>0</v>
      </c>
      <c r="R49" s="201">
        <f>+INDEX(DataEx!$1:$1048576,MATCH('2017'!$A49,DataEx!$D:$D,0),MATCH('2017'!R$6,DataEx!$7:$7,0))</f>
        <v>0</v>
      </c>
      <c r="S49" s="273">
        <f t="shared" si="3"/>
        <v>1601234.78</v>
      </c>
      <c r="T49" s="274">
        <f t="shared" si="4"/>
        <v>4.0759444571719487E-4</v>
      </c>
    </row>
    <row r="50" spans="1:22">
      <c r="A50" s="176">
        <v>451</v>
      </c>
      <c r="B50" s="427" t="str">
        <f>+VLOOKUP($A50,Master!$D$25:$G$223,4,FALSE)</f>
        <v>Pozajmice i krediti</v>
      </c>
      <c r="C50" s="428"/>
      <c r="D50" s="428"/>
      <c r="E50" s="428"/>
      <c r="F50" s="428"/>
      <c r="G50" s="189">
        <f>+INDEX(DataEx!$1:$1048576,MATCH('2017'!$A50,DataEx!$D:$D,0),MATCH('2017'!G$6,DataEx!$7:$7,0))</f>
        <v>0</v>
      </c>
      <c r="H50" s="189">
        <f>+INDEX(DataEx!$1:$1048576,MATCH('2017'!$A50,DataEx!$D:$D,0),MATCH('2017'!H$6,DataEx!$7:$7,0))</f>
        <v>285802</v>
      </c>
      <c r="I50" s="189">
        <f>+INDEX(DataEx!$1:$1048576,MATCH('2017'!$A50,DataEx!$D:$D,0),MATCH('2017'!I$6,DataEx!$7:$7,0))</f>
        <v>0</v>
      </c>
      <c r="J50" s="189">
        <f>+INDEX(DataEx!$1:$1048576,MATCH('2017'!$A50,DataEx!$D:$D,0),MATCH('2017'!J$6,DataEx!$7:$7,0))</f>
        <v>0</v>
      </c>
      <c r="K50" s="189">
        <f>+INDEX(DataEx!$1:$1048576,MATCH('2017'!$A50,DataEx!$D:$D,0),MATCH('2017'!K$6,DataEx!$7:$7,0))</f>
        <v>0</v>
      </c>
      <c r="L50" s="189">
        <f>+INDEX(DataEx!$1:$1048576,MATCH('2017'!$A50,DataEx!$D:$D,0),MATCH('2017'!L$6,DataEx!$7:$7,0))</f>
        <v>0</v>
      </c>
      <c r="M50" s="189">
        <f>+INDEX(DataEx!$1:$1048576,MATCH('2017'!$A50,DataEx!$D:$D,0),MATCH('2017'!M$6,DataEx!$7:$7,0))</f>
        <v>0</v>
      </c>
      <c r="N50" s="189">
        <f>+INDEX(DataEx!$1:$1048576,MATCH('2017'!$A50,DataEx!$D:$D,0),MATCH('2017'!N$6,DataEx!$7:$7,0))</f>
        <v>0</v>
      </c>
      <c r="O50" s="189">
        <f>+INDEX(DataEx!$1:$1048576,MATCH('2017'!$A50,DataEx!$D:$D,0),MATCH('2017'!O$6,DataEx!$7:$7,0))</f>
        <v>0</v>
      </c>
      <c r="P50" s="189">
        <f>+INDEX(DataEx!$1:$1048576,MATCH('2017'!$A50,DataEx!$D:$D,0),MATCH('2017'!P$6,DataEx!$7:$7,0))</f>
        <v>0</v>
      </c>
      <c r="Q50" s="189">
        <f>+INDEX(DataEx!$1:$1048576,MATCH('2017'!$A50,DataEx!$D:$D,0),MATCH('2017'!Q$6,DataEx!$7:$7,0))</f>
        <v>0</v>
      </c>
      <c r="R50" s="189">
        <f>+INDEX(DataEx!$1:$1048576,MATCH('2017'!$A50,DataEx!$D:$D,0),MATCH('2017'!R$6,DataEx!$7:$7,0))</f>
        <v>0</v>
      </c>
      <c r="S50" s="270">
        <f t="shared" si="3"/>
        <v>285802</v>
      </c>
      <c r="T50" s="271">
        <f t="shared" si="4"/>
        <v>7.2750922744049891E-5</v>
      </c>
    </row>
    <row r="51" spans="1:22">
      <c r="A51" s="176">
        <v>47</v>
      </c>
      <c r="B51" s="427" t="str">
        <f>+VLOOKUP($A51,Master!$D$25:$G$223,4,FALSE)</f>
        <v>Rezerve</v>
      </c>
      <c r="C51" s="428"/>
      <c r="D51" s="428"/>
      <c r="E51" s="428"/>
      <c r="F51" s="428"/>
      <c r="G51" s="189">
        <f>+INDEX(DataEx!$1:$1048576,MATCH('2017'!$A51,DataEx!$D:$D,0),MATCH('2017'!G$6,DataEx!$7:$7,0))</f>
        <v>5000</v>
      </c>
      <c r="H51" s="189">
        <f>+INDEX(DataEx!$1:$1048576,MATCH('2017'!$A51,DataEx!$D:$D,0),MATCH('2017'!H$6,DataEx!$7:$7,0))</f>
        <v>25400</v>
      </c>
      <c r="I51" s="189">
        <f>+INDEX(DataEx!$1:$1048576,MATCH('2017'!$A51,DataEx!$D:$D,0),MATCH('2017'!I$6,DataEx!$7:$7,0))</f>
        <v>0</v>
      </c>
      <c r="J51" s="189">
        <f>+INDEX(DataEx!$1:$1048576,MATCH('2017'!$A51,DataEx!$D:$D,0),MATCH('2017'!J$6,DataEx!$7:$7,0))</f>
        <v>0</v>
      </c>
      <c r="K51" s="189">
        <f>+INDEX(DataEx!$1:$1048576,MATCH('2017'!$A51,DataEx!$D:$D,0),MATCH('2017'!K$6,DataEx!$7:$7,0))</f>
        <v>0</v>
      </c>
      <c r="L51" s="189">
        <f>+INDEX(DataEx!$1:$1048576,MATCH('2017'!$A51,DataEx!$D:$D,0),MATCH('2017'!L$6,DataEx!$7:$7,0))</f>
        <v>0</v>
      </c>
      <c r="M51" s="189">
        <f>+INDEX(DataEx!$1:$1048576,MATCH('2017'!$A51,DataEx!$D:$D,0),MATCH('2017'!M$6,DataEx!$7:$7,0))</f>
        <v>0</v>
      </c>
      <c r="N51" s="189">
        <f>+INDEX(DataEx!$1:$1048576,MATCH('2017'!$A51,DataEx!$D:$D,0),MATCH('2017'!N$6,DataEx!$7:$7,0))</f>
        <v>0</v>
      </c>
      <c r="O51" s="189">
        <f>+INDEX(DataEx!$1:$1048576,MATCH('2017'!$A51,DataEx!$D:$D,0),MATCH('2017'!O$6,DataEx!$7:$7,0))</f>
        <v>0</v>
      </c>
      <c r="P51" s="189">
        <f>+INDEX(DataEx!$1:$1048576,MATCH('2017'!$A51,DataEx!$D:$D,0),MATCH('2017'!P$6,DataEx!$7:$7,0))</f>
        <v>0</v>
      </c>
      <c r="Q51" s="189">
        <f>+INDEX(DataEx!$1:$1048576,MATCH('2017'!$A51,DataEx!$D:$D,0),MATCH('2017'!Q$6,DataEx!$7:$7,0))</f>
        <v>0</v>
      </c>
      <c r="R51" s="189">
        <f>+INDEX(DataEx!$1:$1048576,MATCH('2017'!$A51,DataEx!$D:$D,0),MATCH('2017'!R$6,DataEx!$7:$7,0))</f>
        <v>0</v>
      </c>
      <c r="S51" s="270">
        <f t="shared" si="3"/>
        <v>30400</v>
      </c>
      <c r="T51" s="271">
        <f t="shared" si="4"/>
        <v>7.7383225149548173E-6</v>
      </c>
    </row>
    <row r="52" spans="1:22" ht="13.5" thickBot="1">
      <c r="A52" s="176">
        <v>462</v>
      </c>
      <c r="B52" s="429" t="str">
        <f>+VLOOKUP($A52,Master!$D$25:$G$223,4,FALSE)</f>
        <v>Otplata garancija</v>
      </c>
      <c r="C52" s="430"/>
      <c r="D52" s="430"/>
      <c r="E52" s="430"/>
      <c r="F52" s="430"/>
      <c r="G52" s="225">
        <f>+INDEX(DataEx!$1:$1048576,MATCH('2017'!$A52,DataEx!$D:$D,0),MATCH('2017'!G$6,DataEx!$7:$7,0))</f>
        <v>0</v>
      </c>
      <c r="H52" s="225">
        <f>+INDEX(DataEx!$1:$1048576,MATCH('2017'!$A52,DataEx!$D:$D,0),MATCH('2017'!H$6,DataEx!$7:$7,0))</f>
        <v>0</v>
      </c>
      <c r="I52" s="225">
        <f>+INDEX(DataEx!$1:$1048576,MATCH('2017'!$A52,DataEx!$D:$D,0),MATCH('2017'!I$6,DataEx!$7:$7,0))</f>
        <v>0</v>
      </c>
      <c r="J52" s="225">
        <f>+INDEX(DataEx!$1:$1048576,MATCH('2017'!$A52,DataEx!$D:$D,0),MATCH('2017'!J$6,DataEx!$7:$7,0))</f>
        <v>0</v>
      </c>
      <c r="K52" s="225">
        <f>+INDEX(DataEx!$1:$1048576,MATCH('2017'!$A52,DataEx!$D:$D,0),MATCH('2017'!K$6,DataEx!$7:$7,0))</f>
        <v>0</v>
      </c>
      <c r="L52" s="225">
        <f>+INDEX(DataEx!$1:$1048576,MATCH('2017'!$A52,DataEx!$D:$D,0),MATCH('2017'!L$6,DataEx!$7:$7,0))</f>
        <v>0</v>
      </c>
      <c r="M52" s="225">
        <f>+INDEX(DataEx!$1:$1048576,MATCH('2017'!$A52,DataEx!$D:$D,0),MATCH('2017'!M$6,DataEx!$7:$7,0))</f>
        <v>0</v>
      </c>
      <c r="N52" s="225">
        <f>+INDEX(DataEx!$1:$1048576,MATCH('2017'!$A52,DataEx!$D:$D,0),MATCH('2017'!N$6,DataEx!$7:$7,0))</f>
        <v>0</v>
      </c>
      <c r="O52" s="225">
        <f>+INDEX(DataEx!$1:$1048576,MATCH('2017'!$A52,DataEx!$D:$D,0),MATCH('2017'!O$6,DataEx!$7:$7,0))</f>
        <v>0</v>
      </c>
      <c r="P52" s="225">
        <f>+INDEX(DataEx!$1:$1048576,MATCH('2017'!$A52,DataEx!$D:$D,0),MATCH('2017'!P$6,DataEx!$7:$7,0))</f>
        <v>0</v>
      </c>
      <c r="Q52" s="225">
        <f>+INDEX(DataEx!$1:$1048576,MATCH('2017'!$A52,DataEx!$D:$D,0),MATCH('2017'!Q$6,DataEx!$7:$7,0))</f>
        <v>0</v>
      </c>
      <c r="R52" s="225">
        <f>+INDEX(DataEx!$1:$1048576,MATCH('2017'!$A52,DataEx!$D:$D,0),MATCH('2017'!R$6,DataEx!$7:$7,0))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29" t="str">
        <f>+VLOOKUP($A53,Master!$D$25:$G$223,4,TRUE)</f>
        <v>Otplata obaveza iz prethodnih godina</v>
      </c>
      <c r="C53" s="430"/>
      <c r="D53" s="430"/>
      <c r="E53" s="430"/>
      <c r="F53" s="430"/>
      <c r="G53" s="225">
        <f>+INDEX(DataEx!$1:$1048576,MATCH('2017'!$A53,DataEx!$D:$D,0),MATCH('2017'!G$6,DataEx!$7:$7,0))</f>
        <v>2325801.86</v>
      </c>
      <c r="H53" s="225">
        <f>+INDEX(DataEx!$1:$1048576,MATCH('2017'!$A53,DataEx!$D:$D,0),MATCH('2017'!H$6,DataEx!$7:$7,0))</f>
        <v>1722446.51</v>
      </c>
      <c r="I53" s="225">
        <f>+INDEX(DataEx!$1:$1048576,MATCH('2017'!$A53,DataEx!$D:$D,0),MATCH('2017'!I$6,DataEx!$7:$7,0))</f>
        <v>0</v>
      </c>
      <c r="J53" s="225">
        <f>+INDEX(DataEx!$1:$1048576,MATCH('2017'!$A53,DataEx!$D:$D,0),MATCH('2017'!J$6,DataEx!$7:$7,0))</f>
        <v>0</v>
      </c>
      <c r="K53" s="225">
        <f>+INDEX(DataEx!$1:$1048576,MATCH('2017'!$A53,DataEx!$D:$D,0),MATCH('2017'!K$6,DataEx!$7:$7,0))</f>
        <v>0</v>
      </c>
      <c r="L53" s="225">
        <f>+INDEX(DataEx!$1:$1048576,MATCH('2017'!$A53,DataEx!$D:$D,0),MATCH('2017'!L$6,DataEx!$7:$7,0))</f>
        <v>0</v>
      </c>
      <c r="M53" s="225">
        <f>+INDEX(DataEx!$1:$1048576,MATCH('2017'!$A53,DataEx!$D:$D,0),MATCH('2017'!M$6,DataEx!$7:$7,0))</f>
        <v>0</v>
      </c>
      <c r="N53" s="225">
        <f>+INDEX(DataEx!$1:$1048576,MATCH('2017'!$A53,DataEx!$D:$D,0),MATCH('2017'!N$6,DataEx!$7:$7,0))</f>
        <v>0</v>
      </c>
      <c r="O53" s="225">
        <f>+INDEX(DataEx!$1:$1048576,MATCH('2017'!$A53,DataEx!$D:$D,0),MATCH('2017'!O$6,DataEx!$7:$7,0))</f>
        <v>0</v>
      </c>
      <c r="P53" s="225">
        <f>+INDEX(DataEx!$1:$1048576,MATCH('2017'!$A53,DataEx!$D:$D,0),MATCH('2017'!P$6,DataEx!$7:$7,0))</f>
        <v>0</v>
      </c>
      <c r="Q53" s="225">
        <f>+INDEX(DataEx!$1:$1048576,MATCH('2017'!$A53,DataEx!$D:$D,0),MATCH('2017'!Q$6,DataEx!$7:$7,0))</f>
        <v>0</v>
      </c>
      <c r="R53" s="225">
        <f>+INDEX(DataEx!$1:$1048576,MATCH('2017'!$A53,DataEx!$D:$D,0),MATCH('2017'!R$6,DataEx!$7:$7,0))</f>
        <v>0</v>
      </c>
      <c r="S53" s="284">
        <f>+SUM(G53:R53)</f>
        <v>4048248.37</v>
      </c>
      <c r="T53" s="285">
        <f>+S53/$T$7</f>
        <v>1.0304819574901362E-3</v>
      </c>
    </row>
    <row r="54" spans="1:22" ht="13.5" thickBot="1">
      <c r="A54" s="71">
        <v>1005</v>
      </c>
      <c r="B54" s="458" t="str">
        <f>+VLOOKUP($A54,Master!$D$25:$G$225,4,FALSE)</f>
        <v>Neto povećanje obaveza</v>
      </c>
      <c r="C54" s="459"/>
      <c r="D54" s="459"/>
      <c r="E54" s="459"/>
      <c r="F54" s="459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31" t="str">
        <f>+VLOOKUP($A55,Master!$D$25:$G$223,4,FALSE)</f>
        <v>Suficit / deficit</v>
      </c>
      <c r="C55" s="432"/>
      <c r="D55" s="432"/>
      <c r="E55" s="432"/>
      <c r="F55" s="432"/>
      <c r="G55" s="177">
        <f t="shared" ref="G55:R55" si="9">+G10-G29</f>
        <v>-21641175.599999994</v>
      </c>
      <c r="H55" s="177">
        <f t="shared" si="9"/>
        <v>-17745999.209999979</v>
      </c>
      <c r="I55" s="177">
        <f t="shared" si="9"/>
        <v>0</v>
      </c>
      <c r="J55" s="177">
        <f t="shared" si="9"/>
        <v>0</v>
      </c>
      <c r="K55" s="177">
        <f t="shared" si="9"/>
        <v>0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-39387174.809999973</v>
      </c>
      <c r="T55" s="287">
        <f t="shared" si="4"/>
        <v>-1.002600860633829E-2</v>
      </c>
    </row>
    <row r="56" spans="1:22" ht="13.5" thickBot="1">
      <c r="A56" s="170">
        <v>1001</v>
      </c>
      <c r="B56" s="433" t="str">
        <f>+VLOOKUP($A56,Master!$D$25:$G$223,4,FALSE)</f>
        <v>Primarni bilans</v>
      </c>
      <c r="C56" s="434"/>
      <c r="D56" s="434"/>
      <c r="E56" s="434"/>
      <c r="F56" s="434"/>
      <c r="G56" s="231">
        <f>+G55+G37</f>
        <v>-18407903.609999992</v>
      </c>
      <c r="H56" s="231">
        <f t="shared" ref="H56:R56" si="10">+H55+H37</f>
        <v>-16636643.57999998</v>
      </c>
      <c r="I56" s="231">
        <f t="shared" si="10"/>
        <v>0</v>
      </c>
      <c r="J56" s="231">
        <f t="shared" si="10"/>
        <v>0</v>
      </c>
      <c r="K56" s="231">
        <f t="shared" si="10"/>
        <v>0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-35044547.189999968</v>
      </c>
      <c r="T56" s="287">
        <f t="shared" si="4"/>
        <v>-8.9205923864070173E-3</v>
      </c>
    </row>
    <row r="57" spans="1:22">
      <c r="A57" s="170">
        <v>46</v>
      </c>
      <c r="B57" s="425" t="str">
        <f>+VLOOKUP($A57,Master!$D$25:$G$223,4,FALSE)</f>
        <v>Otplata dugova</v>
      </c>
      <c r="C57" s="426"/>
      <c r="D57" s="426"/>
      <c r="E57" s="426"/>
      <c r="F57" s="426"/>
      <c r="G57" s="219">
        <f t="shared" ref="G57:R57" si="11">+SUM(G58:G59)</f>
        <v>1911638.19</v>
      </c>
      <c r="H57" s="219">
        <f t="shared" si="11"/>
        <v>9762594.3999999985</v>
      </c>
      <c r="I57" s="219">
        <f t="shared" si="11"/>
        <v>0</v>
      </c>
      <c r="J57" s="219">
        <f t="shared" si="11"/>
        <v>0</v>
      </c>
      <c r="K57" s="219">
        <f t="shared" si="11"/>
        <v>0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11674232.589999998</v>
      </c>
      <c r="T57" s="289">
        <f t="shared" si="4"/>
        <v>2.9716768715794825E-3</v>
      </c>
      <c r="V57" s="384"/>
    </row>
    <row r="58" spans="1:22">
      <c r="A58" s="170">
        <v>4611</v>
      </c>
      <c r="B58" s="451" t="str">
        <f>+VLOOKUP($A58,Master!$D$25:$G$223,4,FALSE)</f>
        <v>Otplata hartija od vrijednosti i kredita rezidentima</v>
      </c>
      <c r="C58" s="452"/>
      <c r="D58" s="452"/>
      <c r="E58" s="452"/>
      <c r="F58" s="452"/>
      <c r="G58" s="237">
        <f>+INDEX(DataEx!$1:$1048576,MATCH('2017'!$A58,DataEx!$D:$D,0),MATCH('2017'!G$6,DataEx!$7:$7,0))</f>
        <v>109330.02</v>
      </c>
      <c r="H58" s="237">
        <f>+INDEX(DataEx!$1:$1048576,MATCH('2017'!$A58,DataEx!$D:$D,0),MATCH('2017'!H$6,DataEx!$7:$7,0))</f>
        <v>7869986.2699999996</v>
      </c>
      <c r="I58" s="237">
        <f>+INDEX(DataEx!$1:$1048576,MATCH('2017'!$A58,DataEx!$D:$D,0),MATCH('2017'!I$6,DataEx!$7:$7,0))</f>
        <v>0</v>
      </c>
      <c r="J58" s="237">
        <f>+INDEX(DataEx!$1:$1048576,MATCH('2017'!$A58,DataEx!$D:$D,0),MATCH('2017'!J$6,DataEx!$7:$7,0))</f>
        <v>0</v>
      </c>
      <c r="K58" s="237">
        <f>+INDEX(DataEx!$1:$1048576,MATCH('2017'!$A58,DataEx!$D:$D,0),MATCH('2017'!K$6,DataEx!$7:$7,0))</f>
        <v>0</v>
      </c>
      <c r="L58" s="237">
        <f>+INDEX(DataEx!$1:$1048576,MATCH('2017'!$A58,DataEx!$D:$D,0),MATCH('2017'!L$6,DataEx!$7:$7,0))</f>
        <v>0</v>
      </c>
      <c r="M58" s="237">
        <f>+INDEX(DataEx!$1:$1048576,MATCH('2017'!$A58,DataEx!$D:$D,0),MATCH('2017'!M$6,DataEx!$7:$7,0))</f>
        <v>0</v>
      </c>
      <c r="N58" s="237">
        <f>+INDEX(DataEx!$1:$1048576,MATCH('2017'!$A58,DataEx!$D:$D,0),MATCH('2017'!N$6,DataEx!$7:$7,0))</f>
        <v>0</v>
      </c>
      <c r="O58" s="237">
        <f>+INDEX(DataEx!$1:$1048576,MATCH('2017'!$A58,DataEx!$D:$D,0),MATCH('2017'!O$6,DataEx!$7:$7,0))</f>
        <v>0</v>
      </c>
      <c r="P58" s="237">
        <f>+INDEX(DataEx!$1:$1048576,MATCH('2017'!$A58,DataEx!$D:$D,0),MATCH('2017'!P$6,DataEx!$7:$7,0))</f>
        <v>0</v>
      </c>
      <c r="Q58" s="237">
        <f>+INDEX(DataEx!$1:$1048576,MATCH('2017'!$A58,DataEx!$D:$D,0),MATCH('2017'!Q$6,DataEx!$7:$7,0))</f>
        <v>0</v>
      </c>
      <c r="R58" s="237">
        <f>+INDEX(DataEx!$1:$1048576,MATCH('2017'!$A58,DataEx!$D:$D,0),MATCH('2017'!R$6,DataEx!$7:$7,0))</f>
        <v>0</v>
      </c>
      <c r="S58" s="290">
        <f t="shared" si="3"/>
        <v>7979316.2899999991</v>
      </c>
      <c r="T58" s="291">
        <f t="shared" si="4"/>
        <v>2.0311356217385767E-3</v>
      </c>
    </row>
    <row r="59" spans="1:22" ht="13.5" thickBot="1">
      <c r="A59" s="170">
        <v>4612</v>
      </c>
      <c r="B59" s="427" t="str">
        <f>+VLOOKUP($A59,Master!$D$25:$G$223,4,FALSE)</f>
        <v>Otplata hartija od vrijednosti i kredita nerezidentima</v>
      </c>
      <c r="C59" s="428"/>
      <c r="D59" s="428"/>
      <c r="E59" s="428"/>
      <c r="F59" s="428"/>
      <c r="G59" s="237">
        <f>+INDEX(DataEx!$1:$1048576,MATCH('2017'!$A59,DataEx!$D:$D,0),MATCH('2017'!G$6,DataEx!$7:$7,0))</f>
        <v>1802308.17</v>
      </c>
      <c r="H59" s="237">
        <f>+INDEX(DataEx!$1:$1048576,MATCH('2017'!$A59,DataEx!$D:$D,0),MATCH('2017'!H$6,DataEx!$7:$7,0))</f>
        <v>1892608.13</v>
      </c>
      <c r="I59" s="237">
        <f>+INDEX(DataEx!$1:$1048576,MATCH('2017'!$A59,DataEx!$D:$D,0),MATCH('2017'!I$6,DataEx!$7:$7,0))</f>
        <v>0</v>
      </c>
      <c r="J59" s="237">
        <f>+INDEX(DataEx!$1:$1048576,MATCH('2017'!$A59,DataEx!$D:$D,0),MATCH('2017'!J$6,DataEx!$7:$7,0))</f>
        <v>0</v>
      </c>
      <c r="K59" s="237">
        <f>+INDEX(DataEx!$1:$1048576,MATCH('2017'!$A59,DataEx!$D:$D,0),MATCH('2017'!K$6,DataEx!$7:$7,0))</f>
        <v>0</v>
      </c>
      <c r="L59" s="237">
        <f>+INDEX(DataEx!$1:$1048576,MATCH('2017'!$A59,DataEx!$D:$D,0),MATCH('2017'!L$6,DataEx!$7:$7,0))</f>
        <v>0</v>
      </c>
      <c r="M59" s="237">
        <f>+INDEX(DataEx!$1:$1048576,MATCH('2017'!$A59,DataEx!$D:$D,0),MATCH('2017'!M$6,DataEx!$7:$7,0))</f>
        <v>0</v>
      </c>
      <c r="N59" s="237">
        <f>+INDEX(DataEx!$1:$1048576,MATCH('2017'!$A59,DataEx!$D:$D,0),MATCH('2017'!N$6,DataEx!$7:$7,0))</f>
        <v>0</v>
      </c>
      <c r="O59" s="237">
        <f>+INDEX(DataEx!$1:$1048576,MATCH('2017'!$A59,DataEx!$D:$D,0),MATCH('2017'!O$6,DataEx!$7:$7,0))</f>
        <v>0</v>
      </c>
      <c r="P59" s="237">
        <f>+INDEX(DataEx!$1:$1048576,MATCH('2017'!$A59,DataEx!$D:$D,0),MATCH('2017'!P$6,DataEx!$7:$7,0))</f>
        <v>0</v>
      </c>
      <c r="Q59" s="237">
        <f>+INDEX(DataEx!$1:$1048576,MATCH('2017'!$A59,DataEx!$D:$D,0),MATCH('2017'!Q$6,DataEx!$7:$7,0))</f>
        <v>0</v>
      </c>
      <c r="R59" s="237">
        <f>+INDEX(DataEx!$1:$1048576,MATCH('2017'!$A59,DataEx!$D:$D,0),MATCH('2017'!R$6,DataEx!$7:$7,0))</f>
        <v>0</v>
      </c>
      <c r="S59" s="290">
        <f t="shared" si="3"/>
        <v>3694916.3</v>
      </c>
      <c r="T59" s="291">
        <f t="shared" si="4"/>
        <v>9.4054124984090613E-4</v>
      </c>
      <c r="V59" s="404"/>
    </row>
    <row r="60" spans="1:22" ht="13.5" thickBot="1">
      <c r="A60" s="170">
        <v>1002</v>
      </c>
      <c r="B60" s="453" t="str">
        <f>+VLOOKUP($A60,Master!$D$25:$G$223,4,FALSE)</f>
        <v>Nedostajuća sredstva</v>
      </c>
      <c r="C60" s="454"/>
      <c r="D60" s="454"/>
      <c r="E60" s="454"/>
      <c r="F60" s="454"/>
      <c r="G60" s="243">
        <f t="shared" ref="G60:R60" si="12">+G55-G57</f>
        <v>-23552813.789999995</v>
      </c>
      <c r="H60" s="243">
        <f t="shared" si="12"/>
        <v>-27508593.609999977</v>
      </c>
      <c r="I60" s="243">
        <f t="shared" si="12"/>
        <v>0</v>
      </c>
      <c r="J60" s="243">
        <f t="shared" si="12"/>
        <v>0</v>
      </c>
      <c r="K60" s="243">
        <f t="shared" si="12"/>
        <v>0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-51061407.399999976</v>
      </c>
      <c r="T60" s="293">
        <f t="shared" si="4"/>
        <v>-1.2997685477917775E-2</v>
      </c>
    </row>
    <row r="61" spans="1:22" ht="13.5" thickBot="1">
      <c r="A61" s="170">
        <v>1003</v>
      </c>
      <c r="B61" s="417" t="str">
        <f>+VLOOKUP($A61,Master!$D$25:$G$223,4,FALSE)</f>
        <v>Finansiranje</v>
      </c>
      <c r="C61" s="418"/>
      <c r="D61" s="418"/>
      <c r="E61" s="418"/>
      <c r="F61" s="418"/>
      <c r="G61" s="177">
        <f>+SUM(G62:G65)</f>
        <v>23552813.789999995</v>
      </c>
      <c r="H61" s="177">
        <f t="shared" ref="H61:R61" si="13">+SUM(H62:H65)</f>
        <v>27508593.609999977</v>
      </c>
      <c r="I61" s="177">
        <f t="shared" si="13"/>
        <v>0</v>
      </c>
      <c r="J61" s="177">
        <f t="shared" si="13"/>
        <v>0</v>
      </c>
      <c r="K61" s="177">
        <f t="shared" si="13"/>
        <v>0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51061407.399999976</v>
      </c>
      <c r="T61" s="295">
        <f t="shared" si="4"/>
        <v>1.2997685477917775E-2</v>
      </c>
    </row>
    <row r="62" spans="1:22">
      <c r="A62" s="170">
        <v>7511</v>
      </c>
      <c r="B62" s="451" t="str">
        <f>+VLOOKUP($A62,Master!$D$25:$G$223,4,FALSE)</f>
        <v>Pozajmice i krediti od domaćih izvora</v>
      </c>
      <c r="C62" s="452"/>
      <c r="D62" s="452"/>
      <c r="E62" s="452"/>
      <c r="F62" s="452"/>
      <c r="G62" s="237">
        <f>+INDEX(DataEx!$1:$1048576,MATCH('2017'!$A62,DataEx!$D:$D,0),MATCH('2017'!G$6,DataEx!$7:$7,0))</f>
        <v>300681.11</v>
      </c>
      <c r="H62" s="237">
        <f>+INDEX(DataEx!$1:$1048576,MATCH('2017'!$A62,DataEx!$D:$D,0),MATCH('2017'!H$6,DataEx!$7:$7,0))</f>
        <v>22749318.890000001</v>
      </c>
      <c r="I62" s="237">
        <f>+INDEX(DataEx!$1:$1048576,MATCH('2017'!$A62,DataEx!$D:$D,0),MATCH('2017'!I$6,DataEx!$7:$7,0))</f>
        <v>0</v>
      </c>
      <c r="J62" s="237">
        <f>+INDEX(DataEx!$1:$1048576,MATCH('2017'!$A62,DataEx!$D:$D,0),MATCH('2017'!J$6,DataEx!$7:$7,0))</f>
        <v>0</v>
      </c>
      <c r="K62" s="237">
        <f>+INDEX(DataEx!$1:$1048576,MATCH('2017'!$A62,DataEx!$D:$D,0),MATCH('2017'!K$6,DataEx!$7:$7,0))</f>
        <v>0</v>
      </c>
      <c r="L62" s="237">
        <f>+INDEX(DataEx!$1:$1048576,MATCH('2017'!$A62,DataEx!$D:$D,0),MATCH('2017'!L$6,DataEx!$7:$7,0))</f>
        <v>0</v>
      </c>
      <c r="M62" s="237">
        <f>+INDEX(DataEx!$1:$1048576,MATCH('2017'!$A62,DataEx!$D:$D,0),MATCH('2017'!M$6,DataEx!$7:$7,0))</f>
        <v>0</v>
      </c>
      <c r="N62" s="237">
        <f>+INDEX(DataEx!$1:$1048576,MATCH('2017'!$A62,DataEx!$D:$D,0),MATCH('2017'!N$6,DataEx!$7:$7,0))</f>
        <v>0</v>
      </c>
      <c r="O62" s="237">
        <f>+INDEX(DataEx!$1:$1048576,MATCH('2017'!$A62,DataEx!$D:$D,0),MATCH('2017'!O$6,DataEx!$7:$7,0))</f>
        <v>0</v>
      </c>
      <c r="P62" s="237">
        <f>+INDEX(DataEx!$1:$1048576,MATCH('2017'!$A62,DataEx!$D:$D,0),MATCH('2017'!P$6,DataEx!$7:$7,0))</f>
        <v>0</v>
      </c>
      <c r="Q62" s="237">
        <f>+INDEX(DataEx!$1:$1048576,MATCH('2017'!$A62,DataEx!$D:$D,0),MATCH('2017'!Q$6,DataEx!$7:$7,0))</f>
        <v>0</v>
      </c>
      <c r="R62" s="237">
        <f>+INDEX(DataEx!$1:$1048576,MATCH('2017'!$A62,DataEx!$D:$D,0),MATCH('2017'!R$6,DataEx!$7:$7,0))</f>
        <v>0</v>
      </c>
      <c r="S62" s="290">
        <f t="shared" si="3"/>
        <v>23050000</v>
      </c>
      <c r="T62" s="291">
        <f t="shared" si="4"/>
        <v>5.8673794068983074E-3</v>
      </c>
    </row>
    <row r="63" spans="1:22">
      <c r="A63" s="170">
        <v>7512</v>
      </c>
      <c r="B63" s="427" t="str">
        <f>+VLOOKUP($A63,Master!$D$25:$G$223,4,FALSE)</f>
        <v>Pozajmice i krediti od inostranih izvora</v>
      </c>
      <c r="C63" s="428"/>
      <c r="D63" s="428"/>
      <c r="E63" s="428"/>
      <c r="F63" s="428"/>
      <c r="G63" s="237">
        <f>+DataEx!EH53</f>
        <v>34554.129999999997</v>
      </c>
      <c r="H63" s="237">
        <f>+INDEX(DataEx!$1:$1048576,MATCH('2017'!$A63,DataEx!$D:$D,0),MATCH('2017'!H$6,DataEx!$7:$7,0))</f>
        <v>322585.33</v>
      </c>
      <c r="I63" s="237">
        <f>+INDEX(DataEx!$1:$1048576,MATCH('2017'!$A63,DataEx!$D:$D,0),MATCH('2017'!I$6,DataEx!$7:$7,0))</f>
        <v>0</v>
      </c>
      <c r="J63" s="237">
        <f>+INDEX(DataEx!$1:$1048576,MATCH('2017'!$A63,DataEx!$D:$D,0),MATCH('2017'!J$6,DataEx!$7:$7,0))</f>
        <v>0</v>
      </c>
      <c r="K63" s="237">
        <f>+INDEX(DataEx!$1:$1048576,MATCH('2017'!$A63,DataEx!$D:$D,0),MATCH('2017'!K$6,DataEx!$7:$7,0))</f>
        <v>0</v>
      </c>
      <c r="L63" s="237">
        <f>+INDEX(DataEx!$1:$1048576,MATCH('2017'!$A63,DataEx!$D:$D,0),MATCH('2017'!L$6,DataEx!$7:$7,0))</f>
        <v>0</v>
      </c>
      <c r="M63" s="237">
        <f>+INDEX(DataEx!$1:$1048576,MATCH('2017'!$A63,DataEx!$D:$D,0),MATCH('2017'!M$6,DataEx!$7:$7,0))</f>
        <v>0</v>
      </c>
      <c r="N63" s="237">
        <f>+INDEX(DataEx!$1:$1048576,MATCH('2017'!$A63,DataEx!$D:$D,0),MATCH('2017'!N$6,DataEx!$7:$7,0))</f>
        <v>0</v>
      </c>
      <c r="O63" s="237">
        <f>+INDEX(DataEx!$1:$1048576,MATCH('2017'!$A63,DataEx!$D:$D,0),MATCH('2017'!O$6,DataEx!$7:$7,0))</f>
        <v>0</v>
      </c>
      <c r="P63" s="237">
        <f>+INDEX(DataEx!$1:$1048576,MATCH('2017'!$A63,DataEx!$D:$D,0),MATCH('2017'!P$6,DataEx!$7:$7,0))</f>
        <v>0</v>
      </c>
      <c r="Q63" s="237">
        <f>+INDEX(DataEx!$1:$1048576,MATCH('2017'!$A63,DataEx!$D:$D,0),MATCH('2017'!Q$6,DataEx!$7:$7,0))</f>
        <v>0</v>
      </c>
      <c r="R63" s="237">
        <f>+INDEX(DataEx!$1:$1048576,MATCH('2017'!$A63,DataEx!$D:$D,0),MATCH('2017'!R$6,DataEx!$7:$7,0))</f>
        <v>0</v>
      </c>
      <c r="S63" s="290">
        <f t="shared" si="3"/>
        <v>357139.46</v>
      </c>
      <c r="T63" s="291">
        <f t="shared" si="4"/>
        <v>9.0909879088710714E-5</v>
      </c>
    </row>
    <row r="64" spans="1:22">
      <c r="A64" s="170">
        <v>72</v>
      </c>
      <c r="B64" s="427" t="str">
        <f>+VLOOKUP($A64,Master!$D$25:$G$223,4,FALSE)</f>
        <v>Primici od prodaje imovine</v>
      </c>
      <c r="C64" s="428"/>
      <c r="D64" s="428"/>
      <c r="E64" s="428"/>
      <c r="F64" s="428"/>
      <c r="G64" s="237">
        <f>+INDEX(DataEx!$1:$1048576,MATCH('2017'!$A64,DataEx!$D:$D,0),MATCH('2017'!G$6,DataEx!$7:$7,0))</f>
        <v>20867.330000000002</v>
      </c>
      <c r="H64" s="237">
        <f>+INDEX(DataEx!$1:$1048576,MATCH('2017'!$A64,DataEx!$D:$D,0),MATCH('2017'!H$6,DataEx!$7:$7,0))</f>
        <v>70916.160000000003</v>
      </c>
      <c r="I64" s="237">
        <f>+INDEX(DataEx!$1:$1048576,MATCH('2017'!$A64,DataEx!$D:$D,0),MATCH('2017'!I$6,DataEx!$7:$7,0))</f>
        <v>0</v>
      </c>
      <c r="J64" s="237">
        <f>+INDEX(DataEx!$1:$1048576,MATCH('2017'!$A64,DataEx!$D:$D,0),MATCH('2017'!J$6,DataEx!$7:$7,0))</f>
        <v>0</v>
      </c>
      <c r="K64" s="237">
        <f>+INDEX(DataEx!$1:$1048576,MATCH('2017'!$A64,DataEx!$D:$D,0),MATCH('2017'!K$6,DataEx!$7:$7,0))</f>
        <v>0</v>
      </c>
      <c r="L64" s="237">
        <f>+INDEX(DataEx!$1:$1048576,MATCH('2017'!$A64,DataEx!$D:$D,0),MATCH('2017'!L$6,DataEx!$7:$7,0))</f>
        <v>0</v>
      </c>
      <c r="M64" s="237">
        <f>+INDEX(DataEx!$1:$1048576,MATCH('2017'!$A64,DataEx!$D:$D,0),MATCH('2017'!M$6,DataEx!$7:$7,0))</f>
        <v>0</v>
      </c>
      <c r="N64" s="237">
        <f>+INDEX(DataEx!$1:$1048576,MATCH('2017'!$A64,DataEx!$D:$D,0),MATCH('2017'!N$6,DataEx!$7:$7,0))</f>
        <v>0</v>
      </c>
      <c r="O64" s="237">
        <f>+INDEX(DataEx!$1:$1048576,MATCH('2017'!$A64,DataEx!$D:$D,0),MATCH('2017'!O$6,DataEx!$7:$7,0))</f>
        <v>0</v>
      </c>
      <c r="P64" s="237">
        <f>+INDEX(DataEx!$1:$1048576,MATCH('2017'!$A64,DataEx!$D:$D,0),MATCH('2017'!P$6,DataEx!$7:$7,0))</f>
        <v>0</v>
      </c>
      <c r="Q64" s="237">
        <f>+INDEX(DataEx!$1:$1048576,MATCH('2017'!$A64,DataEx!$D:$D,0),MATCH('2017'!Q$6,DataEx!$7:$7,0))</f>
        <v>0</v>
      </c>
      <c r="R64" s="237">
        <f>+INDEX(DataEx!$1:$1048576,MATCH('2017'!$A64,DataEx!$D:$D,0),MATCH('2017'!R$6,DataEx!$7:$7,0))</f>
        <v>0</v>
      </c>
      <c r="S64" s="290">
        <f t="shared" si="3"/>
        <v>91783.49</v>
      </c>
      <c r="T64" s="291">
        <f t="shared" si="4"/>
        <v>2.3363494972635866E-5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23196711.219999995</v>
      </c>
      <c r="H65" s="251">
        <f t="shared" ref="H65:R65" si="14">-H60-SUM(H62:H64)</f>
        <v>4365773.2299999781</v>
      </c>
      <c r="I65" s="251">
        <f t="shared" si="14"/>
        <v>0</v>
      </c>
      <c r="J65" s="251">
        <f t="shared" si="14"/>
        <v>0</v>
      </c>
      <c r="K65" s="251">
        <f t="shared" si="14"/>
        <v>0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27562484.449999973</v>
      </c>
      <c r="T65" s="297">
        <f t="shared" si="4"/>
        <v>7.0160326969581199E-3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468" t="str">
        <f>+Master!G250</f>
        <v>Plan ostvarenja budžeta</v>
      </c>
      <c r="C101" s="469"/>
      <c r="D101" s="469"/>
      <c r="E101" s="469"/>
      <c r="F101" s="469"/>
      <c r="G101" s="460">
        <v>2017</v>
      </c>
      <c r="H101" s="476"/>
      <c r="I101" s="476"/>
      <c r="J101" s="476"/>
      <c r="K101" s="476"/>
      <c r="L101" s="476"/>
      <c r="M101" s="476"/>
      <c r="N101" s="476"/>
      <c r="O101" s="476"/>
      <c r="P101" s="476"/>
      <c r="Q101" s="476"/>
      <c r="R101" s="461"/>
      <c r="S101" s="116" t="str">
        <f>+S7</f>
        <v>BDP</v>
      </c>
      <c r="T101" s="117">
        <f>+T7</f>
        <v>3928500000</v>
      </c>
    </row>
    <row r="102" spans="1:21" ht="15.75" customHeight="1">
      <c r="B102" s="470"/>
      <c r="C102" s="471"/>
      <c r="D102" s="471"/>
      <c r="E102" s="471"/>
      <c r="F102" s="472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60" t="str">
        <f>+Master!G244</f>
        <v>Jan - Dec</v>
      </c>
      <c r="T102" s="461">
        <f>+T8</f>
        <v>0</v>
      </c>
    </row>
    <row r="103" spans="1:21" ht="13.5" thickBot="1">
      <c r="B103" s="473"/>
      <c r="C103" s="474"/>
      <c r="D103" s="474"/>
      <c r="E103" s="474"/>
      <c r="F103" s="475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62" t="str">
        <f>+VLOOKUP(LEFT($A104,LEN(A104)-1)*1,Master!$D$25:$G$223,4,FALSE)</f>
        <v>Prihodi budžeta</v>
      </c>
      <c r="C104" s="463"/>
      <c r="D104" s="463"/>
      <c r="E104" s="463"/>
      <c r="F104" s="463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0.39496415004768026</v>
      </c>
    </row>
    <row r="105" spans="1:21">
      <c r="A105" s="138" t="str">
        <f t="shared" si="17"/>
        <v>711p</v>
      </c>
      <c r="B105" s="464" t="str">
        <f>+VLOOKUP(LEFT($A105,LEN(A105)-1)*1,Master!$D$25:$G$223,4,FALSE)</f>
        <v>Porezi</v>
      </c>
      <c r="C105" s="465"/>
      <c r="D105" s="465"/>
      <c r="E105" s="465"/>
      <c r="F105" s="465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0.24036568518889503</v>
      </c>
      <c r="U105" s="303"/>
    </row>
    <row r="106" spans="1:21">
      <c r="A106" s="138" t="str">
        <f t="shared" si="17"/>
        <v>7111p</v>
      </c>
      <c r="B106" s="466" t="str">
        <f>+VLOOKUP(LEFT($A106,LEN(A106)-1)*1,Master!$D$25:$G$223,4,FALSE)</f>
        <v>Porez na dohodak fizičkih lica</v>
      </c>
      <c r="C106" s="467"/>
      <c r="D106" s="467"/>
      <c r="E106" s="467"/>
      <c r="F106" s="467"/>
      <c r="G106" s="91">
        <f>+SUM(DataEx!EH221)</f>
        <v>3445730.68</v>
      </c>
      <c r="H106" s="91">
        <f>+SUM(DataEx!EI221)</f>
        <v>9145427.7004242092</v>
      </c>
      <c r="I106" s="91">
        <f>+SUM(DataEx!EJ221)</f>
        <v>10121749.817724096</v>
      </c>
      <c r="J106" s="91">
        <f>+SUM(DataEx!EK221)</f>
        <v>8543881.1088797171</v>
      </c>
      <c r="K106" s="91">
        <f>+SUM(DataEx!EL221)</f>
        <v>8733654.6548668258</v>
      </c>
      <c r="L106" s="91">
        <f>+SUM(DataEx!EM221)</f>
        <v>9954508.8904511016</v>
      </c>
      <c r="M106" s="91">
        <f>+SUM(DataEx!EN221)</f>
        <v>12848847.212564949</v>
      </c>
      <c r="N106" s="91">
        <f>+SUM(DataEx!EO221)</f>
        <v>11972281.172638645</v>
      </c>
      <c r="O106" s="91">
        <f>+SUM(DataEx!EP221)</f>
        <v>12910432.881604763</v>
      </c>
      <c r="P106" s="91">
        <f>+SUM(DataEx!EQ221)</f>
        <v>10424403.066179592</v>
      </c>
      <c r="Q106" s="91">
        <f>+SUM(DataEx!ER221)</f>
        <v>8922339.2000792101</v>
      </c>
      <c r="R106" s="91">
        <f>+SUM(DataEx!ES221)</f>
        <v>18560135.152000677</v>
      </c>
      <c r="S106" s="126">
        <f t="shared" si="20"/>
        <v>125583391.53741376</v>
      </c>
      <c r="T106" s="127">
        <f t="shared" si="21"/>
        <v>3.1967262705209054E-2</v>
      </c>
    </row>
    <row r="107" spans="1:21">
      <c r="A107" s="138" t="str">
        <f t="shared" si="17"/>
        <v>7112p</v>
      </c>
      <c r="B107" s="466" t="str">
        <f>+VLOOKUP(LEFT($A107,LEN(A107)-1)*1,Master!$D$25:$G$223,4,FALSE)</f>
        <v>Porez na dobit pravnih lica</v>
      </c>
      <c r="C107" s="467"/>
      <c r="D107" s="467"/>
      <c r="E107" s="467"/>
      <c r="F107" s="467"/>
      <c r="G107" s="91">
        <f>+SUM(DataEx!EH222)</f>
        <v>319868.36632967507</v>
      </c>
      <c r="H107" s="91">
        <f>+SUM(DataEx!EI222)</f>
        <v>1275692.7823229732</v>
      </c>
      <c r="I107" s="91">
        <f>+SUM(DataEx!EJ222)</f>
        <v>15606774.300851075</v>
      </c>
      <c r="J107" s="91">
        <f>+SUM(DataEx!EK222)</f>
        <v>11880917.025348544</v>
      </c>
      <c r="K107" s="91">
        <f>+SUM(DataEx!EL222)</f>
        <v>2694890.5355524938</v>
      </c>
      <c r="L107" s="91">
        <f>+SUM(DataEx!EM222)</f>
        <v>4614984.2836715048</v>
      </c>
      <c r="M107" s="91">
        <f>+SUM(DataEx!EN222)</f>
        <v>2644838.5201759087</v>
      </c>
      <c r="N107" s="91">
        <f>+SUM(DataEx!EO222)</f>
        <v>2920331.1421357361</v>
      </c>
      <c r="O107" s="91">
        <f>+SUM(DataEx!EP222)</f>
        <v>1809770.5258781903</v>
      </c>
      <c r="P107" s="91">
        <f>+SUM(DataEx!EQ222)</f>
        <v>1613666.6581515796</v>
      </c>
      <c r="Q107" s="91">
        <f>+SUM(DataEx!ER222)</f>
        <v>541050.49431968771</v>
      </c>
      <c r="R107" s="91">
        <f>+SUM(DataEx!ES222)</f>
        <v>999903.42131223751</v>
      </c>
      <c r="S107" s="126">
        <f t="shared" si="20"/>
        <v>46922688.056049608</v>
      </c>
      <c r="T107" s="127">
        <f t="shared" si="21"/>
        <v>1.1944174126524019E-2</v>
      </c>
    </row>
    <row r="108" spans="1:21">
      <c r="A108" s="138" t="str">
        <f t="shared" si="17"/>
        <v>7113p</v>
      </c>
      <c r="B108" s="466" t="str">
        <f>+VLOOKUP(LEFT($A108,LEN(A108)-1)*1,Master!$D$25:$G$223,4,FALSE)</f>
        <v>Porez na promet nepokretnosti</v>
      </c>
      <c r="C108" s="467"/>
      <c r="D108" s="467"/>
      <c r="E108" s="467"/>
      <c r="F108" s="467"/>
      <c r="G108" s="91">
        <f>+SUM(DataEx!EH223)</f>
        <v>156784.53115028006</v>
      </c>
      <c r="H108" s="91">
        <f>+SUM(DataEx!EI223)</f>
        <v>215996.23844451422</v>
      </c>
      <c r="I108" s="91">
        <f>+SUM(DataEx!EJ223)</f>
        <v>172844.23524068185</v>
      </c>
      <c r="J108" s="91">
        <f>+SUM(DataEx!EK223)</f>
        <v>166312.68055694172</v>
      </c>
      <c r="K108" s="91">
        <f>+SUM(DataEx!EL223)</f>
        <v>177348.58546757439</v>
      </c>
      <c r="L108" s="91">
        <f>+SUM(DataEx!EM223)</f>
        <v>232734.91327750011</v>
      </c>
      <c r="M108" s="91">
        <f>+SUM(DataEx!EN223)</f>
        <v>162468.08893173773</v>
      </c>
      <c r="N108" s="91">
        <f>+SUM(DataEx!EO223)</f>
        <v>245981.65668851638</v>
      </c>
      <c r="O108" s="91">
        <f>+SUM(DataEx!EP223)</f>
        <v>296340.06182741246</v>
      </c>
      <c r="P108" s="91">
        <f>+SUM(DataEx!EQ223)</f>
        <v>190322.06899586218</v>
      </c>
      <c r="Q108" s="91">
        <f>+SUM(DataEx!ER223)</f>
        <v>224798.65338931847</v>
      </c>
      <c r="R108" s="91">
        <f>+SUM(DataEx!ES223)</f>
        <v>217462.68507191085</v>
      </c>
      <c r="S108" s="126">
        <f t="shared" si="20"/>
        <v>2459394.3990422501</v>
      </c>
      <c r="T108" s="127">
        <f t="shared" si="21"/>
        <v>6.260390477388953E-4</v>
      </c>
    </row>
    <row r="109" spans="1:21">
      <c r="A109" s="138" t="str">
        <f t="shared" si="17"/>
        <v>7114p</v>
      </c>
      <c r="B109" s="466" t="str">
        <f>+VLOOKUP(LEFT($A109,LEN(A109)-1)*1,Master!$D$25:$G$223,4,FALSE)</f>
        <v>Porez na dodatu vrijednost</v>
      </c>
      <c r="C109" s="467"/>
      <c r="D109" s="467"/>
      <c r="E109" s="467"/>
      <c r="F109" s="467"/>
      <c r="G109" s="91">
        <f>+SUM(DataEx!EH224)</f>
        <v>35038006.882620126</v>
      </c>
      <c r="H109" s="91">
        <f>+SUM(DataEx!EI224)</f>
        <v>34439419.532361373</v>
      </c>
      <c r="I109" s="91">
        <f>+SUM(DataEx!EJ224)</f>
        <v>36610416.4961081</v>
      </c>
      <c r="J109" s="91">
        <f>+SUM(DataEx!EK224)</f>
        <v>38572572.842501707</v>
      </c>
      <c r="K109" s="91">
        <f>+SUM(DataEx!EL224)</f>
        <v>41434170.447496742</v>
      </c>
      <c r="L109" s="91">
        <f>+SUM(DataEx!EM224)</f>
        <v>46352523.998122126</v>
      </c>
      <c r="M109" s="91">
        <f>+SUM(DataEx!EN224)</f>
        <v>50698247.403485686</v>
      </c>
      <c r="N109" s="91">
        <f>+SUM(DataEx!EO224)</f>
        <v>58728722.217279099</v>
      </c>
      <c r="O109" s="91">
        <f>+SUM(DataEx!EP224)</f>
        <v>48579978.228629358</v>
      </c>
      <c r="P109" s="91">
        <f>+SUM(DataEx!EQ224)</f>
        <v>46963099.251775004</v>
      </c>
      <c r="Q109" s="91">
        <f>+SUM(DataEx!ER224)</f>
        <v>42160271.759740531</v>
      </c>
      <c r="R109" s="91">
        <f>+SUM(DataEx!ES224)</f>
        <v>45168008.320931129</v>
      </c>
      <c r="S109" s="126">
        <f t="shared" si="20"/>
        <v>524745437.38105094</v>
      </c>
      <c r="T109" s="127">
        <f t="shared" si="21"/>
        <v>0.13357399449689472</v>
      </c>
    </row>
    <row r="110" spans="1:21">
      <c r="A110" s="138" t="str">
        <f t="shared" si="17"/>
        <v>7115p</v>
      </c>
      <c r="B110" s="466" t="str">
        <f>+VLOOKUP(LEFT($A110,LEN(A110)-1)*1,Master!$D$25:$G$223,4,FALSE)</f>
        <v>Akcize</v>
      </c>
      <c r="C110" s="467"/>
      <c r="D110" s="467"/>
      <c r="E110" s="467"/>
      <c r="F110" s="467"/>
      <c r="G110" s="91">
        <f>+SUM(DataEx!EH225)</f>
        <v>12892504.45877865</v>
      </c>
      <c r="H110" s="91">
        <f>+SUM(DataEx!EI225)</f>
        <v>12119703.851627368</v>
      </c>
      <c r="I110" s="91">
        <f>+SUM(DataEx!EJ225)</f>
        <v>13870804.729335839</v>
      </c>
      <c r="J110" s="91">
        <f>+SUM(DataEx!EK225)</f>
        <v>14610210.360753594</v>
      </c>
      <c r="K110" s="91">
        <f>+SUM(DataEx!EL225)</f>
        <v>16300422.349870451</v>
      </c>
      <c r="L110" s="91">
        <f>+SUM(DataEx!EM225)</f>
        <v>18609472.866493613</v>
      </c>
      <c r="M110" s="91">
        <f>+SUM(DataEx!EN225)</f>
        <v>20547920.740498953</v>
      </c>
      <c r="N110" s="91">
        <f>+SUM(DataEx!EO225)</f>
        <v>24414293.57144583</v>
      </c>
      <c r="O110" s="91">
        <f>+SUM(DataEx!EP225)</f>
        <v>23471505.696022253</v>
      </c>
      <c r="P110" s="91">
        <f>+SUM(DataEx!EQ225)</f>
        <v>19541702.474037282</v>
      </c>
      <c r="Q110" s="91">
        <f>+SUM(DataEx!ER225)</f>
        <v>16768578.081388976</v>
      </c>
      <c r="R110" s="91">
        <f>+SUM(DataEx!ES225)</f>
        <v>17334177.519377578</v>
      </c>
      <c r="S110" s="126">
        <f t="shared" si="20"/>
        <v>210481296.69963041</v>
      </c>
      <c r="T110" s="127">
        <f t="shared" si="21"/>
        <v>5.3578031487751157E-2</v>
      </c>
    </row>
    <row r="111" spans="1:21">
      <c r="A111" s="138" t="str">
        <f t="shared" si="17"/>
        <v>7116p</v>
      </c>
      <c r="B111" s="466" t="str">
        <f>+VLOOKUP(LEFT($A111,LEN(A111)-1)*1,Master!$D$25:$G$223,4,FALSE)</f>
        <v>Porez na međunarodnu trgovinu i transakcije</v>
      </c>
      <c r="C111" s="467"/>
      <c r="D111" s="467"/>
      <c r="E111" s="467"/>
      <c r="F111" s="467"/>
      <c r="G111" s="91">
        <f>+SUM(DataEx!EH226)</f>
        <v>1020117.0792786785</v>
      </c>
      <c r="H111" s="91">
        <f>+SUM(DataEx!EI226)</f>
        <v>1549568.1072133458</v>
      </c>
      <c r="I111" s="91">
        <f>+SUM(DataEx!EJ226)</f>
        <v>1995477.1757682527</v>
      </c>
      <c r="J111" s="91">
        <f>+SUM(DataEx!EK226)</f>
        <v>2074792.1116972775</v>
      </c>
      <c r="K111" s="91">
        <f>+SUM(DataEx!EL226)</f>
        <v>2086161.3669564624</v>
      </c>
      <c r="L111" s="91">
        <f>+SUM(DataEx!EM226)</f>
        <v>2213983.5460728402</v>
      </c>
      <c r="M111" s="91">
        <f>+SUM(DataEx!EN226)</f>
        <v>2470029.8389860876</v>
      </c>
      <c r="N111" s="91">
        <f>+SUM(DataEx!EO226)</f>
        <v>2792769.9688101793</v>
      </c>
      <c r="O111" s="91">
        <f>+SUM(DataEx!EP226)</f>
        <v>2392576.4889084394</v>
      </c>
      <c r="P111" s="91">
        <f>+SUM(DataEx!EQ226)</f>
        <v>2053687.1611713313</v>
      </c>
      <c r="Q111" s="91">
        <f>+SUM(DataEx!ER226)</f>
        <v>1789771.7782482144</v>
      </c>
      <c r="R111" s="91">
        <f>+SUM(DataEx!ES226)</f>
        <v>1987808.9022146964</v>
      </c>
      <c r="S111" s="126">
        <f t="shared" si="20"/>
        <v>24426743.525325805</v>
      </c>
      <c r="T111" s="127">
        <f t="shared" si="21"/>
        <v>6.2178295851662985E-3</v>
      </c>
    </row>
    <row r="112" spans="1:21">
      <c r="A112" s="138" t="str">
        <f t="shared" si="17"/>
        <v>7118p</v>
      </c>
      <c r="B112" s="466" t="str">
        <f>+VLOOKUP(LEFT($A112,LEN(A112)-1)*1,Master!$D$25:$G$223,4,FALSE)</f>
        <v>Ostali državni porezi</v>
      </c>
      <c r="C112" s="467"/>
      <c r="D112" s="467"/>
      <c r="E112" s="467"/>
      <c r="F112" s="467"/>
      <c r="G112" s="91">
        <f>+SUM(DataEx!EH228)</f>
        <v>519999.19958666293</v>
      </c>
      <c r="H112" s="91">
        <f>+SUM(DataEx!EI228)</f>
        <v>552690.53896879952</v>
      </c>
      <c r="I112" s="91">
        <f>+SUM(DataEx!EJ228)</f>
        <v>862173.85894013394</v>
      </c>
      <c r="J112" s="91">
        <f>+SUM(DataEx!EK228)</f>
        <v>921140.58562000177</v>
      </c>
      <c r="K112" s="91">
        <f>+SUM(DataEx!EL228)</f>
        <v>857926.48421483312</v>
      </c>
      <c r="L112" s="91">
        <f>+SUM(DataEx!EM228)</f>
        <v>889611.95593554468</v>
      </c>
      <c r="M112" s="91">
        <f>+SUM(DataEx!EN228)</f>
        <v>843301.64671243716</v>
      </c>
      <c r="N112" s="91">
        <f>+SUM(DataEx!EO228)</f>
        <v>1017536.9503792862</v>
      </c>
      <c r="O112" s="91">
        <f>+SUM(DataEx!EP228)</f>
        <v>850957.23877843586</v>
      </c>
      <c r="P112" s="91">
        <f>+SUM(DataEx!EQ228)</f>
        <v>803528.96288030746</v>
      </c>
      <c r="Q112" s="91">
        <f>+SUM(DataEx!ER228)</f>
        <v>697203.75185900577</v>
      </c>
      <c r="R112" s="91">
        <f>+SUM(DataEx!ES228)</f>
        <v>841571.49218586681</v>
      </c>
      <c r="S112" s="126">
        <f t="shared" si="20"/>
        <v>9657642.6660613157</v>
      </c>
      <c r="T112" s="127">
        <f t="shared" si="21"/>
        <v>2.4583537396108733E-3</v>
      </c>
    </row>
    <row r="113" spans="1:20">
      <c r="A113" s="138" t="str">
        <f t="shared" si="17"/>
        <v>712p</v>
      </c>
      <c r="B113" s="479" t="str">
        <f>+VLOOKUP(LEFT($A113,LEN(A113)-1)*1,Master!$D$25:$G$223,4,FALSE)</f>
        <v>Doprinosi</v>
      </c>
      <c r="C113" s="480"/>
      <c r="D113" s="480"/>
      <c r="E113" s="480"/>
      <c r="F113" s="480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0.12527855213274178</v>
      </c>
    </row>
    <row r="114" spans="1:20">
      <c r="A114" s="138" t="str">
        <f t="shared" si="17"/>
        <v>7121p</v>
      </c>
      <c r="B114" s="466" t="str">
        <f>+VLOOKUP(LEFT($A114,LEN(A114)-1)*1,Master!$D$25:$G$223,4,FALSE)</f>
        <v>Doprinosi za penzijsko i invalidsko osiguranje</v>
      </c>
      <c r="C114" s="467"/>
      <c r="D114" s="467"/>
      <c r="E114" s="467"/>
      <c r="F114" s="467"/>
      <c r="G114" s="91">
        <f>+SUM(DataEx!EH230)</f>
        <v>9060796.079177171</v>
      </c>
      <c r="H114" s="91">
        <f>+SUM(DataEx!EI230)</f>
        <v>23124706.852591999</v>
      </c>
      <c r="I114" s="91">
        <f>+SUM(DataEx!EJ230)</f>
        <v>25778145.761630509</v>
      </c>
      <c r="J114" s="91">
        <f>+SUM(DataEx!EK230)</f>
        <v>22315006.097604383</v>
      </c>
      <c r="K114" s="91">
        <f>+SUM(DataEx!EL230)</f>
        <v>22883149.755243029</v>
      </c>
      <c r="L114" s="91">
        <f>+SUM(DataEx!EM230)</f>
        <v>24653399.098267406</v>
      </c>
      <c r="M114" s="91">
        <f>+SUM(DataEx!EN230)</f>
        <v>21096909.436257415</v>
      </c>
      <c r="N114" s="91">
        <f>+SUM(DataEx!EO230)</f>
        <v>23562273.747153763</v>
      </c>
      <c r="O114" s="91">
        <f>+SUM(DataEx!EP230)</f>
        <v>25444734.42588995</v>
      </c>
      <c r="P114" s="91">
        <f>+SUM(DataEx!EQ230)</f>
        <v>23008561.099321935</v>
      </c>
      <c r="Q114" s="91">
        <f>+SUM(DataEx!ER230)</f>
        <v>25730958.328370228</v>
      </c>
      <c r="R114" s="91">
        <f>+SUM(DataEx!ES230)</f>
        <v>46954173.159861192</v>
      </c>
      <c r="S114" s="126">
        <f t="shared" si="20"/>
        <v>293612813.84136897</v>
      </c>
      <c r="T114" s="127">
        <f t="shared" si="21"/>
        <v>7.4739166053549438E-2</v>
      </c>
    </row>
    <row r="115" spans="1:20">
      <c r="A115" s="138" t="str">
        <f t="shared" si="17"/>
        <v>7122p</v>
      </c>
      <c r="B115" s="466" t="str">
        <f>+VLOOKUP(LEFT($A115,LEN(A115)-1)*1,Master!$D$25:$G$223,4,FALSE)</f>
        <v>Doprinosi za zdravstveno osiguranje</v>
      </c>
      <c r="C115" s="467"/>
      <c r="D115" s="467"/>
      <c r="E115" s="467"/>
      <c r="F115" s="467"/>
      <c r="G115" s="91">
        <f>+SUM(DataEx!EH231)</f>
        <v>5033763.6031913934</v>
      </c>
      <c r="H115" s="91">
        <f>+SUM(DataEx!EI231)</f>
        <v>13190874.32162513</v>
      </c>
      <c r="I115" s="91">
        <f>+SUM(DataEx!EJ231)</f>
        <v>14560034.842802931</v>
      </c>
      <c r="J115" s="91">
        <f>+SUM(DataEx!EK231)</f>
        <v>12426424.31774326</v>
      </c>
      <c r="K115" s="91">
        <f>+SUM(DataEx!EL231)</f>
        <v>12780246.575118551</v>
      </c>
      <c r="L115" s="91">
        <f>+SUM(DataEx!EM231)</f>
        <v>13948223.892347284</v>
      </c>
      <c r="M115" s="91">
        <f>+SUM(DataEx!EN231)</f>
        <v>13453637.29564468</v>
      </c>
      <c r="N115" s="91">
        <f>+SUM(DataEx!EO231)</f>
        <v>14173979.781966317</v>
      </c>
      <c r="O115" s="91">
        <f>+SUM(DataEx!EP231)</f>
        <v>15976537.492320921</v>
      </c>
      <c r="P115" s="91">
        <f>+SUM(DataEx!EQ231)</f>
        <v>14029532.008260634</v>
      </c>
      <c r="Q115" s="91">
        <f>+SUM(DataEx!ER231)</f>
        <v>13649270.684277592</v>
      </c>
      <c r="R115" s="91">
        <f>+SUM(DataEx!ES231)</f>
        <v>29150407.962933309</v>
      </c>
      <c r="S115" s="126">
        <f t="shared" si="20"/>
        <v>172372932.77823201</v>
      </c>
      <c r="T115" s="127">
        <f t="shared" si="21"/>
        <v>4.3877544298900853E-2</v>
      </c>
    </row>
    <row r="116" spans="1:20">
      <c r="A116" s="138" t="str">
        <f t="shared" si="17"/>
        <v>7123p</v>
      </c>
      <c r="B116" s="466" t="str">
        <f>+VLOOKUP(LEFT($A116,LEN(A116)-1)*1,Master!$D$25:$G$223,4,FALSE)</f>
        <v>Doprinosi za osiguranje od nezaposlenosti</v>
      </c>
      <c r="C116" s="467"/>
      <c r="D116" s="467"/>
      <c r="E116" s="467"/>
      <c r="F116" s="467"/>
      <c r="G116" s="91">
        <f>+SUM(DataEx!EH232)</f>
        <v>34766.900814828943</v>
      </c>
      <c r="H116" s="91">
        <f>+SUM(DataEx!EI232)</f>
        <v>993654.74277777073</v>
      </c>
      <c r="I116" s="91">
        <f>+SUM(DataEx!EJ232)</f>
        <v>1113836.8565952757</v>
      </c>
      <c r="J116" s="91">
        <f>+SUM(DataEx!EK232)</f>
        <v>1233130.4486106783</v>
      </c>
      <c r="K116" s="91">
        <f>+SUM(DataEx!EL232)</f>
        <v>1051463.2957267121</v>
      </c>
      <c r="L116" s="91">
        <f>+SUM(DataEx!EM232)</f>
        <v>1178569.585246797</v>
      </c>
      <c r="M116" s="91">
        <f>+SUM(DataEx!EN232)</f>
        <v>1439912.5864559195</v>
      </c>
      <c r="N116" s="91">
        <f>+SUM(DataEx!EO232)</f>
        <v>1558367.0915362868</v>
      </c>
      <c r="O116" s="91">
        <f>+SUM(DataEx!EP232)</f>
        <v>1553495.4782926445</v>
      </c>
      <c r="P116" s="91">
        <f>+SUM(DataEx!EQ232)</f>
        <v>1431813.379118765</v>
      </c>
      <c r="Q116" s="91">
        <f>+SUM(DataEx!ER232)</f>
        <v>1071760.2162897959</v>
      </c>
      <c r="R116" s="91">
        <f>+SUM(DataEx!ES232)</f>
        <v>1237129.1759996265</v>
      </c>
      <c r="S116" s="126">
        <f t="shared" si="20"/>
        <v>13897899.7574651</v>
      </c>
      <c r="T116" s="127">
        <f t="shared" si="21"/>
        <v>3.5377115330189894E-3</v>
      </c>
    </row>
    <row r="117" spans="1:20">
      <c r="A117" s="138" t="str">
        <f t="shared" si="17"/>
        <v>7124p</v>
      </c>
      <c r="B117" s="466" t="str">
        <f>+VLOOKUP(LEFT($A117,LEN(A117)-1)*1,Master!$D$25:$G$223,4,FALSE)</f>
        <v>Ostali doprinosi</v>
      </c>
      <c r="C117" s="467"/>
      <c r="D117" s="467"/>
      <c r="E117" s="467"/>
      <c r="F117" s="467"/>
      <c r="G117" s="91">
        <f>+SUM(DataEx!EH233)</f>
        <v>365065.07289730239</v>
      </c>
      <c r="H117" s="91">
        <f>+SUM(DataEx!EI233)</f>
        <v>976898.58747741836</v>
      </c>
      <c r="I117" s="91">
        <f>+SUM(DataEx!EJ233)</f>
        <v>1060578.7083815164</v>
      </c>
      <c r="J117" s="91">
        <f>+SUM(DataEx!EK233)</f>
        <v>906939.79283236968</v>
      </c>
      <c r="K117" s="91">
        <f>+SUM(DataEx!EL233)</f>
        <v>939719.43547718064</v>
      </c>
      <c r="L117" s="91">
        <f>+SUM(DataEx!EM233)</f>
        <v>1011568.0578182479</v>
      </c>
      <c r="M117" s="91">
        <f>+SUM(DataEx!EN233)</f>
        <v>958414.50063517841</v>
      </c>
      <c r="N117" s="91">
        <f>+SUM(DataEx!EO233)</f>
        <v>1025579.6793235709</v>
      </c>
      <c r="O117" s="91">
        <f>+SUM(DataEx!EP233)</f>
        <v>1037416.9130003202</v>
      </c>
      <c r="P117" s="91">
        <f>+SUM(DataEx!EQ233)</f>
        <v>1150851.9939894073</v>
      </c>
      <c r="Q117" s="91">
        <f>+SUM(DataEx!ER233)</f>
        <v>1002483.7300243885</v>
      </c>
      <c r="R117" s="91">
        <f>+SUM(DataEx!ES233)</f>
        <v>1837629.2045531017</v>
      </c>
      <c r="S117" s="126">
        <f t="shared" si="20"/>
        <v>12273145.676410003</v>
      </c>
      <c r="T117" s="127">
        <f t="shared" si="21"/>
        <v>3.1241302472724965E-3</v>
      </c>
    </row>
    <row r="118" spans="1:20">
      <c r="A118" s="138" t="str">
        <f t="shared" si="17"/>
        <v>713p</v>
      </c>
      <c r="B118" s="477" t="str">
        <f>+VLOOKUP(LEFT($A118,LEN(A118)-1)*1,Master!$D$25:$G$223,4,FALSE)</f>
        <v>Takse</v>
      </c>
      <c r="C118" s="478"/>
      <c r="D118" s="478"/>
      <c r="E118" s="478"/>
      <c r="F118" s="478"/>
      <c r="G118" s="85">
        <f>+SUM(DataEx!EH234)</f>
        <v>610864.67030384962</v>
      </c>
      <c r="H118" s="85">
        <f>+SUM(DataEx!EI234)</f>
        <v>956190.19217041158</v>
      </c>
      <c r="I118" s="85">
        <f>+SUM(DataEx!EJ234)</f>
        <v>1101531.2378384364</v>
      </c>
      <c r="J118" s="85">
        <f>+SUM(DataEx!EK234)</f>
        <v>1012659.4044928866</v>
      </c>
      <c r="K118" s="85">
        <f>+SUM(DataEx!EL234)</f>
        <v>1178564.1353407067</v>
      </c>
      <c r="L118" s="85">
        <f>+SUM(DataEx!EM234)</f>
        <v>1356946.2184835174</v>
      </c>
      <c r="M118" s="85">
        <f>+SUM(DataEx!EN234)</f>
        <v>1348470.7634851695</v>
      </c>
      <c r="N118" s="85">
        <f>+SUM(DataEx!EO234)</f>
        <v>1646935.436847656</v>
      </c>
      <c r="O118" s="85">
        <f>+SUM(DataEx!EP234)</f>
        <v>1304957.8822505821</v>
      </c>
      <c r="P118" s="85">
        <f>+SUM(DataEx!EQ234)</f>
        <v>1090007.5802936796</v>
      </c>
      <c r="Q118" s="85">
        <f>+SUM(DataEx!ER234)</f>
        <v>1069514.6174671263</v>
      </c>
      <c r="R118" s="85">
        <f>+SUM(DataEx!ES234)</f>
        <v>1155633.7530853748</v>
      </c>
      <c r="S118" s="128">
        <f t="shared" si="20"/>
        <v>13832275.892059395</v>
      </c>
      <c r="T118" s="129">
        <f t="shared" si="21"/>
        <v>3.5210069726509851E-3</v>
      </c>
    </row>
    <row r="119" spans="1:20">
      <c r="A119" s="138" t="str">
        <f t="shared" si="17"/>
        <v>714p</v>
      </c>
      <c r="B119" s="477" t="str">
        <f>+VLOOKUP(LEFT($A119,LEN(A119)-1)*1,Master!$D$25:$G$223,4,FALSE)</f>
        <v>Naknade</v>
      </c>
      <c r="C119" s="478"/>
      <c r="D119" s="478"/>
      <c r="E119" s="478"/>
      <c r="F119" s="478"/>
      <c r="G119" s="85">
        <f>+SUM(DataEx!EH241)</f>
        <v>1682455.8460246248</v>
      </c>
      <c r="H119" s="85">
        <f>+SUM(DataEx!EI241)</f>
        <v>1232315.1298845697</v>
      </c>
      <c r="I119" s="85">
        <f>+SUM(DataEx!EJ241)</f>
        <v>1332747.1124490716</v>
      </c>
      <c r="J119" s="85">
        <f>+SUM(DataEx!EK241)</f>
        <v>1975532.6209221156</v>
      </c>
      <c r="K119" s="85">
        <f>+SUM(DataEx!EL241)</f>
        <v>1379961.0350704237</v>
      </c>
      <c r="L119" s="85">
        <f>+SUM(DataEx!EM241)</f>
        <v>1823244.5616456694</v>
      </c>
      <c r="M119" s="85">
        <f>+SUM(DataEx!EN241)</f>
        <v>2820791.0553781362</v>
      </c>
      <c r="N119" s="85">
        <f>+SUM(DataEx!EO241)</f>
        <v>1850940.4561359507</v>
      </c>
      <c r="O119" s="85">
        <f>+SUM(DataEx!EP241)</f>
        <v>2466068.9719773401</v>
      </c>
      <c r="P119" s="85">
        <f>+SUM(DataEx!EQ241)</f>
        <v>2793048.4100497989</v>
      </c>
      <c r="Q119" s="85">
        <f>+SUM(DataEx!ER241)</f>
        <v>1640472.4289961406</v>
      </c>
      <c r="R119" s="85">
        <f>+SUM(DataEx!ES241)</f>
        <v>2451703.7437339895</v>
      </c>
      <c r="S119" s="128">
        <f t="shared" si="20"/>
        <v>23449281.372267835</v>
      </c>
      <c r="T119" s="129">
        <f t="shared" si="21"/>
        <v>5.9690165132411438E-3</v>
      </c>
    </row>
    <row r="120" spans="1:20">
      <c r="A120" s="138" t="str">
        <f t="shared" si="17"/>
        <v>715p</v>
      </c>
      <c r="B120" s="477" t="str">
        <f>+VLOOKUP(LEFT($A120,LEN(A120)-1)*1,Master!$D$25:$G$223,4,FALSE)</f>
        <v>Ostali prihodi</v>
      </c>
      <c r="C120" s="478"/>
      <c r="D120" s="478"/>
      <c r="E120" s="478"/>
      <c r="F120" s="478"/>
      <c r="G120" s="85">
        <f>+SUM(DataEx!EH251)</f>
        <v>1168350.4302555511</v>
      </c>
      <c r="H120" s="85">
        <f>+SUM(DataEx!EI251)</f>
        <v>1798869.4036121303</v>
      </c>
      <c r="I120" s="85">
        <f>+SUM(DataEx!EJ251)</f>
        <v>4217567.8031770149</v>
      </c>
      <c r="J120" s="85">
        <f>+SUM(DataEx!EK251)</f>
        <v>4791550.5507069705</v>
      </c>
      <c r="K120" s="85">
        <f>+SUM(DataEx!EL251)</f>
        <v>2759327.8496096786</v>
      </c>
      <c r="L120" s="85">
        <f>+SUM(DataEx!EM251)</f>
        <v>4234177.9201608691</v>
      </c>
      <c r="M120" s="85">
        <f>+SUM(DataEx!EN251)</f>
        <v>2756294.0427416707</v>
      </c>
      <c r="N120" s="85">
        <f>+SUM(DataEx!EO251)</f>
        <v>3422485.7897798368</v>
      </c>
      <c r="O120" s="85">
        <f>+SUM(DataEx!EP251)</f>
        <v>2475503.0918674311</v>
      </c>
      <c r="P120" s="85">
        <f>+SUM(DataEx!EQ251)</f>
        <v>2324139.1651606886</v>
      </c>
      <c r="Q120" s="85">
        <f>+SUM(DataEx!ER251)</f>
        <v>2273693.8538731383</v>
      </c>
      <c r="R120" s="85">
        <f>+SUM(DataEx!ES251)</f>
        <v>5169176.3101685084</v>
      </c>
      <c r="S120" s="128">
        <f t="shared" si="20"/>
        <v>37391136.21111349</v>
      </c>
      <c r="T120" s="129">
        <f t="shared" si="21"/>
        <v>9.5179168158619036E-3</v>
      </c>
    </row>
    <row r="121" spans="1:20">
      <c r="A121" s="138" t="str">
        <f t="shared" si="17"/>
        <v>73p</v>
      </c>
      <c r="B121" s="477" t="str">
        <f>+VLOOKUP(LEFT($A121,LEN(A121)-1)*1,Master!$D$25:$G$223,4,FALSE)</f>
        <v>Primici od otplate kredita i sredstva prenesena iz prethodne godine</v>
      </c>
      <c r="C121" s="478"/>
      <c r="D121" s="478"/>
      <c r="E121" s="478"/>
      <c r="F121" s="478"/>
      <c r="G121" s="85">
        <f>+SUM(DataEx!EH260)</f>
        <v>183698.17865459234</v>
      </c>
      <c r="H121" s="85">
        <f>+SUM(DataEx!EI260)</f>
        <v>102035.58643931696</v>
      </c>
      <c r="I121" s="85">
        <f>+SUM(DataEx!EJ260)</f>
        <v>148096.29167512842</v>
      </c>
      <c r="J121" s="85">
        <f>+SUM(DataEx!EK260)</f>
        <v>127767.63759506466</v>
      </c>
      <c r="K121" s="85">
        <f>+SUM(DataEx!EL260)</f>
        <v>1142721.3076513549</v>
      </c>
      <c r="L121" s="85">
        <f>+SUM(DataEx!EM260)</f>
        <v>701618.42572295177</v>
      </c>
      <c r="M121" s="85">
        <f>+SUM(DataEx!EN260)</f>
        <v>104750.01912924652</v>
      </c>
      <c r="N121" s="85">
        <f>+SUM(DataEx!EO260)</f>
        <v>98423.786607340022</v>
      </c>
      <c r="O121" s="85">
        <f>+SUM(DataEx!EP260)</f>
        <v>166546.28014151528</v>
      </c>
      <c r="P121" s="85">
        <f>+SUM(DataEx!EQ260)</f>
        <v>280543.43877720588</v>
      </c>
      <c r="Q121" s="85">
        <f>+SUM(DataEx!ER260)</f>
        <v>972014.9027765803</v>
      </c>
      <c r="R121" s="85">
        <f>+SUM(DataEx!ES260)</f>
        <v>1282367.813650754</v>
      </c>
      <c r="S121" s="128">
        <f t="shared" si="20"/>
        <v>5310583.6688210517</v>
      </c>
      <c r="T121" s="129">
        <f t="shared" si="21"/>
        <v>1.3518095122364902E-3</v>
      </c>
    </row>
    <row r="122" spans="1:20" ht="13.5" thickBot="1">
      <c r="A122" s="138" t="str">
        <f t="shared" si="17"/>
        <v>74p</v>
      </c>
      <c r="B122" s="481" t="str">
        <f>+VLOOKUP(LEFT($A122,LEN(A122)-1)*1,Master!$D$25:$G$223,4,FALSE)</f>
        <v>Donacije i transferi</v>
      </c>
      <c r="C122" s="482"/>
      <c r="D122" s="482"/>
      <c r="E122" s="482"/>
      <c r="F122" s="482"/>
      <c r="G122" s="85">
        <f>+SUM(DataEx!EH263)</f>
        <v>547322.26784047682</v>
      </c>
      <c r="H122" s="85">
        <f>+SUM(DataEx!EI263)</f>
        <v>467022.50625958334</v>
      </c>
      <c r="I122" s="85">
        <f>+SUM(DataEx!EJ263)</f>
        <v>2218647.0372368339</v>
      </c>
      <c r="J122" s="85">
        <f>+SUM(DataEx!EK263)</f>
        <v>1658251.9080133145</v>
      </c>
      <c r="K122" s="85">
        <f>+SUM(DataEx!EL263)</f>
        <v>2940231.9146968834</v>
      </c>
      <c r="L122" s="85">
        <f>+SUM(DataEx!EM263)</f>
        <v>3480111.7653140961</v>
      </c>
      <c r="M122" s="85">
        <f>+SUM(DataEx!EN263)</f>
        <v>1506547.2713743269</v>
      </c>
      <c r="N122" s="85">
        <f>+SUM(DataEx!EO263)</f>
        <v>1860592.1593926547</v>
      </c>
      <c r="O122" s="85">
        <f>+SUM(DataEx!EP263)</f>
        <v>4235813.5165702263</v>
      </c>
      <c r="P122" s="85">
        <f>+SUM(DataEx!EQ263)</f>
        <v>3997546.8172499253</v>
      </c>
      <c r="Q122" s="85">
        <f>+SUM(DataEx!ER263)</f>
        <v>4745750.1562713273</v>
      </c>
      <c r="R122" s="85">
        <f>+SUM(DataEx!ES263)</f>
        <v>7542162.679780351</v>
      </c>
      <c r="S122" s="130">
        <f t="shared" si="20"/>
        <v>35200000</v>
      </c>
      <c r="T122" s="131">
        <f t="shared" si="21"/>
        <v>8.960162912052946E-3</v>
      </c>
    </row>
    <row r="123" spans="1:20" ht="13.5" thickBot="1">
      <c r="A123" s="138" t="str">
        <f t="shared" si="17"/>
        <v>4p</v>
      </c>
      <c r="B123" s="483" t="str">
        <f>+VLOOKUP(LEFT($A123,LEN(A123)-1)*1,Master!$D$25:$G$223,4,FALSE)</f>
        <v>Budžetki izdaci</v>
      </c>
      <c r="C123" s="484"/>
      <c r="D123" s="484"/>
      <c r="E123" s="484"/>
      <c r="F123" s="484"/>
      <c r="G123" s="97">
        <f>+G125+G136+G142+SUM(G143:G146)</f>
        <v>131434792.19416665</v>
      </c>
      <c r="H123" s="97">
        <f>+H125+H136+H142+SUM(H143:H146)</f>
        <v>129197706.29416665</v>
      </c>
      <c r="I123" s="97">
        <f t="shared" ref="H123:R123" si="23">+I125+I136+I142+SUM(I143:I146)</f>
        <v>164227324.94416666</v>
      </c>
      <c r="J123" s="97">
        <f t="shared" si="23"/>
        <v>149347946.03416666</v>
      </c>
      <c r="K123" s="97">
        <f t="shared" si="23"/>
        <v>144306471.62416667</v>
      </c>
      <c r="L123" s="97">
        <f t="shared" si="23"/>
        <v>130401119.74416664</v>
      </c>
      <c r="M123" s="97">
        <f t="shared" si="23"/>
        <v>159102822.29416665</v>
      </c>
      <c r="N123" s="97">
        <f t="shared" si="23"/>
        <v>154842786.41416666</v>
      </c>
      <c r="O123" s="97">
        <f t="shared" si="23"/>
        <v>155443119.26416665</v>
      </c>
      <c r="P123" s="97">
        <f t="shared" si="23"/>
        <v>153961705.81416667</v>
      </c>
      <c r="Q123" s="97">
        <f t="shared" si="23"/>
        <v>157397244.08416665</v>
      </c>
      <c r="R123" s="97">
        <f t="shared" si="23"/>
        <v>155711945.21416667</v>
      </c>
      <c r="S123" s="132">
        <f>+SUM(G123:R123)</f>
        <v>1785374983.9199996</v>
      </c>
      <c r="T123" s="133">
        <f t="shared" si="21"/>
        <v>0.45446734985872461</v>
      </c>
    </row>
    <row r="124" spans="1:20" ht="13.5" thickBot="1">
      <c r="A124" s="138" t="str">
        <f t="shared" si="17"/>
        <v>41p</v>
      </c>
      <c r="B124" s="485" t="str">
        <f>+VLOOKUP(LEFT($A124,LEN(A124)-1)*1,Master!$D$25:$G$223,4,FALSE)</f>
        <v>Tekući izdaci</v>
      </c>
      <c r="C124" s="486"/>
      <c r="D124" s="486"/>
      <c r="E124" s="486"/>
      <c r="F124" s="486"/>
      <c r="G124" s="80">
        <f t="shared" ref="G124:R124" si="24">+G123-G143</f>
        <v>117280862.19416665</v>
      </c>
      <c r="H124" s="80">
        <f t="shared" si="24"/>
        <v>115043776.29416665</v>
      </c>
      <c r="I124" s="80">
        <f t="shared" si="24"/>
        <v>150073394.94416666</v>
      </c>
      <c r="J124" s="80">
        <f t="shared" si="24"/>
        <v>135194016.03416666</v>
      </c>
      <c r="K124" s="80">
        <f t="shared" si="24"/>
        <v>130152541.62416667</v>
      </c>
      <c r="L124" s="80">
        <f t="shared" si="24"/>
        <v>116247189.74416664</v>
      </c>
      <c r="M124" s="80">
        <f t="shared" si="24"/>
        <v>126076985.62416665</v>
      </c>
      <c r="N124" s="80">
        <f t="shared" si="24"/>
        <v>121816949.74416666</v>
      </c>
      <c r="O124" s="80">
        <f t="shared" si="24"/>
        <v>122417282.59416665</v>
      </c>
      <c r="P124" s="80">
        <f t="shared" si="24"/>
        <v>120935869.14416666</v>
      </c>
      <c r="Q124" s="80">
        <f t="shared" si="24"/>
        <v>124371407.41416664</v>
      </c>
      <c r="R124" s="80">
        <f t="shared" si="24"/>
        <v>122686108.54416667</v>
      </c>
      <c r="S124" s="134">
        <f t="shared" si="20"/>
        <v>1502296383.8999996</v>
      </c>
      <c r="T124" s="135">
        <f t="shared" si="21"/>
        <v>0.38240966880488725</v>
      </c>
    </row>
    <row r="125" spans="1:20">
      <c r="A125" s="138" t="str">
        <f t="shared" si="17"/>
        <v>40p</v>
      </c>
      <c r="B125" s="487" t="str">
        <f>+VLOOKUP(LEFT($A125,LEN(A125)-1)*1,Master!$D$25:$G$223,4,FALSE)</f>
        <v>Tekući budžetski izdaci</v>
      </c>
      <c r="C125" s="488"/>
      <c r="D125" s="488"/>
      <c r="E125" s="488"/>
      <c r="F125" s="488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0.1911567511060201</v>
      </c>
    </row>
    <row r="126" spans="1:20">
      <c r="A126" s="138" t="str">
        <f t="shared" si="17"/>
        <v>411p</v>
      </c>
      <c r="B126" s="466" t="str">
        <f>+VLOOKUP(LEFT($A126,LEN(A126)-1)*1,Master!$D$25:$G$223,4,FALSE)</f>
        <v>Bruto zarade i doprinosi na teret poslodavca</v>
      </c>
      <c r="C126" s="467"/>
      <c r="D126" s="467"/>
      <c r="E126" s="467"/>
      <c r="F126" s="467"/>
      <c r="G126" s="91">
        <f>+SUM(DataEx!EH272)</f>
        <v>36520519.998333327</v>
      </c>
      <c r="H126" s="91">
        <f>+SUM(DataEx!EI272)</f>
        <v>36520519.998333327</v>
      </c>
      <c r="I126" s="91">
        <f>+SUM(DataEx!EJ272)</f>
        <v>36520519.998333327</v>
      </c>
      <c r="J126" s="91">
        <f>+SUM(DataEx!EK272)</f>
        <v>36520519.998333327</v>
      </c>
      <c r="K126" s="91">
        <f>+SUM(DataEx!EL272)</f>
        <v>36520519.998333327</v>
      </c>
      <c r="L126" s="91">
        <f>+SUM(DataEx!EM272)</f>
        <v>36520519.998333327</v>
      </c>
      <c r="M126" s="91">
        <f>+SUM(DataEx!EN272)</f>
        <v>36520519.998333327</v>
      </c>
      <c r="N126" s="91">
        <f>+SUM(DataEx!EO272)</f>
        <v>36520519.998333327</v>
      </c>
      <c r="O126" s="91">
        <f>+SUM(DataEx!EP272)</f>
        <v>36520519.998333327</v>
      </c>
      <c r="P126" s="91">
        <f>+SUM(DataEx!EQ272)</f>
        <v>36520519.998333327</v>
      </c>
      <c r="Q126" s="91">
        <f>+SUM(DataEx!ER272)</f>
        <v>36520519.998333327</v>
      </c>
      <c r="R126" s="91">
        <f>+SUM(DataEx!ES272)</f>
        <v>36520519.998333327</v>
      </c>
      <c r="S126" s="126">
        <f t="shared" si="20"/>
        <v>438246239.97999996</v>
      </c>
      <c r="T126" s="127">
        <f t="shared" si="21"/>
        <v>0.1115556166424844</v>
      </c>
    </row>
    <row r="127" spans="1:20">
      <c r="A127" s="138" t="str">
        <f t="shared" si="17"/>
        <v>412p</v>
      </c>
      <c r="B127" s="466" t="str">
        <f>+VLOOKUP(LEFT($A127,LEN(A127)-1)*1,Master!$D$25:$G$223,4,FALSE)</f>
        <v>Ostala lična primanja</v>
      </c>
      <c r="C127" s="467"/>
      <c r="D127" s="467"/>
      <c r="E127" s="467"/>
      <c r="F127" s="467"/>
      <c r="G127" s="91">
        <f>SUM(DataEx!EH278)</f>
        <v>849012.24750000006</v>
      </c>
      <c r="H127" s="91">
        <f>SUM(DataEx!EI278)</f>
        <v>849012.24750000006</v>
      </c>
      <c r="I127" s="91">
        <f>SUM(DataEx!EJ278)</f>
        <v>849012.24750000006</v>
      </c>
      <c r="J127" s="91">
        <f>SUM(DataEx!EK278)</f>
        <v>849012.24750000006</v>
      </c>
      <c r="K127" s="91">
        <f>SUM(DataEx!EL278)</f>
        <v>849012.24750000006</v>
      </c>
      <c r="L127" s="91">
        <f>SUM(DataEx!EM278)</f>
        <v>849012.24750000006</v>
      </c>
      <c r="M127" s="91">
        <f>SUM(DataEx!EN278)</f>
        <v>849012.24750000006</v>
      </c>
      <c r="N127" s="91">
        <f>SUM(DataEx!EO278)</f>
        <v>849012.24750000006</v>
      </c>
      <c r="O127" s="91">
        <f>SUM(DataEx!EP278)</f>
        <v>849012.24750000006</v>
      </c>
      <c r="P127" s="91">
        <f>SUM(DataEx!EQ278)</f>
        <v>849012.24750000006</v>
      </c>
      <c r="Q127" s="91">
        <f>SUM(DataEx!ER278)</f>
        <v>849012.24750000006</v>
      </c>
      <c r="R127" s="91">
        <f>SUM(DataEx!ES278)</f>
        <v>849012.24750000006</v>
      </c>
      <c r="S127" s="126">
        <f t="shared" si="20"/>
        <v>10188146.970000004</v>
      </c>
      <c r="T127" s="127">
        <f t="shared" si="21"/>
        <v>2.5933936540664389E-3</v>
      </c>
    </row>
    <row r="128" spans="1:20">
      <c r="A128" s="138" t="str">
        <f t="shared" si="17"/>
        <v>413p</v>
      </c>
      <c r="B128" s="466" t="str">
        <f>+VLOOKUP(LEFT($A128,LEN(A128)-1)*1,Master!$D$25:$G$223,4,FALSE)</f>
        <v>Rashodi za materijal</v>
      </c>
      <c r="C128" s="467"/>
      <c r="D128" s="467"/>
      <c r="E128" s="467"/>
      <c r="F128" s="467"/>
      <c r="G128" s="91">
        <f>SUM(DataEx!EH286)</f>
        <v>1973140.86</v>
      </c>
      <c r="H128" s="91">
        <f>SUM(DataEx!EI286)</f>
        <v>1973140.86</v>
      </c>
      <c r="I128" s="91">
        <f>SUM(DataEx!EJ286)</f>
        <v>1973140.86</v>
      </c>
      <c r="J128" s="91">
        <f>SUM(DataEx!EK286)</f>
        <v>1973140.86</v>
      </c>
      <c r="K128" s="91">
        <f>SUM(DataEx!EL286)</f>
        <v>1973140.86</v>
      </c>
      <c r="L128" s="91">
        <f>SUM(DataEx!EM286)</f>
        <v>1973140.86</v>
      </c>
      <c r="M128" s="91">
        <f>SUM(DataEx!EN286)</f>
        <v>2959711.29</v>
      </c>
      <c r="N128" s="91">
        <f>SUM(DataEx!EO286)</f>
        <v>2959711.29</v>
      </c>
      <c r="O128" s="91">
        <f>SUM(DataEx!EP286)</f>
        <v>2959711.29</v>
      </c>
      <c r="P128" s="91">
        <f>SUM(DataEx!EQ286)</f>
        <v>2959711.29</v>
      </c>
      <c r="Q128" s="91">
        <f>SUM(DataEx!ER286)</f>
        <v>2959711.29</v>
      </c>
      <c r="R128" s="91">
        <f>SUM(DataEx!ES286)</f>
        <v>2959711.29</v>
      </c>
      <c r="S128" s="126">
        <f t="shared" si="20"/>
        <v>29597112.899999995</v>
      </c>
      <c r="T128" s="127">
        <f t="shared" si="21"/>
        <v>7.5339475372279479E-3</v>
      </c>
    </row>
    <row r="129" spans="1:20">
      <c r="A129" s="138" t="str">
        <f t="shared" si="17"/>
        <v>414p</v>
      </c>
      <c r="B129" s="466" t="str">
        <f>+VLOOKUP(LEFT($A129,LEN(A129)-1)*1,Master!$D$25:$G$223,4,FALSE)</f>
        <v>Rashodi za usluge</v>
      </c>
      <c r="C129" s="467"/>
      <c r="D129" s="467"/>
      <c r="E129" s="467"/>
      <c r="F129" s="467"/>
      <c r="G129" s="91">
        <f>SUM(DataEx!EH293)</f>
        <v>3534983.4</v>
      </c>
      <c r="H129" s="91">
        <f>SUM(DataEx!EI293)</f>
        <v>3534983.4</v>
      </c>
      <c r="I129" s="91">
        <f>SUM(DataEx!EJ293)</f>
        <v>3534983.4</v>
      </c>
      <c r="J129" s="91">
        <f>SUM(DataEx!EK293)</f>
        <v>3534983.4</v>
      </c>
      <c r="K129" s="91">
        <f>SUM(DataEx!EL293)</f>
        <v>3534983.4</v>
      </c>
      <c r="L129" s="91">
        <f>SUM(DataEx!EM293)</f>
        <v>3534983.4</v>
      </c>
      <c r="M129" s="91">
        <f>SUM(DataEx!EN293)</f>
        <v>5302475.09</v>
      </c>
      <c r="N129" s="91">
        <f>SUM(DataEx!EO293)</f>
        <v>5302475.09</v>
      </c>
      <c r="O129" s="91">
        <f>SUM(DataEx!EP293)</f>
        <v>5302475.09</v>
      </c>
      <c r="P129" s="91">
        <f>SUM(DataEx!EQ293)</f>
        <v>5302475.09</v>
      </c>
      <c r="Q129" s="91">
        <f>SUM(DataEx!ER293)</f>
        <v>5302475.09</v>
      </c>
      <c r="R129" s="91">
        <f>SUM(DataEx!ES293)</f>
        <v>5302475.09</v>
      </c>
      <c r="S129" s="126">
        <f t="shared" si="20"/>
        <v>53024750.940000013</v>
      </c>
      <c r="T129" s="127">
        <f t="shared" si="21"/>
        <v>1.3497454738449793E-2</v>
      </c>
    </row>
    <row r="130" spans="1:20">
      <c r="A130" s="138" t="str">
        <f t="shared" si="17"/>
        <v>415p</v>
      </c>
      <c r="B130" s="466" t="str">
        <f>+VLOOKUP(LEFT($A130,LEN(A130)-1)*1,Master!$D$25:$G$223,4,FALSE)</f>
        <v>Rashodi za tekuće održavanje</v>
      </c>
      <c r="C130" s="467"/>
      <c r="D130" s="467"/>
      <c r="E130" s="467"/>
      <c r="F130" s="467"/>
      <c r="G130" s="91">
        <f>SUM(DataEx!EH303)</f>
        <v>1415131.31</v>
      </c>
      <c r="H130" s="91">
        <f>SUM(DataEx!EI303)</f>
        <v>1415131.31</v>
      </c>
      <c r="I130" s="91">
        <f>SUM(DataEx!EJ303)</f>
        <v>1415131.31</v>
      </c>
      <c r="J130" s="91">
        <f>SUM(DataEx!EK303)</f>
        <v>1415131.31</v>
      </c>
      <c r="K130" s="91">
        <f>SUM(DataEx!EL303)</f>
        <v>1415131.31</v>
      </c>
      <c r="L130" s="91">
        <f>SUM(DataEx!EM303)</f>
        <v>1415131.31</v>
      </c>
      <c r="M130" s="91">
        <f>SUM(DataEx!EN303)</f>
        <v>2122696.9700000002</v>
      </c>
      <c r="N130" s="91">
        <f>SUM(DataEx!EO303)</f>
        <v>2122696.9700000002</v>
      </c>
      <c r="O130" s="91">
        <f>SUM(DataEx!EP303)</f>
        <v>2122696.9700000002</v>
      </c>
      <c r="P130" s="91">
        <f>SUM(DataEx!EQ303)</f>
        <v>2122696.9700000002</v>
      </c>
      <c r="Q130" s="91">
        <f>SUM(DataEx!ER303)</f>
        <v>2122696.9700000002</v>
      </c>
      <c r="R130" s="91">
        <f>SUM(DataEx!ES303)</f>
        <v>2122696.9700000002</v>
      </c>
      <c r="S130" s="126">
        <f t="shared" si="20"/>
        <v>21226969.68</v>
      </c>
      <c r="T130" s="127">
        <f t="shared" si="21"/>
        <v>5.4033268881252382E-3</v>
      </c>
    </row>
    <row r="131" spans="1:20">
      <c r="A131" s="138" t="str">
        <f t="shared" si="17"/>
        <v>416p</v>
      </c>
      <c r="B131" s="466" t="str">
        <f>+VLOOKUP(LEFT($A131,LEN(A131)-1)*1,Master!$D$25:$G$223,4,FALSE)</f>
        <v>Kamate</v>
      </c>
      <c r="C131" s="467"/>
      <c r="D131" s="467"/>
      <c r="E131" s="467"/>
      <c r="F131" s="467"/>
      <c r="G131" s="91">
        <f>SUM(DataEx!EH307)</f>
        <v>3333757.43</v>
      </c>
      <c r="H131" s="91">
        <f>SUM(DataEx!EI307)</f>
        <v>1096671.53</v>
      </c>
      <c r="I131" s="91">
        <f>SUM(DataEx!EJ307)</f>
        <v>36126290.18</v>
      </c>
      <c r="J131" s="91">
        <f>SUM(DataEx!EK307)</f>
        <v>21246911.27</v>
      </c>
      <c r="K131" s="91">
        <f>SUM(DataEx!EL307)</f>
        <v>16205436.859999999</v>
      </c>
      <c r="L131" s="91">
        <f>SUM(DataEx!EM307)</f>
        <v>2300084.98</v>
      </c>
      <c r="M131" s="91">
        <f>SUM(DataEx!EN307)</f>
        <v>5535297.3899999997</v>
      </c>
      <c r="N131" s="91">
        <f>SUM(DataEx!EO307)</f>
        <v>1275261.51</v>
      </c>
      <c r="O131" s="91">
        <f>SUM(DataEx!EP307)</f>
        <v>1875594.36</v>
      </c>
      <c r="P131" s="91">
        <f>SUM(DataEx!EQ307)</f>
        <v>394180.91</v>
      </c>
      <c r="Q131" s="91">
        <f>SUM(DataEx!ER307)</f>
        <v>3829719.18</v>
      </c>
      <c r="R131" s="91">
        <f>SUM(DataEx!ES307)</f>
        <v>2144420.31</v>
      </c>
      <c r="S131" s="126">
        <f t="shared" si="20"/>
        <v>95363625.910000011</v>
      </c>
      <c r="T131" s="127">
        <f t="shared" si="21"/>
        <v>2.4274818864706633E-2</v>
      </c>
    </row>
    <row r="132" spans="1:20">
      <c r="A132" s="138" t="str">
        <f t="shared" si="17"/>
        <v>417p</v>
      </c>
      <c r="B132" s="466" t="str">
        <f>+VLOOKUP(LEFT($A132,LEN(A132)-1)*1,Master!$D$25:$G$223,4,FALSE)</f>
        <v>Renta</v>
      </c>
      <c r="C132" s="467"/>
      <c r="D132" s="467"/>
      <c r="E132" s="467"/>
      <c r="F132" s="467"/>
      <c r="G132" s="91">
        <f>SUM(DataEx!EH310)</f>
        <v>776981.62666666659</v>
      </c>
      <c r="H132" s="91">
        <f>SUM(DataEx!EI310)</f>
        <v>776981.62666666659</v>
      </c>
      <c r="I132" s="91">
        <f>SUM(DataEx!EJ310)</f>
        <v>776981.62666666659</v>
      </c>
      <c r="J132" s="91">
        <f>SUM(DataEx!EK310)</f>
        <v>776981.62666666659</v>
      </c>
      <c r="K132" s="91">
        <f>SUM(DataEx!EL310)</f>
        <v>776981.62666666659</v>
      </c>
      <c r="L132" s="91">
        <f>SUM(DataEx!EM310)</f>
        <v>776981.62666666659</v>
      </c>
      <c r="M132" s="91">
        <f>SUM(DataEx!EN310)</f>
        <v>776981.62666666659</v>
      </c>
      <c r="N132" s="91">
        <f>SUM(DataEx!EO310)</f>
        <v>776981.62666666659</v>
      </c>
      <c r="O132" s="91">
        <f>SUM(DataEx!EP310)</f>
        <v>776981.62666666659</v>
      </c>
      <c r="P132" s="91">
        <f>SUM(DataEx!EQ310)</f>
        <v>776981.62666666659</v>
      </c>
      <c r="Q132" s="91">
        <f>SUM(DataEx!ER310)</f>
        <v>776981.62666666659</v>
      </c>
      <c r="R132" s="91">
        <f>SUM(DataEx!ES310)</f>
        <v>776981.62666666659</v>
      </c>
      <c r="S132" s="126">
        <f t="shared" si="20"/>
        <v>9323779.5200000014</v>
      </c>
      <c r="T132" s="127">
        <f t="shared" si="21"/>
        <v>2.373368848160876E-3</v>
      </c>
    </row>
    <row r="133" spans="1:20">
      <c r="A133" s="138" t="str">
        <f t="shared" si="17"/>
        <v>418p</v>
      </c>
      <c r="B133" s="466" t="str">
        <f>+VLOOKUP(LEFT($A133,LEN(A133)-1)*1,Master!$D$25:$G$223,4,FALSE)</f>
        <v>Subvencije</v>
      </c>
      <c r="C133" s="467"/>
      <c r="D133" s="467"/>
      <c r="E133" s="467"/>
      <c r="F133" s="467"/>
      <c r="G133" s="91">
        <f>SUM(DataEx!EH314)</f>
        <v>1661453.33</v>
      </c>
      <c r="H133" s="91">
        <f>SUM(DataEx!EI314)</f>
        <v>1661453.33</v>
      </c>
      <c r="I133" s="91">
        <f>SUM(DataEx!EJ314)</f>
        <v>1661453.33</v>
      </c>
      <c r="J133" s="91">
        <f>SUM(DataEx!EK314)</f>
        <v>1661453.33</v>
      </c>
      <c r="K133" s="91">
        <f>SUM(DataEx!EL314)</f>
        <v>1661453.33</v>
      </c>
      <c r="L133" s="91">
        <f>SUM(DataEx!EM314)</f>
        <v>1661453.33</v>
      </c>
      <c r="M133" s="91">
        <f>SUM(DataEx!EN314)</f>
        <v>2492180</v>
      </c>
      <c r="N133" s="91">
        <f>SUM(DataEx!EO314)</f>
        <v>2492180</v>
      </c>
      <c r="O133" s="91">
        <f>SUM(DataEx!EP314)</f>
        <v>2492180</v>
      </c>
      <c r="P133" s="91">
        <f>SUM(DataEx!EQ314)</f>
        <v>2492180</v>
      </c>
      <c r="Q133" s="91">
        <f>SUM(DataEx!ER314)</f>
        <v>2492180</v>
      </c>
      <c r="R133" s="91">
        <f>SUM(DataEx!ES314)</f>
        <v>2492180</v>
      </c>
      <c r="S133" s="126">
        <f t="shared" si="20"/>
        <v>24921799.98</v>
      </c>
      <c r="T133" s="127">
        <f t="shared" si="21"/>
        <v>6.3438462466590302E-3</v>
      </c>
    </row>
    <row r="134" spans="1:20">
      <c r="A134" s="138" t="str">
        <f t="shared" si="17"/>
        <v>419p</v>
      </c>
      <c r="B134" s="466" t="str">
        <f>+VLOOKUP(LEFT($A134,LEN(A134)-1)*1,Master!$D$25:$G$223,4,FALSE)</f>
        <v>Ostali izdaci</v>
      </c>
      <c r="C134" s="467"/>
      <c r="D134" s="467"/>
      <c r="E134" s="467"/>
      <c r="F134" s="467"/>
      <c r="G134" s="91">
        <f>SUM(DataEx!EH318)</f>
        <v>2197329.84</v>
      </c>
      <c r="H134" s="91">
        <f>SUM(DataEx!EI318)</f>
        <v>2197329.84</v>
      </c>
      <c r="I134" s="91">
        <f>SUM(DataEx!EJ318)</f>
        <v>2197329.84</v>
      </c>
      <c r="J134" s="91">
        <f>SUM(DataEx!EK318)</f>
        <v>2197329.84</v>
      </c>
      <c r="K134" s="91">
        <f>SUM(DataEx!EL318)</f>
        <v>2197329.84</v>
      </c>
      <c r="L134" s="91">
        <f>SUM(DataEx!EM318)</f>
        <v>2197329.84</v>
      </c>
      <c r="M134" s="91">
        <f>SUM(DataEx!EN318)</f>
        <v>3295994.75</v>
      </c>
      <c r="N134" s="91">
        <f>SUM(DataEx!EO318)</f>
        <v>3295994.75</v>
      </c>
      <c r="O134" s="91">
        <f>SUM(DataEx!EP318)</f>
        <v>3295994.75</v>
      </c>
      <c r="P134" s="91">
        <f>SUM(DataEx!EQ318)</f>
        <v>3295994.75</v>
      </c>
      <c r="Q134" s="91">
        <f>SUM(DataEx!ER318)</f>
        <v>3295994.75</v>
      </c>
      <c r="R134" s="91">
        <f>SUM(DataEx!ES318)</f>
        <v>3295994.75</v>
      </c>
      <c r="S134" s="126">
        <f t="shared" si="20"/>
        <v>32959947.539999999</v>
      </c>
      <c r="T134" s="127">
        <f t="shared" si="21"/>
        <v>8.3899573730431467E-3</v>
      </c>
    </row>
    <row r="135" spans="1:20">
      <c r="A135" s="138" t="str">
        <f t="shared" si="17"/>
        <v>440p</v>
      </c>
      <c r="B135" s="466" t="str">
        <f>+VLOOKUP(LEFT($A135,LEN(A135)-1)*1,Master!$D$25:$G$223,4,FALSE)</f>
        <v>Kapitalni izdaci u tekućem budžetu</v>
      </c>
      <c r="C135" s="467"/>
      <c r="D135" s="467"/>
      <c r="E135" s="467"/>
      <c r="F135" s="467"/>
      <c r="G135" s="91">
        <f>SUM(DataEx!EH376)</f>
        <v>2407128.2200000002</v>
      </c>
      <c r="H135" s="91">
        <f>SUM(DataEx!EI376)</f>
        <v>2407128.2200000002</v>
      </c>
      <c r="I135" s="91">
        <f>SUM(DataEx!EJ376)</f>
        <v>2407128.2200000002</v>
      </c>
      <c r="J135" s="91">
        <f>SUM(DataEx!EK376)</f>
        <v>2407128.2200000002</v>
      </c>
      <c r="K135" s="91">
        <f>SUM(DataEx!EL376)</f>
        <v>2407128.2200000002</v>
      </c>
      <c r="L135" s="91">
        <f>SUM(DataEx!EM376)</f>
        <v>2407128.2200000002</v>
      </c>
      <c r="M135" s="91">
        <f>SUM(DataEx!EN376)</f>
        <v>3610692.33</v>
      </c>
      <c r="N135" s="91">
        <f>SUM(DataEx!EO376)</f>
        <v>3610692.33</v>
      </c>
      <c r="O135" s="91">
        <f>SUM(DataEx!EP376)</f>
        <v>3610692.33</v>
      </c>
      <c r="P135" s="91">
        <f>SUM(DataEx!EQ376)</f>
        <v>3610692.33</v>
      </c>
      <c r="Q135" s="91">
        <f>SUM(DataEx!ER376)</f>
        <v>3610692.33</v>
      </c>
      <c r="R135" s="91">
        <f>SUM(DataEx!ES376)</f>
        <v>3610692.33</v>
      </c>
      <c r="S135" s="126">
        <f t="shared" si="20"/>
        <v>36106923.299999997</v>
      </c>
      <c r="T135" s="127">
        <f t="shared" si="21"/>
        <v>9.1910203130966019E-3</v>
      </c>
    </row>
    <row r="136" spans="1:20">
      <c r="A136" s="138" t="str">
        <f t="shared" si="17"/>
        <v>42p</v>
      </c>
      <c r="B136" s="493" t="str">
        <f>+VLOOKUP(LEFT($A136,LEN(A136)-1)*1,Master!$D$25:$G$223,4,FALSE)</f>
        <v>Transferi za socijalnu zaštitu</v>
      </c>
      <c r="C136" s="494"/>
      <c r="D136" s="494"/>
      <c r="E136" s="494"/>
      <c r="F136" s="494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0.14532725085910653</v>
      </c>
    </row>
    <row r="137" spans="1:20">
      <c r="A137" s="138" t="str">
        <f t="shared" si="17"/>
        <v>421p</v>
      </c>
      <c r="B137" s="466" t="str">
        <f>+VLOOKUP(LEFT($A137,LEN(A137)-1)*1,Master!$D$25:$G$223,4,FALSE)</f>
        <v>Prava iz oblasti socijalne zaštite</v>
      </c>
      <c r="C137" s="467"/>
      <c r="D137" s="467"/>
      <c r="E137" s="467"/>
      <c r="F137" s="467"/>
      <c r="G137" s="91">
        <f>SUM(DataEx!EH329)</f>
        <v>9559635.416666666</v>
      </c>
      <c r="H137" s="91">
        <f>SUM(DataEx!EI329)</f>
        <v>9559635.416666666</v>
      </c>
      <c r="I137" s="91">
        <f>SUM(DataEx!EJ329)</f>
        <v>9559635.416666666</v>
      </c>
      <c r="J137" s="91">
        <f>SUM(DataEx!EK329)</f>
        <v>9559635.416666666</v>
      </c>
      <c r="K137" s="91">
        <f>SUM(DataEx!EL329)</f>
        <v>9559635.416666666</v>
      </c>
      <c r="L137" s="91">
        <f>SUM(DataEx!EM329)</f>
        <v>9559635.416666666</v>
      </c>
      <c r="M137" s="91">
        <f>SUM(DataEx!EN329)</f>
        <v>9559635.416666666</v>
      </c>
      <c r="N137" s="91">
        <f>SUM(DataEx!EO329)</f>
        <v>9559635.416666666</v>
      </c>
      <c r="O137" s="91">
        <f>SUM(DataEx!EP329)</f>
        <v>9559635.416666666</v>
      </c>
      <c r="P137" s="91">
        <f>SUM(DataEx!EQ329)</f>
        <v>9559635.416666666</v>
      </c>
      <c r="Q137" s="91">
        <f>SUM(DataEx!ER329)</f>
        <v>9559635.416666666</v>
      </c>
      <c r="R137" s="91">
        <f>SUM(DataEx!ES329)</f>
        <v>9559635.416666666</v>
      </c>
      <c r="S137" s="126">
        <f t="shared" si="20"/>
        <v>114715625.00000001</v>
      </c>
      <c r="T137" s="127">
        <f t="shared" si="21"/>
        <v>2.9200871834033349E-2</v>
      </c>
    </row>
    <row r="138" spans="1:20">
      <c r="A138" s="138" t="str">
        <f t="shared" si="17"/>
        <v>422p</v>
      </c>
      <c r="B138" s="466" t="str">
        <f>+VLOOKUP(LEFT($A138,LEN(A138)-1)*1,Master!$D$25:$G$223,4,FALSE)</f>
        <v>Sredstva za tehnološke viškove</v>
      </c>
      <c r="C138" s="467"/>
      <c r="D138" s="467"/>
      <c r="E138" s="467"/>
      <c r="F138" s="467"/>
      <c r="G138" s="91">
        <f>SUM(DataEx!EH337)</f>
        <v>1716373.3333333333</v>
      </c>
      <c r="H138" s="91">
        <f>SUM(DataEx!EI337)</f>
        <v>1716373.3333333333</v>
      </c>
      <c r="I138" s="91">
        <f>SUM(DataEx!EJ337)</f>
        <v>1716373.3333333333</v>
      </c>
      <c r="J138" s="91">
        <f>SUM(DataEx!EK337)</f>
        <v>1716373.3333333333</v>
      </c>
      <c r="K138" s="91">
        <f>SUM(DataEx!EL337)</f>
        <v>1716373.3333333333</v>
      </c>
      <c r="L138" s="91">
        <f>SUM(DataEx!EM337)</f>
        <v>1716373.3333333333</v>
      </c>
      <c r="M138" s="91">
        <f>SUM(DataEx!EN337)</f>
        <v>1716373.3333333333</v>
      </c>
      <c r="N138" s="91">
        <f>SUM(DataEx!EO337)</f>
        <v>1716373.3333333333</v>
      </c>
      <c r="O138" s="91">
        <f>SUM(DataEx!EP337)</f>
        <v>1716373.3333333333</v>
      </c>
      <c r="P138" s="91">
        <f>SUM(DataEx!EQ337)</f>
        <v>1716373.3333333333</v>
      </c>
      <c r="Q138" s="91">
        <f>SUM(DataEx!ER337)</f>
        <v>1716373.3333333333</v>
      </c>
      <c r="R138" s="91">
        <f>SUM(DataEx!ES337)</f>
        <v>1716373.3333333333</v>
      </c>
      <c r="S138" s="126">
        <f t="shared" si="20"/>
        <v>20596480</v>
      </c>
      <c r="T138" s="127">
        <f t="shared" si="21"/>
        <v>5.2428356879215985E-3</v>
      </c>
    </row>
    <row r="139" spans="1:20">
      <c r="A139" s="138" t="str">
        <f t="shared" si="17"/>
        <v>423p</v>
      </c>
      <c r="B139" s="466" t="str">
        <f>+VLOOKUP(LEFT($A139,LEN(A139)-1)*1,Master!$D$25:$G$223,4,FALSE)</f>
        <v>Prava iz oblasti penzijskog i invalidskog osiguranja</v>
      </c>
      <c r="C139" s="467"/>
      <c r="D139" s="467"/>
      <c r="E139" s="467"/>
      <c r="F139" s="467"/>
      <c r="G139" s="91">
        <f>SUM(DataEx!EH343)</f>
        <v>34262500</v>
      </c>
      <c r="H139" s="91">
        <f>SUM(DataEx!EI343)</f>
        <v>34262500</v>
      </c>
      <c r="I139" s="91">
        <f>SUM(DataEx!EJ343)</f>
        <v>34262500</v>
      </c>
      <c r="J139" s="91">
        <f>SUM(DataEx!EK343)</f>
        <v>34262500</v>
      </c>
      <c r="K139" s="91">
        <f>SUM(DataEx!EL343)</f>
        <v>34262500</v>
      </c>
      <c r="L139" s="91">
        <f>SUM(DataEx!EM343)</f>
        <v>34262500</v>
      </c>
      <c r="M139" s="91">
        <f>SUM(DataEx!EN343)</f>
        <v>34262500</v>
      </c>
      <c r="N139" s="91">
        <f>SUM(DataEx!EO343)</f>
        <v>34262500</v>
      </c>
      <c r="O139" s="91">
        <f>SUM(DataEx!EP343)</f>
        <v>34262500</v>
      </c>
      <c r="P139" s="91">
        <f>SUM(DataEx!EQ343)</f>
        <v>34262500</v>
      </c>
      <c r="Q139" s="91">
        <f>SUM(DataEx!ER343)</f>
        <v>34262500</v>
      </c>
      <c r="R139" s="91">
        <f>SUM(DataEx!ES343)</f>
        <v>34262500</v>
      </c>
      <c r="S139" s="126">
        <f t="shared" si="20"/>
        <v>411150000</v>
      </c>
      <c r="T139" s="127">
        <f t="shared" si="21"/>
        <v>0.10465826651393662</v>
      </c>
    </row>
    <row r="140" spans="1:20">
      <c r="A140" s="138" t="str">
        <f t="shared" si="17"/>
        <v>424p</v>
      </c>
      <c r="B140" s="466" t="str">
        <f>+VLOOKUP(LEFT($A140,LEN(A140)-1)*1,Master!$D$25:$G$223,4,FALSE)</f>
        <v>Ostala prava iz oblasti zdravstvene zaštite</v>
      </c>
      <c r="C140" s="467"/>
      <c r="D140" s="467"/>
      <c r="E140" s="467"/>
      <c r="F140" s="467"/>
      <c r="G140" s="91">
        <f>SUM(DataEx!EH351)</f>
        <v>1327583.3333333333</v>
      </c>
      <c r="H140" s="91">
        <f>SUM(DataEx!EI351)</f>
        <v>1327583.3333333333</v>
      </c>
      <c r="I140" s="91">
        <f>SUM(DataEx!EJ351)</f>
        <v>1327583.3333333333</v>
      </c>
      <c r="J140" s="91">
        <f>SUM(DataEx!EK351)</f>
        <v>1327583.3333333333</v>
      </c>
      <c r="K140" s="91">
        <f>SUM(DataEx!EL351)</f>
        <v>1327583.3333333333</v>
      </c>
      <c r="L140" s="91">
        <f>SUM(DataEx!EM351)</f>
        <v>1327583.3333333333</v>
      </c>
      <c r="M140" s="91">
        <f>SUM(DataEx!EN351)</f>
        <v>1327583.3333333333</v>
      </c>
      <c r="N140" s="91">
        <f>SUM(DataEx!EO351)</f>
        <v>1327583.3333333333</v>
      </c>
      <c r="O140" s="91">
        <f>SUM(DataEx!EP351)</f>
        <v>1327583.3333333333</v>
      </c>
      <c r="P140" s="91">
        <f>SUM(DataEx!EQ351)</f>
        <v>1327583.3333333333</v>
      </c>
      <c r="Q140" s="91">
        <f>SUM(DataEx!ER351)</f>
        <v>1327583.3333333333</v>
      </c>
      <c r="R140" s="91">
        <f>SUM(DataEx!ES351)</f>
        <v>1327583.3333333333</v>
      </c>
      <c r="S140" s="126">
        <f t="shared" si="20"/>
        <v>15931000.000000002</v>
      </c>
      <c r="T140" s="127">
        <f t="shared" si="21"/>
        <v>4.055237367952145E-3</v>
      </c>
    </row>
    <row r="141" spans="1:20">
      <c r="A141" s="138" t="str">
        <f t="shared" si="17"/>
        <v>425p</v>
      </c>
      <c r="B141" s="466" t="str">
        <f>+VLOOKUP(LEFT($A141,LEN(A141)-1)*1,Master!$D$25:$G$223,4,FALSE)</f>
        <v>Ostala prava iz zdravstvenog osiguranja</v>
      </c>
      <c r="C141" s="467"/>
      <c r="D141" s="467"/>
      <c r="E141" s="467"/>
      <c r="F141" s="467"/>
      <c r="G141" s="91">
        <f>SUM(DataEx!EH353)</f>
        <v>710416.66666666663</v>
      </c>
      <c r="H141" s="91">
        <f>SUM(DataEx!EI353)</f>
        <v>710416.66666666663</v>
      </c>
      <c r="I141" s="91">
        <f>SUM(DataEx!EJ353)</f>
        <v>710416.66666666663</v>
      </c>
      <c r="J141" s="91">
        <f>SUM(DataEx!EK353)</f>
        <v>710416.66666666663</v>
      </c>
      <c r="K141" s="91">
        <f>SUM(DataEx!EL353)</f>
        <v>710416.66666666663</v>
      </c>
      <c r="L141" s="91">
        <f>SUM(DataEx!EM353)</f>
        <v>710416.66666666663</v>
      </c>
      <c r="M141" s="91">
        <f>SUM(DataEx!EN353)</f>
        <v>710416.66666666663</v>
      </c>
      <c r="N141" s="91">
        <f>SUM(DataEx!EO353)</f>
        <v>710416.66666666663</v>
      </c>
      <c r="O141" s="91">
        <f>SUM(DataEx!EP353)</f>
        <v>710416.66666666663</v>
      </c>
      <c r="P141" s="91">
        <f>SUM(DataEx!EQ353)</f>
        <v>710416.66666666663</v>
      </c>
      <c r="Q141" s="91">
        <f>SUM(DataEx!ER353)</f>
        <v>710416.66666666663</v>
      </c>
      <c r="R141" s="91">
        <f>SUM(DataEx!ES353)</f>
        <v>710416.66666666663</v>
      </c>
      <c r="S141" s="126">
        <f t="shared" si="20"/>
        <v>8525000.0000000019</v>
      </c>
      <c r="T141" s="127">
        <f t="shared" si="21"/>
        <v>2.1700394552628234E-3</v>
      </c>
    </row>
    <row r="142" spans="1:20">
      <c r="A142" s="138" t="str">
        <f t="shared" si="17"/>
        <v>43p</v>
      </c>
      <c r="B142" s="489" t="str">
        <f>+VLOOKUP(LEFT($A142,LEN(A142)-1)*1,Master!$D$25:$G$223,4,FALSE)</f>
        <v xml:space="preserve">Transferi institucijama, pojedincima, nevladinom i javnom sektoru </v>
      </c>
      <c r="C142" s="490"/>
      <c r="D142" s="490"/>
      <c r="E142" s="490"/>
      <c r="F142" s="490"/>
      <c r="G142" s="85">
        <f>SUM(DataEx!EH357)</f>
        <v>13641275.691666668</v>
      </c>
      <c r="H142" s="85">
        <f>+INDEX(DataEx!$1:$1048576,MATCH('2017'!$A142,DataEx!$D:$D,0),MATCH('2017'!H$6,DataEx!$7:$7,0))</f>
        <v>13641275.691666668</v>
      </c>
      <c r="I142" s="85">
        <f>+INDEX(DataEx!$1:$1048576,MATCH('2017'!$A142,DataEx!$D:$D,0),MATCH('2017'!I$6,DataEx!$7:$7,0))</f>
        <v>13641275.691666668</v>
      </c>
      <c r="J142" s="85">
        <f>+INDEX(DataEx!$1:$1048576,MATCH('2017'!$A142,DataEx!$D:$D,0),MATCH('2017'!J$6,DataEx!$7:$7,0))</f>
        <v>13641275.691666668</v>
      </c>
      <c r="K142" s="85">
        <f>+INDEX(DataEx!$1:$1048576,MATCH('2017'!$A142,DataEx!$D:$D,0),MATCH('2017'!K$6,DataEx!$7:$7,0))</f>
        <v>13641275.691666668</v>
      </c>
      <c r="L142" s="85">
        <f>+INDEX(DataEx!$1:$1048576,MATCH('2017'!$A142,DataEx!$D:$D,0),MATCH('2017'!L$6,DataEx!$7:$7,0))</f>
        <v>13641275.691666668</v>
      </c>
      <c r="M142" s="85">
        <f>+INDEX(DataEx!$1:$1048576,MATCH('2017'!$A142,DataEx!$D:$D,0),MATCH('2017'!M$6,DataEx!$7:$7,0))</f>
        <v>13641275.691666668</v>
      </c>
      <c r="N142" s="85">
        <f>+INDEX(DataEx!$1:$1048576,MATCH('2017'!$A142,DataEx!$D:$D,0),MATCH('2017'!N$6,DataEx!$7:$7,0))</f>
        <v>13641275.691666668</v>
      </c>
      <c r="O142" s="85">
        <f>+INDEX(DataEx!$1:$1048576,MATCH('2017'!$A142,DataEx!$D:$D,0),MATCH('2017'!O$6,DataEx!$7:$7,0))</f>
        <v>13641275.691666668</v>
      </c>
      <c r="P142" s="85">
        <f>+INDEX(DataEx!$1:$1048576,MATCH('2017'!$A142,DataEx!$D:$D,0),MATCH('2017'!P$6,DataEx!$7:$7,0))</f>
        <v>13641275.691666668</v>
      </c>
      <c r="Q142" s="85">
        <f>+INDEX(DataEx!$1:$1048576,MATCH('2017'!$A142,DataEx!$D:$D,0),MATCH('2017'!Q$6,DataEx!$7:$7,0))</f>
        <v>13641275.691666668</v>
      </c>
      <c r="R142" s="86">
        <f>+INDEX(DataEx!$1:$1048576,MATCH('2017'!$A142,DataEx!$D:$D,0),MATCH('2017'!R$6,DataEx!$7:$7,0))</f>
        <v>13641275.691666668</v>
      </c>
      <c r="S142" s="128">
        <f>+SUM(G142:R142)</f>
        <v>163695308.29999998</v>
      </c>
      <c r="T142" s="129">
        <f t="shared" si="21"/>
        <v>4.1668654270077633E-2</v>
      </c>
    </row>
    <row r="143" spans="1:20">
      <c r="A143" s="138" t="str">
        <f t="shared" si="17"/>
        <v>44p</v>
      </c>
      <c r="B143" s="489" t="str">
        <f>+VLOOKUP(LEFT($A143,LEN(A143)-1)*1,Master!$D$25:$G$223,4,FALSE)</f>
        <v>Kapitalni budžet</v>
      </c>
      <c r="C143" s="490"/>
      <c r="D143" s="490"/>
      <c r="E143" s="490"/>
      <c r="F143" s="490"/>
      <c r="G143" s="85">
        <f>SUM(DataEx!EH375)</f>
        <v>14153930</v>
      </c>
      <c r="H143" s="85">
        <f>+INDEX(DataEx!$1:$1048576,MATCH('2017'!$A143,DataEx!$D:$D,0),MATCH('2017'!H$6,DataEx!$7:$7,0))</f>
        <v>14153930</v>
      </c>
      <c r="I143" s="85">
        <f>+INDEX(DataEx!$1:$1048576,MATCH('2017'!$A143,DataEx!$D:$D,0),MATCH('2017'!I$6,DataEx!$7:$7,0))</f>
        <v>14153930</v>
      </c>
      <c r="J143" s="85">
        <f>+INDEX(DataEx!$1:$1048576,MATCH('2017'!$A143,DataEx!$D:$D,0),MATCH('2017'!J$6,DataEx!$7:$7,0))</f>
        <v>14153930</v>
      </c>
      <c r="K143" s="85">
        <f>+INDEX(DataEx!$1:$1048576,MATCH('2017'!$A143,DataEx!$D:$D,0),MATCH('2017'!K$6,DataEx!$7:$7,0))</f>
        <v>14153930</v>
      </c>
      <c r="L143" s="85">
        <f>+INDEX(DataEx!$1:$1048576,MATCH('2017'!$A143,DataEx!$D:$D,0),MATCH('2017'!L$6,DataEx!$7:$7,0))</f>
        <v>14153930</v>
      </c>
      <c r="M143" s="85">
        <f>+INDEX(DataEx!$1:$1048576,MATCH('2017'!$A143,DataEx!$D:$D,0),MATCH('2017'!M$6,DataEx!$7:$7,0))</f>
        <v>33025836.670000002</v>
      </c>
      <c r="N143" s="85">
        <f>+INDEX(DataEx!$1:$1048576,MATCH('2017'!$A143,DataEx!$D:$D,0),MATCH('2017'!N$6,DataEx!$7:$7,0))</f>
        <v>33025836.670000002</v>
      </c>
      <c r="O143" s="85">
        <f>+INDEX(DataEx!$1:$1048576,MATCH('2017'!$A143,DataEx!$D:$D,0),MATCH('2017'!O$6,DataEx!$7:$7,0))</f>
        <v>33025836.670000002</v>
      </c>
      <c r="P143" s="85">
        <f>+INDEX(DataEx!$1:$1048576,MATCH('2017'!$A143,DataEx!$D:$D,0),MATCH('2017'!P$6,DataEx!$7:$7,0))</f>
        <v>33025836.670000002</v>
      </c>
      <c r="Q143" s="85">
        <f>+INDEX(DataEx!$1:$1048576,MATCH('2017'!$A143,DataEx!$D:$D,0),MATCH('2017'!Q$6,DataEx!$7:$7,0))</f>
        <v>33025836.670000002</v>
      </c>
      <c r="R143" s="85">
        <f>+INDEX(DataEx!$1:$1048576,MATCH('2017'!$A143,DataEx!$D:$D,0),MATCH('2017'!R$6,DataEx!$7:$7,0))</f>
        <v>33025836.670000002</v>
      </c>
      <c r="S143" s="128">
        <f t="shared" si="20"/>
        <v>283078600.02000004</v>
      </c>
      <c r="T143" s="129">
        <f t="shared" si="21"/>
        <v>7.205768105383735E-2</v>
      </c>
    </row>
    <row r="144" spans="1:20">
      <c r="A144" s="138" t="str">
        <f t="shared" si="17"/>
        <v>451p</v>
      </c>
      <c r="B144" s="491" t="str">
        <f>+VLOOKUP(LEFT($A144,LEN(A144)-1)*1,Master!$D$25:$G$223,4,FALSE)</f>
        <v>Pozajmice i krediti</v>
      </c>
      <c r="C144" s="492"/>
      <c r="D144" s="492"/>
      <c r="E144" s="492"/>
      <c r="F144" s="492"/>
      <c r="G144" s="91">
        <f>SUM(DataEx!EH386)</f>
        <v>202083.33333333334</v>
      </c>
      <c r="H144" s="91">
        <f>SUM(DataEx!EI386)</f>
        <v>202083.33333333334</v>
      </c>
      <c r="I144" s="91">
        <f>SUM(DataEx!EJ386)</f>
        <v>202083.33333333334</v>
      </c>
      <c r="J144" s="91">
        <f>SUM(DataEx!EK386)</f>
        <v>202083.33333333334</v>
      </c>
      <c r="K144" s="91">
        <f>SUM(DataEx!EL386)</f>
        <v>202083.33333333334</v>
      </c>
      <c r="L144" s="91">
        <f>SUM(DataEx!EM386)</f>
        <v>202083.33333333334</v>
      </c>
      <c r="M144" s="91">
        <f>SUM(DataEx!EN386)</f>
        <v>202083.33333333334</v>
      </c>
      <c r="N144" s="91">
        <f>SUM(DataEx!EO386)</f>
        <v>202083.33333333334</v>
      </c>
      <c r="O144" s="91">
        <f>SUM(DataEx!EP386)</f>
        <v>202083.33333333334</v>
      </c>
      <c r="P144" s="91">
        <f>SUM(DataEx!EQ386)</f>
        <v>202083.33333333334</v>
      </c>
      <c r="Q144" s="91">
        <f>SUM(DataEx!ER386)</f>
        <v>202083.33333333334</v>
      </c>
      <c r="R144" s="91">
        <f>SUM(DataEx!ES386)</f>
        <v>202083.33333333334</v>
      </c>
      <c r="S144" s="126">
        <f t="shared" si="20"/>
        <v>2425000</v>
      </c>
      <c r="T144" s="127">
        <f t="shared" si="21"/>
        <v>6.1728395061728394E-4</v>
      </c>
    </row>
    <row r="145" spans="1:20">
      <c r="A145" s="138" t="str">
        <f t="shared" si="17"/>
        <v>47p</v>
      </c>
      <c r="B145" s="491" t="str">
        <f>+VLOOKUP(LEFT($A145,LEN(A145)-1)*1,Master!$D$25:$G$223,4,FALSE)</f>
        <v>Rezerve</v>
      </c>
      <c r="C145" s="492"/>
      <c r="D145" s="492"/>
      <c r="E145" s="492"/>
      <c r="F145" s="492"/>
      <c r="G145" s="91">
        <f>SUM(DataEx!EH401)</f>
        <v>1191556.1566666667</v>
      </c>
      <c r="H145" s="91">
        <f>SUM(DataEx!EI401)</f>
        <v>1191556.1566666667</v>
      </c>
      <c r="I145" s="91">
        <f>SUM(DataEx!EJ401)</f>
        <v>1191556.1566666667</v>
      </c>
      <c r="J145" s="91">
        <f>SUM(DataEx!EK401)</f>
        <v>1191556.1566666667</v>
      </c>
      <c r="K145" s="91">
        <f>SUM(DataEx!EL401)</f>
        <v>1191556.1566666667</v>
      </c>
      <c r="L145" s="91">
        <f>SUM(DataEx!EM401)</f>
        <v>1191556.1566666667</v>
      </c>
      <c r="M145" s="91">
        <f>SUM(DataEx!EN401)</f>
        <v>1191556.1566666667</v>
      </c>
      <c r="N145" s="91">
        <f>SUM(DataEx!EO401)</f>
        <v>1191556.1566666667</v>
      </c>
      <c r="O145" s="91">
        <f>SUM(DataEx!EP401)</f>
        <v>1191556.1566666667</v>
      </c>
      <c r="P145" s="91">
        <f>SUM(DataEx!EQ401)</f>
        <v>1191556.1566666667</v>
      </c>
      <c r="Q145" s="91">
        <f>SUM(DataEx!ER401)</f>
        <v>1191556.1566666667</v>
      </c>
      <c r="R145" s="91">
        <f>SUM(DataEx!ES401)</f>
        <v>1191556.1566666667</v>
      </c>
      <c r="S145" s="126">
        <f t="shared" si="20"/>
        <v>14298673.879999997</v>
      </c>
      <c r="T145" s="127">
        <f t="shared" si="21"/>
        <v>3.6397286190658004E-3</v>
      </c>
    </row>
    <row r="146" spans="1:20">
      <c r="A146" s="138" t="str">
        <f t="shared" si="17"/>
        <v>462p</v>
      </c>
      <c r="B146" s="491" t="str">
        <f>+VLOOKUP(LEFT($A146,LEN(A146)-1)*1,Master!$D$25:$G$223,4,FALSE)</f>
        <v>Otplata garancija</v>
      </c>
      <c r="C146" s="492"/>
      <c r="D146" s="492"/>
      <c r="E146" s="492"/>
      <c r="F146" s="492"/>
      <c r="G146" s="91">
        <f>SUM(DataEx!EH397)</f>
        <v>0</v>
      </c>
      <c r="H146" s="91">
        <f>SUM(DataEx!EI397)</f>
        <v>0</v>
      </c>
      <c r="I146" s="91">
        <f>SUM(DataEx!EJ397)</f>
        <v>0</v>
      </c>
      <c r="J146" s="91">
        <f>SUM(DataEx!EK397)</f>
        <v>0</v>
      </c>
      <c r="K146" s="91">
        <f>SUM(DataEx!EL397)</f>
        <v>0</v>
      </c>
      <c r="L146" s="91">
        <f>SUM(DataEx!EM397)</f>
        <v>0</v>
      </c>
      <c r="M146" s="91">
        <f>SUM(DataEx!EN397)</f>
        <v>0</v>
      </c>
      <c r="N146" s="91">
        <f>SUM(DataEx!EO397)</f>
        <v>0</v>
      </c>
      <c r="O146" s="91">
        <f>SUM(DataEx!EP397)</f>
        <v>0</v>
      </c>
      <c r="P146" s="91">
        <f>SUM(DataEx!EQ397)</f>
        <v>0</v>
      </c>
      <c r="Q146" s="91">
        <f>SUM(DataEx!ER397)</f>
        <v>0</v>
      </c>
      <c r="R146" s="91">
        <f>SUM(DataEx!ES397)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701</v>
      </c>
      <c r="C147" s="388"/>
      <c r="D147" s="388"/>
      <c r="E147" s="388"/>
      <c r="F147" s="388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9" t="str">
        <f>+VLOOKUP(LEFT($A148,LEN(A148)-1)*1,Master!$D$25:$G$223,4,FALSE)</f>
        <v>Suficit / deficit</v>
      </c>
      <c r="C148" s="500"/>
      <c r="D148" s="500"/>
      <c r="E148" s="500"/>
      <c r="F148" s="500"/>
      <c r="G148" s="97">
        <f t="shared" ref="G148:R148" si="27">+G104-G123</f>
        <v>-59354697.947262779</v>
      </c>
      <c r="H148" s="97">
        <f t="shared" si="27"/>
        <v>-27056640.219965741</v>
      </c>
      <c r="I148" s="97">
        <f t="shared" si="27"/>
        <v>-33455898.678411752</v>
      </c>
      <c r="J148" s="97">
        <f t="shared" si="27"/>
        <v>-26130856.540287837</v>
      </c>
      <c r="K148" s="97">
        <f t="shared" si="27"/>
        <v>-24966511.895806789</v>
      </c>
      <c r="L148" s="97">
        <f t="shared" si="27"/>
        <v>4854560.2348644137</v>
      </c>
      <c r="M148" s="97">
        <f t="shared" si="27"/>
        <v>-23401441.871709168</v>
      </c>
      <c r="N148" s="97">
        <f t="shared" si="27"/>
        <v>-3551291.8060459793</v>
      </c>
      <c r="O148" s="97">
        <f t="shared" si="27"/>
        <v>-10470484.090206861</v>
      </c>
      <c r="P148" s="97">
        <f t="shared" si="27"/>
        <v>-22265252.278753668</v>
      </c>
      <c r="Q148" s="97">
        <f t="shared" si="27"/>
        <v>-34137311.446795374</v>
      </c>
      <c r="R148" s="97">
        <f t="shared" si="27"/>
        <v>26177506.082693607</v>
      </c>
      <c r="S148" s="114">
        <f t="shared" si="20"/>
        <v>-233758320.45768791</v>
      </c>
      <c r="T148" s="115">
        <f t="shared" si="21"/>
        <v>-5.9503199811044398E-2</v>
      </c>
    </row>
    <row r="149" spans="1:20" ht="13.5" thickBot="1">
      <c r="A149" s="139" t="str">
        <f>+CONCATENATE(A56,"p")</f>
        <v>1001p</v>
      </c>
      <c r="B149" s="501" t="str">
        <f>+VLOOKUP(LEFT($A149,LEN(A149)-1)*1,Master!$D$25:$G$223,4,FALSE)</f>
        <v>Primarni bilans</v>
      </c>
      <c r="C149" s="502"/>
      <c r="D149" s="502"/>
      <c r="E149" s="502"/>
      <c r="F149" s="502"/>
      <c r="G149" s="98">
        <f t="shared" ref="G149:R149" si="28">+G148+G131</f>
        <v>-56020940.517262779</v>
      </c>
      <c r="H149" s="98">
        <f t="shared" si="28"/>
        <v>-25959968.68996574</v>
      </c>
      <c r="I149" s="98">
        <f t="shared" si="28"/>
        <v>2670391.5015882477</v>
      </c>
      <c r="J149" s="98">
        <f t="shared" si="28"/>
        <v>-4883945.2702878378</v>
      </c>
      <c r="K149" s="98">
        <f t="shared" si="28"/>
        <v>-8761075.03580679</v>
      </c>
      <c r="L149" s="98">
        <f t="shared" si="28"/>
        <v>7154645.2148644142</v>
      </c>
      <c r="M149" s="98">
        <f t="shared" si="28"/>
        <v>-17866144.481709167</v>
      </c>
      <c r="N149" s="98">
        <f t="shared" si="28"/>
        <v>-2276030.2960459795</v>
      </c>
      <c r="O149" s="98">
        <f t="shared" si="28"/>
        <v>-8594889.7302068621</v>
      </c>
      <c r="P149" s="98">
        <f t="shared" si="28"/>
        <v>-21871071.368753668</v>
      </c>
      <c r="Q149" s="98">
        <f t="shared" si="28"/>
        <v>-30307592.266795374</v>
      </c>
      <c r="R149" s="98">
        <f t="shared" si="28"/>
        <v>28321926.392693605</v>
      </c>
      <c r="S149" s="114">
        <f t="shared" si="20"/>
        <v>-138394694.54768789</v>
      </c>
      <c r="T149" s="115">
        <f t="shared" si="21"/>
        <v>-3.5228380946337762E-2</v>
      </c>
    </row>
    <row r="150" spans="1:20">
      <c r="A150" s="139" t="str">
        <f>+CONCATENATE(A57,"p")</f>
        <v>46p</v>
      </c>
      <c r="B150" s="493" t="str">
        <f>+VLOOKUP(LEFT($A150,LEN(A150)-1)*1,Master!$D$25:$G$223,4,FALSE)</f>
        <v>Otplata dugova</v>
      </c>
      <c r="C150" s="494"/>
      <c r="D150" s="494"/>
      <c r="E150" s="494"/>
      <c r="F150" s="494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5.6106784561537476E-2</v>
      </c>
    </row>
    <row r="151" spans="1:20">
      <c r="A151" s="139" t="str">
        <f>+CONCATENATE(A58,"p")</f>
        <v>4611p</v>
      </c>
      <c r="B151" s="497" t="str">
        <f>+VLOOKUP(LEFT($A151,LEN(A151)-1)*1,Master!$D$25:$G$223,4,FALSE)</f>
        <v>Otplata hartija od vrijednosti i kredita rezidentima</v>
      </c>
      <c r="C151" s="498"/>
      <c r="D151" s="498"/>
      <c r="E151" s="498"/>
      <c r="F151" s="498"/>
      <c r="G151" s="100">
        <f>SUM(DataEx!EH395)</f>
        <v>174340.51</v>
      </c>
      <c r="H151" s="100">
        <f>+INDEX(DataEx!$1:$1048576,MATCH('2017'!$A151,DataEx!$D:$D,0),MATCH('2017'!H$6,DataEx!$7:$7,0))</f>
        <v>177326.85</v>
      </c>
      <c r="I151" s="100">
        <f>+INDEX(DataEx!$1:$1048576,MATCH('2017'!$A151,DataEx!$D:$D,0),MATCH('2017'!I$6,DataEx!$7:$7,0))</f>
        <v>7687779.1100000003</v>
      </c>
      <c r="J151" s="100">
        <f>+INDEX(DataEx!$1:$1048576,MATCH('2017'!$A151,DataEx!$D:$D,0),MATCH('2017'!J$6,DataEx!$7:$7,0))</f>
        <v>191127.48</v>
      </c>
      <c r="K151" s="100">
        <f>+INDEX(DataEx!$1:$1048576,MATCH('2017'!$A151,DataEx!$D:$D,0),MATCH('2017'!K$6,DataEx!$7:$7,0))</f>
        <v>949797.77</v>
      </c>
      <c r="L151" s="100">
        <f>+INDEX(DataEx!$1:$1048576,MATCH('2017'!$A151,DataEx!$D:$D,0),MATCH('2017'!L$6,DataEx!$7:$7,0))</f>
        <v>2019268.13</v>
      </c>
      <c r="M151" s="100">
        <f>+INDEX(DataEx!$1:$1048576,MATCH('2017'!$A151,DataEx!$D:$D,0),MATCH('2017'!M$6,DataEx!$7:$7,0))</f>
        <v>10660481.32</v>
      </c>
      <c r="N151" s="100">
        <f>+INDEX(DataEx!$1:$1048576,MATCH('2017'!$A151,DataEx!$D:$D,0),MATCH('2017'!N$6,DataEx!$7:$7,0))</f>
        <v>11526152.189999999</v>
      </c>
      <c r="O151" s="100">
        <f>+INDEX(DataEx!$1:$1048576,MATCH('2017'!$A151,DataEx!$D:$D,0),MATCH('2017'!O$6,DataEx!$7:$7,0))</f>
        <v>10016017.119999999</v>
      </c>
      <c r="P151" s="100">
        <f>+INDEX(DataEx!$1:$1048576,MATCH('2017'!$A151,DataEx!$D:$D,0),MATCH('2017'!P$6,DataEx!$7:$7,0))</f>
        <v>1834828.67</v>
      </c>
      <c r="Q151" s="100">
        <f>+INDEX(DataEx!$1:$1048576,MATCH('2017'!$A151,DataEx!$D:$D,0),MATCH('2017'!Q$6,DataEx!$7:$7,0))</f>
        <v>2345417.37</v>
      </c>
      <c r="R151" s="100">
        <f>+INDEX(DataEx!$1:$1048576,MATCH('2017'!$A151,DataEx!$D:$D,0),MATCH('2017'!R$6,DataEx!$7:$7,0))</f>
        <v>4329305.63</v>
      </c>
      <c r="S151" s="108">
        <f t="shared" si="20"/>
        <v>51911842.149999999</v>
      </c>
      <c r="T151" s="109">
        <f t="shared" si="21"/>
        <v>1.3214163713885707E-2</v>
      </c>
    </row>
    <row r="152" spans="1:20">
      <c r="A152" s="139" t="str">
        <f>+CONCATENATE(A59,"p")</f>
        <v>4612p</v>
      </c>
      <c r="B152" s="491" t="str">
        <f>+VLOOKUP(LEFT($A152,LEN(A152)-1)*1,Master!$D$25:$G$223,4,FALSE)</f>
        <v>Otplata hartija od vrijednosti i kredita nerezidentima</v>
      </c>
      <c r="C152" s="492"/>
      <c r="D152" s="492"/>
      <c r="E152" s="492"/>
      <c r="F152" s="492"/>
      <c r="G152" s="100">
        <f>SUM(DataEx!EH396)</f>
        <v>1633418.82</v>
      </c>
      <c r="H152" s="100">
        <f>+INDEX(DataEx!$1:$1048576,MATCH('2017'!$A152,DataEx!$D:$D,0),MATCH('2017'!H$6,DataEx!$7:$7,0))</f>
        <v>2261145.37</v>
      </c>
      <c r="I152" s="100">
        <f>+INDEX(DataEx!$1:$1048576,MATCH('2017'!$A152,DataEx!$D:$D,0),MATCH('2017'!I$6,DataEx!$7:$7,0))</f>
        <v>7968157.7999999998</v>
      </c>
      <c r="J152" s="100">
        <f>+INDEX(DataEx!$1:$1048576,MATCH('2017'!$A152,DataEx!$D:$D,0),MATCH('2017'!J$6,DataEx!$7:$7,0))</f>
        <v>64460029.890000001</v>
      </c>
      <c r="K152" s="100">
        <f>+INDEX(DataEx!$1:$1048576,MATCH('2017'!$A152,DataEx!$D:$D,0),MATCH('2017'!K$6,DataEx!$7:$7,0))</f>
        <v>6488035.7800000003</v>
      </c>
      <c r="L152" s="100">
        <f>+INDEX(DataEx!$1:$1048576,MATCH('2017'!$A152,DataEx!$D:$D,0),MATCH('2017'!L$6,DataEx!$7:$7,0))</f>
        <v>11217367.199999999</v>
      </c>
      <c r="M152" s="100">
        <f>+INDEX(DataEx!$1:$1048576,MATCH('2017'!$A152,DataEx!$D:$D,0),MATCH('2017'!M$6,DataEx!$7:$7,0))</f>
        <v>9633418.8100000005</v>
      </c>
      <c r="N152" s="100">
        <f>+INDEX(DataEx!$1:$1048576,MATCH('2017'!$A152,DataEx!$D:$D,0),MATCH('2017'!N$6,DataEx!$7:$7,0))</f>
        <v>2541146.46</v>
      </c>
      <c r="O152" s="100">
        <f>+INDEX(DataEx!$1:$1048576,MATCH('2017'!$A152,DataEx!$D:$D,0),MATCH('2017'!O$6,DataEx!$7:$7,0))</f>
        <v>4493182.74</v>
      </c>
      <c r="P152" s="100">
        <f>+INDEX(DataEx!$1:$1048576,MATCH('2017'!$A152,DataEx!$D:$D,0),MATCH('2017'!P$6,DataEx!$7:$7,0))</f>
        <v>5042202.5</v>
      </c>
      <c r="Q152" s="100">
        <f>+INDEX(DataEx!$1:$1048576,MATCH('2017'!$A152,DataEx!$D:$D,0),MATCH('2017'!Q$6,DataEx!$7:$7,0))</f>
        <v>6559700.5300000003</v>
      </c>
      <c r="R152" s="100">
        <f>+INDEX(DataEx!$1:$1048576,MATCH('2017'!$A152,DataEx!$D:$D,0),MATCH('2017'!R$6,DataEx!$7:$7,0))</f>
        <v>12489356.300000001</v>
      </c>
      <c r="S152" s="108">
        <f t="shared" si="20"/>
        <v>134787162.19999999</v>
      </c>
      <c r="T152" s="109">
        <f t="shared" si="21"/>
        <v>3.4310083288787069E-2</v>
      </c>
    </row>
    <row r="153" spans="1:20" ht="13.5" thickBot="1">
      <c r="A153" s="139" t="str">
        <f>+CONCATENATE(A53,"p")</f>
        <v>4630p</v>
      </c>
      <c r="B153" s="458" t="str">
        <f>+VLOOKUP(LEFT($A153,LEN(A153)-1)*1,Master!$D$25:$G$223,4,FALSE)</f>
        <v>Otplata obaveza iz prethodnih godina</v>
      </c>
      <c r="C153" s="459"/>
      <c r="D153" s="459"/>
      <c r="E153" s="459"/>
      <c r="F153" s="459"/>
      <c r="G153" s="100">
        <f>SUM(DataEx!EH400)</f>
        <v>2809708.2333333329</v>
      </c>
      <c r="H153" s="100">
        <f>+INDEX(DataEx!$1:$1048576,MATCH('2017'!$A153,DataEx!$D:$D,0),MATCH('2017'!H$6,DataEx!$7:$7,0))</f>
        <v>2809708.2333333329</v>
      </c>
      <c r="I153" s="100">
        <f>+INDEX(DataEx!$1:$1048576,MATCH('2017'!$A153,DataEx!$D:$D,0),MATCH('2017'!I$6,DataEx!$7:$7,0))</f>
        <v>2809708.2333333329</v>
      </c>
      <c r="J153" s="100">
        <f>+INDEX(DataEx!$1:$1048576,MATCH('2017'!$A153,DataEx!$D:$D,0),MATCH('2017'!J$6,DataEx!$7:$7,0))</f>
        <v>2809708.2333333329</v>
      </c>
      <c r="K153" s="100">
        <f>+INDEX(DataEx!$1:$1048576,MATCH('2017'!$A153,DataEx!$D:$D,0),MATCH('2017'!K$6,DataEx!$7:$7,0))</f>
        <v>2809708.2333333329</v>
      </c>
      <c r="L153" s="100">
        <f>+INDEX(DataEx!$1:$1048576,MATCH('2017'!$A153,DataEx!$D:$D,0),MATCH('2017'!L$6,DataEx!$7:$7,0))</f>
        <v>2809708.2333333329</v>
      </c>
      <c r="M153" s="100">
        <f>+INDEX(DataEx!$1:$1048576,MATCH('2017'!$A153,DataEx!$D:$D,0),MATCH('2017'!M$6,DataEx!$7:$7,0))</f>
        <v>2809708.2333333329</v>
      </c>
      <c r="N153" s="100">
        <f>+INDEX(DataEx!$1:$1048576,MATCH('2017'!$A153,DataEx!$D:$D,0),MATCH('2017'!N$6,DataEx!$7:$7,0))</f>
        <v>2809708.2333333329</v>
      </c>
      <c r="O153" s="100">
        <f>+INDEX(DataEx!$1:$1048576,MATCH('2017'!$A153,DataEx!$D:$D,0),MATCH('2017'!O$6,DataEx!$7:$7,0))</f>
        <v>2809708.2333333329</v>
      </c>
      <c r="P153" s="100">
        <f>+INDEX(DataEx!$1:$1048576,MATCH('2017'!$A153,DataEx!$D:$D,0),MATCH('2017'!P$6,DataEx!$7:$7,0))</f>
        <v>2809708.2333333329</v>
      </c>
      <c r="Q153" s="100">
        <f>+INDEX(DataEx!$1:$1048576,MATCH('2017'!$A153,DataEx!$D:$D,0),MATCH('2017'!Q$6,DataEx!$7:$7,0))</f>
        <v>2809708.2333333329</v>
      </c>
      <c r="R153" s="100">
        <f>+INDEX(DataEx!$1:$1048576,MATCH('2017'!$A153,DataEx!$D:$D,0),MATCH('2017'!R$6,DataEx!$7:$7,0))</f>
        <v>2809708.2333333329</v>
      </c>
      <c r="S153" s="108">
        <f t="shared" si="20"/>
        <v>33716498.800000004</v>
      </c>
      <c r="T153" s="109">
        <f t="shared" si="21"/>
        <v>8.5825375588647074E-3</v>
      </c>
    </row>
    <row r="154" spans="1:20" ht="13.5" thickBot="1">
      <c r="A154" s="139" t="str">
        <f t="shared" ref="A154:A159" si="30">+CONCATENATE(A60,"p")</f>
        <v>1002p</v>
      </c>
      <c r="B154" s="495" t="str">
        <f>+VLOOKUP(LEFT($A154,LEN(A154)-1)*1,Master!$D$25:$G$223,4,FALSE)</f>
        <v>Nedostajuća sredstva</v>
      </c>
      <c r="C154" s="496"/>
      <c r="D154" s="496"/>
      <c r="E154" s="496"/>
      <c r="F154" s="496"/>
      <c r="G154" s="79">
        <f t="shared" ref="G154:R154" si="31">+G148-G150</f>
        <v>-63972165.510596111</v>
      </c>
      <c r="H154" s="79">
        <f t="shared" si="31"/>
        <v>-32304820.673299074</v>
      </c>
      <c r="I154" s="79">
        <f t="shared" si="31"/>
        <v>-51921543.821745083</v>
      </c>
      <c r="J154" s="79">
        <f t="shared" si="31"/>
        <v>-93591722.143621162</v>
      </c>
      <c r="K154" s="79">
        <f t="shared" si="31"/>
        <v>-35214053.679140121</v>
      </c>
      <c r="L154" s="79">
        <f t="shared" si="31"/>
        <v>-11191783.328468917</v>
      </c>
      <c r="M154" s="79">
        <f t="shared" si="31"/>
        <v>-46505050.235042505</v>
      </c>
      <c r="N154" s="79">
        <f t="shared" si="31"/>
        <v>-20428298.689379312</v>
      </c>
      <c r="O154" s="79">
        <f t="shared" si="31"/>
        <v>-27789392.183540195</v>
      </c>
      <c r="P154" s="79">
        <f t="shared" si="31"/>
        <v>-31951991.682087</v>
      </c>
      <c r="Q154" s="79">
        <f t="shared" si="31"/>
        <v>-45852137.580128707</v>
      </c>
      <c r="R154" s="79">
        <f t="shared" si="31"/>
        <v>6549135.9193602726</v>
      </c>
      <c r="S154" s="118">
        <f t="shared" si="20"/>
        <v>-454173823.60768795</v>
      </c>
      <c r="T154" s="119">
        <f t="shared" si="21"/>
        <v>-0.11560998437258189</v>
      </c>
    </row>
    <row r="155" spans="1:20" ht="13.5" thickBot="1">
      <c r="A155" s="139" t="str">
        <f t="shared" si="30"/>
        <v>1003p</v>
      </c>
      <c r="B155" s="483" t="str">
        <f>+VLOOKUP(LEFT($A155,LEN(A155)-1)*1,Master!$D$25:$G$223,4,FALSE)</f>
        <v>Finansiranje</v>
      </c>
      <c r="C155" s="484"/>
      <c r="D155" s="484"/>
      <c r="E155" s="484"/>
      <c r="F155" s="484"/>
      <c r="G155" s="97">
        <f t="shared" ref="G155:R155" si="32">+SUM(G156:G159)</f>
        <v>63972165.510596111</v>
      </c>
      <c r="H155" s="97">
        <f t="shared" si="32"/>
        <v>32304820.673299074</v>
      </c>
      <c r="I155" s="97">
        <f t="shared" si="32"/>
        <v>51921543.821745083</v>
      </c>
      <c r="J155" s="97">
        <f t="shared" si="32"/>
        <v>93591722.143621162</v>
      </c>
      <c r="K155" s="97">
        <f t="shared" si="32"/>
        <v>35214053.679140121</v>
      </c>
      <c r="L155" s="97">
        <f t="shared" si="32"/>
        <v>11191783.328468919</v>
      </c>
      <c r="M155" s="97">
        <f t="shared" si="32"/>
        <v>46505050.235042505</v>
      </c>
      <c r="N155" s="97">
        <f t="shared" si="32"/>
        <v>20428298.689379312</v>
      </c>
      <c r="O155" s="97">
        <f t="shared" si="32"/>
        <v>27789392.183540195</v>
      </c>
      <c r="P155" s="97">
        <f t="shared" si="32"/>
        <v>31951991.682087</v>
      </c>
      <c r="Q155" s="97">
        <f t="shared" si="32"/>
        <v>45852137.580128707</v>
      </c>
      <c r="R155" s="97">
        <f t="shared" si="32"/>
        <v>-6549135.9193602726</v>
      </c>
      <c r="S155" s="120">
        <f t="shared" si="20"/>
        <v>454173823.60768795</v>
      </c>
      <c r="T155" s="121">
        <f t="shared" si="21"/>
        <v>0.11560998437258189</v>
      </c>
    </row>
    <row r="156" spans="1:20">
      <c r="A156" s="139" t="str">
        <f t="shared" si="30"/>
        <v>7511p</v>
      </c>
      <c r="B156" s="497" t="str">
        <f>+VLOOKUP(LEFT($A156,LEN(A156)-1)*1,Master!$D$25:$G$223,4,FALSE)</f>
        <v>Pozajmice i krediti od domaćih izvora</v>
      </c>
      <c r="C156" s="498"/>
      <c r="D156" s="498"/>
      <c r="E156" s="498"/>
      <c r="F156" s="498"/>
      <c r="G156" s="100">
        <f>+INDEX(DataEx!$1:$1048576,MATCH('2017'!$A156,DataEx!$D:$D,0),MATCH('2017'!G$6,DataEx!$7:$7,0))</f>
        <v>8333333.333333333</v>
      </c>
      <c r="H156" s="100">
        <f>+INDEX(DataEx!$1:$1048576,MATCH('2017'!$A156,DataEx!$D:$D,0),MATCH('2017'!H$6,DataEx!$7:$7,0))</f>
        <v>8333333.333333333</v>
      </c>
      <c r="I156" s="100">
        <f>+INDEX(DataEx!$1:$1048576,MATCH('2017'!$A156,DataEx!$D:$D,0),MATCH('2017'!I$6,DataEx!$7:$7,0))</f>
        <v>8333333.333333333</v>
      </c>
      <c r="J156" s="100">
        <f>+INDEX(DataEx!$1:$1048576,MATCH('2017'!$A156,DataEx!$D:$D,0),MATCH('2017'!J$6,DataEx!$7:$7,0))</f>
        <v>8333333.333333333</v>
      </c>
      <c r="K156" s="100">
        <f>+INDEX(DataEx!$1:$1048576,MATCH('2017'!$A156,DataEx!$D:$D,0),MATCH('2017'!K$6,DataEx!$7:$7,0))</f>
        <v>8333333.333333333</v>
      </c>
      <c r="L156" s="100">
        <f>+INDEX(DataEx!$1:$1048576,MATCH('2017'!$A156,DataEx!$D:$D,0),MATCH('2017'!L$6,DataEx!$7:$7,0))</f>
        <v>8333333.333333333</v>
      </c>
      <c r="M156" s="100">
        <f>+INDEX(DataEx!$1:$1048576,MATCH('2017'!$A156,DataEx!$D:$D,0),MATCH('2017'!M$6,DataEx!$7:$7,0))</f>
        <v>8333333.333333333</v>
      </c>
      <c r="N156" s="100">
        <f>+INDEX(DataEx!$1:$1048576,MATCH('2017'!$A156,DataEx!$D:$D,0),MATCH('2017'!N$6,DataEx!$7:$7,0))</f>
        <v>8333333.333333333</v>
      </c>
      <c r="O156" s="100">
        <f>+INDEX(DataEx!$1:$1048576,MATCH('2017'!$A156,DataEx!$D:$D,0),MATCH('2017'!O$6,DataEx!$7:$7,0))</f>
        <v>8333333.333333333</v>
      </c>
      <c r="P156" s="100">
        <f>+INDEX(DataEx!$1:$1048576,MATCH('2017'!$A156,DataEx!$D:$D,0),MATCH('2017'!P$6,DataEx!$7:$7,0))</f>
        <v>8333333.333333333</v>
      </c>
      <c r="Q156" s="100">
        <f>+INDEX(DataEx!$1:$1048576,MATCH('2017'!$A156,DataEx!$D:$D,0),MATCH('2017'!Q$6,DataEx!$7:$7,0))</f>
        <v>8333333.333333333</v>
      </c>
      <c r="R156" s="100">
        <f>+INDEX(DataEx!$1:$1048576,MATCH('2017'!$A156,DataEx!$D:$D,0),MATCH('2017'!R$6,DataEx!$7:$7,0))</f>
        <v>8333333.333333333</v>
      </c>
      <c r="S156" s="108">
        <f t="shared" si="20"/>
        <v>99999999.999999985</v>
      </c>
      <c r="T156" s="109">
        <f t="shared" si="21"/>
        <v>2.5455008272877683E-2</v>
      </c>
    </row>
    <row r="157" spans="1:20">
      <c r="A157" s="139" t="str">
        <f t="shared" si="30"/>
        <v>7512p</v>
      </c>
      <c r="B157" s="491" t="str">
        <f>+VLOOKUP(LEFT($A157,LEN(A157)-1)*1,Master!$D$25:$G$223,4,FALSE)</f>
        <v>Pozajmice i krediti od inostranih izvora</v>
      </c>
      <c r="C157" s="492"/>
      <c r="D157" s="492"/>
      <c r="E157" s="492"/>
      <c r="F157" s="492"/>
      <c r="G157" s="100">
        <f>+INDEX(DataEx!$1:$1048576,MATCH('2017'!$A157,DataEx!$D:$D,0),MATCH('2017'!G$6,DataEx!$7:$7,0))</f>
        <v>29514485.302905828</v>
      </c>
      <c r="H157" s="100">
        <f>+INDEX(DataEx!$1:$1048576,MATCH('2017'!$A157,DataEx!$D:$D,0),MATCH('2017'!H$6,DataEx!$7:$7,0))</f>
        <v>29514485.302905828</v>
      </c>
      <c r="I157" s="100">
        <f>+INDEX(DataEx!$1:$1048576,MATCH('2017'!$A157,DataEx!$D:$D,0),MATCH('2017'!I$6,DataEx!$7:$7,0))</f>
        <v>29514485.302905828</v>
      </c>
      <c r="J157" s="100">
        <f>+INDEX(DataEx!$1:$1048576,MATCH('2017'!$A157,DataEx!$D:$D,0),MATCH('2017'!J$6,DataEx!$7:$7,0))</f>
        <v>29514485.302905828</v>
      </c>
      <c r="K157" s="100">
        <f>+INDEX(DataEx!$1:$1048576,MATCH('2017'!$A157,DataEx!$D:$D,0),MATCH('2017'!K$6,DataEx!$7:$7,0))</f>
        <v>29514485.302905828</v>
      </c>
      <c r="L157" s="100">
        <f>+INDEX(DataEx!$1:$1048576,MATCH('2017'!$A157,DataEx!$D:$D,0),MATCH('2017'!L$6,DataEx!$7:$7,0))</f>
        <v>29514485.302905828</v>
      </c>
      <c r="M157" s="100">
        <f>+INDEX(DataEx!$1:$1048576,MATCH('2017'!$A157,DataEx!$D:$D,0),MATCH('2017'!M$6,DataEx!$7:$7,0))</f>
        <v>29514485.302905828</v>
      </c>
      <c r="N157" s="100">
        <f>+INDEX(DataEx!$1:$1048576,MATCH('2017'!$A157,DataEx!$D:$D,0),MATCH('2017'!N$6,DataEx!$7:$7,0))</f>
        <v>29514485.302905828</v>
      </c>
      <c r="O157" s="100">
        <f>+INDEX(DataEx!$1:$1048576,MATCH('2017'!$A157,DataEx!$D:$D,0),MATCH('2017'!O$6,DataEx!$7:$7,0))</f>
        <v>29514485.302905828</v>
      </c>
      <c r="P157" s="100">
        <f>+INDEX(DataEx!$1:$1048576,MATCH('2017'!$A157,DataEx!$D:$D,0),MATCH('2017'!P$6,DataEx!$7:$7,0))</f>
        <v>29514485.302905828</v>
      </c>
      <c r="Q157" s="100">
        <f>+INDEX(DataEx!$1:$1048576,MATCH('2017'!$A157,DataEx!$D:$D,0),MATCH('2017'!Q$6,DataEx!$7:$7,0))</f>
        <v>29514485.302905828</v>
      </c>
      <c r="R157" s="100">
        <f>+INDEX(DataEx!$1:$1048576,MATCH('2017'!$A157,DataEx!$D:$D,0),MATCH('2017'!R$6,DataEx!$7:$7,0))</f>
        <v>29514485.302905828</v>
      </c>
      <c r="S157" s="108">
        <f t="shared" si="20"/>
        <v>354173823.63486993</v>
      </c>
      <c r="T157" s="109">
        <f t="shared" si="21"/>
        <v>9.0154976106623375E-2</v>
      </c>
    </row>
    <row r="158" spans="1:20">
      <c r="A158" s="139" t="str">
        <f t="shared" si="30"/>
        <v>72p</v>
      </c>
      <c r="B158" s="491" t="str">
        <f>+VLOOKUP(LEFT($A158,LEN(A158)-1)*1,Master!$D$25:$G$223,4,FALSE)</f>
        <v>Primici od prodaje imovine</v>
      </c>
      <c r="C158" s="492"/>
      <c r="D158" s="492"/>
      <c r="E158" s="492"/>
      <c r="F158" s="492"/>
      <c r="G158" s="100">
        <f>+INDEX(DataEx!$1:$1048576,MATCH('2017'!$A158,DataEx!$D:$D,0),MATCH('2017'!G$6,DataEx!$7:$7,0))</f>
        <v>0</v>
      </c>
      <c r="H158" s="100">
        <f>+INDEX(DataEx!$1:$1048576,MATCH('2017'!$A158,DataEx!$D:$D,0),MATCH('2017'!H$6,DataEx!$7:$7,0))</f>
        <v>0</v>
      </c>
      <c r="I158" s="100">
        <f>+INDEX(DataEx!$1:$1048576,MATCH('2017'!$A158,DataEx!$D:$D,0),MATCH('2017'!I$6,DataEx!$7:$7,0))</f>
        <v>0</v>
      </c>
      <c r="J158" s="100">
        <f>+INDEX(DataEx!$1:$1048576,MATCH('2017'!$A158,DataEx!$D:$D,0),MATCH('2017'!J$6,DataEx!$7:$7,0))</f>
        <v>0</v>
      </c>
      <c r="K158" s="100">
        <f>+INDEX(DataEx!$1:$1048576,MATCH('2017'!$A158,DataEx!$D:$D,0),MATCH('2017'!K$6,DataEx!$7:$7,0))</f>
        <v>0</v>
      </c>
      <c r="L158" s="100">
        <f>+INDEX(DataEx!$1:$1048576,MATCH('2017'!$A158,DataEx!$D:$D,0),MATCH('2017'!L$6,DataEx!$7:$7,0))</f>
        <v>0</v>
      </c>
      <c r="M158" s="100">
        <f>+INDEX(DataEx!$1:$1048576,MATCH('2017'!$A158,DataEx!$D:$D,0),MATCH('2017'!M$6,DataEx!$7:$7,0))</f>
        <v>0</v>
      </c>
      <c r="N158" s="100">
        <f>+INDEX(DataEx!$1:$1048576,MATCH('2017'!$A158,DataEx!$D:$D,0),MATCH('2017'!N$6,DataEx!$7:$7,0))</f>
        <v>0</v>
      </c>
      <c r="O158" s="100">
        <f>+INDEX(DataEx!$1:$1048576,MATCH('2017'!$A158,DataEx!$D:$D,0),MATCH('2017'!O$6,DataEx!$7:$7,0))</f>
        <v>0</v>
      </c>
      <c r="P158" s="100">
        <f>+INDEX(DataEx!$1:$1048576,MATCH('2017'!$A158,DataEx!$D:$D,0),MATCH('2017'!P$6,DataEx!$7:$7,0))</f>
        <v>0</v>
      </c>
      <c r="Q158" s="100">
        <f>+INDEX(DataEx!$1:$1048576,MATCH('2017'!$A158,DataEx!$D:$D,0),MATCH('2017'!Q$6,DataEx!$7:$7,0))</f>
        <v>0</v>
      </c>
      <c r="R158" s="100">
        <f>+INDEX(DataEx!$1:$1048576,MATCH('2017'!$A158,DataEx!$D:$D,0),MATCH('2017'!R$6,DataEx!$7:$7,0))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26124346.874356948</v>
      </c>
      <c r="H159" s="101">
        <f t="shared" si="33"/>
        <v>-5542997.9629400894</v>
      </c>
      <c r="I159" s="101">
        <f t="shared" si="33"/>
        <v>14073725.185505919</v>
      </c>
      <c r="J159" s="101">
        <f t="shared" si="33"/>
        <v>55743903.507381998</v>
      </c>
      <c r="K159" s="101">
        <f t="shared" si="33"/>
        <v>-2633764.9570990428</v>
      </c>
      <c r="L159" s="101">
        <f t="shared" si="33"/>
        <v>-26656035.307770245</v>
      </c>
      <c r="M159" s="101">
        <f t="shared" si="33"/>
        <v>8657231.5988033414</v>
      </c>
      <c r="N159" s="101">
        <f t="shared" si="33"/>
        <v>-17419519.946859851</v>
      </c>
      <c r="O159" s="101">
        <f t="shared" si="33"/>
        <v>-10058426.452698968</v>
      </c>
      <c r="P159" s="101">
        <f t="shared" si="33"/>
        <v>-5895826.9541521631</v>
      </c>
      <c r="Q159" s="101">
        <f t="shared" si="33"/>
        <v>8004318.9438895434</v>
      </c>
      <c r="R159" s="101">
        <f t="shared" si="33"/>
        <v>-44396954.555599436</v>
      </c>
      <c r="S159" s="112">
        <f t="shared" si="20"/>
        <v>-2.7182042598724365E-2</v>
      </c>
      <c r="T159" s="113">
        <f t="shared" si="21"/>
        <v>-6.9191911922424244E-12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2" activePane="bottomLeft" state="frozen"/>
      <selection pane="bottomLeft" activeCell="H33" sqref="H33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710</v>
      </c>
      <c r="H6" s="260" t="s">
        <v>711</v>
      </c>
      <c r="I6" s="260" t="s">
        <v>712</v>
      </c>
      <c r="J6" s="260" t="s">
        <v>713</v>
      </c>
      <c r="K6" s="260" t="s">
        <v>714</v>
      </c>
      <c r="L6" s="260" t="s">
        <v>715</v>
      </c>
      <c r="M6" s="260" t="s">
        <v>716</v>
      </c>
      <c r="N6" s="260" t="s">
        <v>717</v>
      </c>
      <c r="O6" s="260" t="s">
        <v>718</v>
      </c>
      <c r="P6" s="260" t="s">
        <v>719</v>
      </c>
      <c r="Q6" s="260" t="s">
        <v>720</v>
      </c>
      <c r="R6" s="260" t="s">
        <v>721</v>
      </c>
      <c r="S6" s="259"/>
      <c r="T6" s="259"/>
    </row>
    <row r="7" spans="1:20" ht="15" customHeight="1" thickBot="1">
      <c r="A7" s="170"/>
      <c r="B7" s="457" t="str">
        <f>+Master!G249</f>
        <v>Ostvarenje budžeta</v>
      </c>
      <c r="C7" s="438"/>
      <c r="D7" s="438"/>
      <c r="E7" s="438"/>
      <c r="F7" s="438"/>
      <c r="G7" s="446">
        <v>2016</v>
      </c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50"/>
      <c r="S7" s="261" t="str">
        <f>+Master!G246</f>
        <v>BDP</v>
      </c>
      <c r="T7" s="262">
        <v>3773000000</v>
      </c>
    </row>
    <row r="8" spans="1:20" ht="16.5" customHeight="1">
      <c r="A8" s="170"/>
      <c r="B8" s="439"/>
      <c r="C8" s="440"/>
      <c r="D8" s="440"/>
      <c r="E8" s="440"/>
      <c r="F8" s="441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6" t="str">
        <f>+Master!G243</f>
        <v>Jan - Feb</v>
      </c>
      <c r="T8" s="450"/>
    </row>
    <row r="9" spans="1:20" ht="13.5" thickBot="1">
      <c r="A9" s="170"/>
      <c r="B9" s="442"/>
      <c r="C9" s="443"/>
      <c r="D9" s="443"/>
      <c r="E9" s="443"/>
      <c r="F9" s="444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05" t="str">
        <f>+VLOOKUP($A10,Master!$D$25:$G$223,4,FALSE)</f>
        <v>Prihodi budžeta</v>
      </c>
      <c r="C10" s="406"/>
      <c r="D10" s="406"/>
      <c r="E10" s="406"/>
      <c r="F10" s="406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07" t="str">
        <f>+VLOOKUP($A11,Master!$D$25:$G$223,4,FALSE)</f>
        <v>Porezi</v>
      </c>
      <c r="C11" s="408"/>
      <c r="D11" s="408"/>
      <c r="E11" s="408"/>
      <c r="F11" s="408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09" t="str">
        <f>+VLOOKUP($A12,Master!$D$25:$G$223,4,FALSE)</f>
        <v>Porez na dohodak fizičkih lica</v>
      </c>
      <c r="C12" s="410"/>
      <c r="D12" s="410"/>
      <c r="E12" s="410"/>
      <c r="F12" s="410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09" t="str">
        <f>+VLOOKUP($A13,Master!$D$25:$G$223,4,FALSE)</f>
        <v>Porez na dobit pravnih lica</v>
      </c>
      <c r="C13" s="410"/>
      <c r="D13" s="410"/>
      <c r="E13" s="410"/>
      <c r="F13" s="410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09" t="str">
        <f>+VLOOKUP($A14,Master!$D$25:$G$223,4,FALSE)</f>
        <v>Porez na promet nepokretnosti</v>
      </c>
      <c r="C14" s="410"/>
      <c r="D14" s="410"/>
      <c r="E14" s="410"/>
      <c r="F14" s="410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09" t="str">
        <f>+VLOOKUP($A15,Master!$D$25:$G$223,4,FALSE)</f>
        <v>Porez na dodatu vrijednost</v>
      </c>
      <c r="C15" s="410"/>
      <c r="D15" s="410"/>
      <c r="E15" s="410"/>
      <c r="F15" s="410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09" t="str">
        <f>+VLOOKUP($A16,Master!$D$25:$G$223,4,FALSE)</f>
        <v>Akcize</v>
      </c>
      <c r="C16" s="410"/>
      <c r="D16" s="410"/>
      <c r="E16" s="410"/>
      <c r="F16" s="410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09" t="str">
        <f>+VLOOKUP($A17,Master!$D$25:$G$223,4,FALSE)</f>
        <v>Porez na međunarodnu trgovinu i transakcije</v>
      </c>
      <c r="C17" s="410"/>
      <c r="D17" s="410"/>
      <c r="E17" s="410"/>
      <c r="F17" s="410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09" t="str">
        <f>+VLOOKUP($A18,Master!$D$25:$G$223,4,FALSE)</f>
        <v>Ostali državni porezi</v>
      </c>
      <c r="C18" s="410"/>
      <c r="D18" s="410"/>
      <c r="E18" s="410"/>
      <c r="F18" s="410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13" t="str">
        <f>+VLOOKUP($A19,Master!$D$25:$G$223,4,FALSE)</f>
        <v>Doprinosi</v>
      </c>
      <c r="C19" s="414"/>
      <c r="D19" s="414"/>
      <c r="E19" s="414"/>
      <c r="F19" s="414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09" t="str">
        <f>+VLOOKUP($A20,Master!$D$25:$G$223,4,FALSE)</f>
        <v>Doprinosi za penzijsko i invalidsko osiguranje</v>
      </c>
      <c r="C20" s="410"/>
      <c r="D20" s="410"/>
      <c r="E20" s="410"/>
      <c r="F20" s="410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09" t="str">
        <f>+VLOOKUP($A21,Master!$D$25:$G$223,4,FALSE)</f>
        <v>Doprinosi za zdravstveno osiguranje</v>
      </c>
      <c r="C21" s="410"/>
      <c r="D21" s="410"/>
      <c r="E21" s="410"/>
      <c r="F21" s="410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09" t="str">
        <f>+VLOOKUP($A22,Master!$D$25:$G$223,4,FALSE)</f>
        <v>Doprinosi za osiguranje od nezaposlenosti</v>
      </c>
      <c r="C22" s="410"/>
      <c r="D22" s="410"/>
      <c r="E22" s="410"/>
      <c r="F22" s="410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09" t="str">
        <f>+VLOOKUP($A23,Master!$D$25:$G$223,4,FALSE)</f>
        <v>Ostali doprinosi</v>
      </c>
      <c r="C23" s="410"/>
      <c r="D23" s="410"/>
      <c r="E23" s="410"/>
      <c r="F23" s="410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11" t="str">
        <f>+VLOOKUP($A24,Master!$D$25:$G$223,4,FALSE)</f>
        <v>Takse</v>
      </c>
      <c r="C24" s="412"/>
      <c r="D24" s="412"/>
      <c r="E24" s="412"/>
      <c r="F24" s="412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11" t="str">
        <f>+VLOOKUP($A25,Master!$D$25:$G$223,4,FALSE)</f>
        <v>Naknade</v>
      </c>
      <c r="C25" s="412"/>
      <c r="D25" s="412"/>
      <c r="E25" s="412"/>
      <c r="F25" s="412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11" t="str">
        <f>+VLOOKUP($A26,Master!$D$25:$G$223,4,FALSE)</f>
        <v>Ostali prihodi</v>
      </c>
      <c r="C26" s="412"/>
      <c r="D26" s="412"/>
      <c r="E26" s="412"/>
      <c r="F26" s="412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11" t="str">
        <f>+VLOOKUP($A27,Master!$D$25:$G$223,4,FALSE)</f>
        <v>Primici od otplate kredita i sredstva prenesena iz prethodne godine</v>
      </c>
      <c r="C27" s="412"/>
      <c r="D27" s="412"/>
      <c r="E27" s="412"/>
      <c r="F27" s="412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15" t="str">
        <f>+VLOOKUP($A28,Master!$D$25:$G$223,4,FALSE)</f>
        <v>Donacije i transferi</v>
      </c>
      <c r="C28" s="416"/>
      <c r="D28" s="416"/>
      <c r="E28" s="416"/>
      <c r="F28" s="416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17" t="str">
        <f>+VLOOKUP($A29,Master!$D$25:$G$223,4,FALSE)</f>
        <v>Budžetki izdaci</v>
      </c>
      <c r="C29" s="418"/>
      <c r="D29" s="418"/>
      <c r="E29" s="418"/>
      <c r="F29" s="418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19" t="str">
        <f>+VLOOKUP($A30,Master!$D$25:$G$223,4,FALSE)</f>
        <v>Tekući izdaci</v>
      </c>
      <c r="C30" s="420"/>
      <c r="D30" s="420"/>
      <c r="E30" s="420"/>
      <c r="F30" s="420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21" t="str">
        <f>+VLOOKUP($A31,Master!$D$25:$G$223,4,FALSE)</f>
        <v>Tekući budžetski izdaci</v>
      </c>
      <c r="C31" s="422"/>
      <c r="D31" s="422"/>
      <c r="E31" s="422"/>
      <c r="F31" s="422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09" t="str">
        <f>+VLOOKUP($A32,Master!$D$25:$G$223,4,FALSE)</f>
        <v>Bruto zarade i doprinosi na teret poslodavca</v>
      </c>
      <c r="C32" s="410"/>
      <c r="D32" s="410"/>
      <c r="E32" s="410"/>
      <c r="F32" s="410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09" t="str">
        <f>+VLOOKUP($A33,Master!$D$25:$G$223,4,FALSE)</f>
        <v>Ostala lična primanja</v>
      </c>
      <c r="C33" s="410"/>
      <c r="D33" s="410"/>
      <c r="E33" s="410"/>
      <c r="F33" s="410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09" t="str">
        <f>+VLOOKUP($A34,Master!$D$25:$G$223,4,FALSE)</f>
        <v>Rashodi za materijal</v>
      </c>
      <c r="C34" s="410"/>
      <c r="D34" s="410"/>
      <c r="E34" s="410"/>
      <c r="F34" s="410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09" t="str">
        <f>+VLOOKUP($A35,Master!$D$25:$G$223,4,FALSE)</f>
        <v>Rashodi za usluge</v>
      </c>
      <c r="C35" s="410"/>
      <c r="D35" s="410"/>
      <c r="E35" s="410"/>
      <c r="F35" s="410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09" t="str">
        <f>+VLOOKUP($A36,Master!$D$25:$G$223,4,FALSE)</f>
        <v>Rashodi za tekuće održavanje</v>
      </c>
      <c r="C36" s="410"/>
      <c r="D36" s="410"/>
      <c r="E36" s="410"/>
      <c r="F36" s="410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09" t="str">
        <f>+VLOOKUP($A37,Master!$D$25:$G$223,4,FALSE)</f>
        <v>Kamate</v>
      </c>
      <c r="C37" s="410"/>
      <c r="D37" s="410"/>
      <c r="E37" s="410"/>
      <c r="F37" s="410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09" t="str">
        <f>+VLOOKUP($A38,Master!$D$25:$G$223,4,FALSE)</f>
        <v>Renta</v>
      </c>
      <c r="C38" s="410"/>
      <c r="D38" s="410"/>
      <c r="E38" s="410"/>
      <c r="F38" s="410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09" t="str">
        <f>+VLOOKUP($A39,Master!$D$25:$G$223,4,FALSE)</f>
        <v>Subvencije</v>
      </c>
      <c r="C39" s="410"/>
      <c r="D39" s="410"/>
      <c r="E39" s="410"/>
      <c r="F39" s="410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09" t="str">
        <f>+VLOOKUP($A40,Master!$D$25:$G$223,4,FALSE)</f>
        <v>Ostali izdaci</v>
      </c>
      <c r="C40" s="410"/>
      <c r="D40" s="410"/>
      <c r="E40" s="410"/>
      <c r="F40" s="410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09" t="str">
        <f>+VLOOKUP($A41,Master!$D$25:$G$223,4,FALSE)</f>
        <v>Kapitalni izdaci u tekućem budžetu</v>
      </c>
      <c r="C41" s="410"/>
      <c r="D41" s="410"/>
      <c r="E41" s="410"/>
      <c r="F41" s="410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25" t="str">
        <f>+VLOOKUP($A42,Master!$D$25:$G$223,4,FALSE)</f>
        <v>Transferi za socijalnu zaštitu</v>
      </c>
      <c r="C42" s="426"/>
      <c r="D42" s="426"/>
      <c r="E42" s="426"/>
      <c r="F42" s="426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09" t="str">
        <f>+VLOOKUP($A43,Master!$D$25:$G$223,4,FALSE)</f>
        <v>Prava iz oblasti socijalne zaštite</v>
      </c>
      <c r="C43" s="410"/>
      <c r="D43" s="410"/>
      <c r="E43" s="410"/>
      <c r="F43" s="410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09" t="str">
        <f>+VLOOKUP($A44,Master!$D$25:$G$223,4,FALSE)</f>
        <v>Sredstva za tehnološke viškove</v>
      </c>
      <c r="C44" s="410"/>
      <c r="D44" s="410"/>
      <c r="E44" s="410"/>
      <c r="F44" s="410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09" t="str">
        <f>+VLOOKUP($A45,Master!$D$25:$G$223,4,FALSE)</f>
        <v>Prava iz oblasti penzijskog i invalidskog osiguranja</v>
      </c>
      <c r="C45" s="410"/>
      <c r="D45" s="410"/>
      <c r="E45" s="410"/>
      <c r="F45" s="410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09" t="str">
        <f>+VLOOKUP($A46,Master!$D$25:$G$223,4,FALSE)</f>
        <v>Ostala prava iz oblasti zdravstvene zaštite</v>
      </c>
      <c r="C46" s="410"/>
      <c r="D46" s="410"/>
      <c r="E46" s="410"/>
      <c r="F46" s="410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09" t="str">
        <f>+VLOOKUP($A47,Master!$D$25:$G$223,4,FALSE)</f>
        <v>Ostala prava iz zdravstvenog osiguranja</v>
      </c>
      <c r="C47" s="410"/>
      <c r="D47" s="410"/>
      <c r="E47" s="410"/>
      <c r="F47" s="410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23" t="str">
        <f>+VLOOKUP($A48,Master!$D$25:$G$223,4,FALSE)</f>
        <v xml:space="preserve">Transferi institucijama, pojedincima, nevladinom i javnom sektoru </v>
      </c>
      <c r="C48" s="424"/>
      <c r="D48" s="424"/>
      <c r="E48" s="424"/>
      <c r="F48" s="424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23" t="str">
        <f>+VLOOKUP($A49,Master!$D$25:$G$223,4,FALSE)</f>
        <v>Kapitalni budžet</v>
      </c>
      <c r="C49" s="424"/>
      <c r="D49" s="424"/>
      <c r="E49" s="424"/>
      <c r="F49" s="424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27" t="str">
        <f>+VLOOKUP($A50,Master!$D$25:$G$223,4,FALSE)</f>
        <v>Pozajmice i krediti</v>
      </c>
      <c r="C50" s="428"/>
      <c r="D50" s="428"/>
      <c r="E50" s="428"/>
      <c r="F50" s="428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27" t="str">
        <f>+VLOOKUP($A51,Master!$D$25:$G$223,4,FALSE)</f>
        <v>Rezerve</v>
      </c>
      <c r="C51" s="428"/>
      <c r="D51" s="428"/>
      <c r="E51" s="428"/>
      <c r="F51" s="428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29" t="str">
        <f>+VLOOKUP($A52,Master!$D$25:$G$223,4,FALSE)</f>
        <v>Otplata garancija</v>
      </c>
      <c r="C52" s="430"/>
      <c r="D52" s="430"/>
      <c r="E52" s="430"/>
      <c r="F52" s="430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29" t="str">
        <f>+VLOOKUP($A53,Master!$D$25:$G$223,4,TRUE)</f>
        <v>Otplata obaveza iz prethodnih godina</v>
      </c>
      <c r="C53" s="430"/>
      <c r="D53" s="430"/>
      <c r="E53" s="430"/>
      <c r="F53" s="430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58" t="str">
        <f>+VLOOKUP($A54,Master!$D$25:$G$225,4,FALSE)</f>
        <v>Neto povećanje obaveza</v>
      </c>
      <c r="C54" s="459"/>
      <c r="D54" s="459"/>
      <c r="E54" s="459"/>
      <c r="F54" s="459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31" t="str">
        <f>+VLOOKUP($A55,Master!$D$25:$G$223,4,FALSE)</f>
        <v>Suficit / deficit</v>
      </c>
      <c r="C55" s="432"/>
      <c r="D55" s="432"/>
      <c r="E55" s="432"/>
      <c r="F55" s="432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33" t="str">
        <f>+VLOOKUP($A56,Master!$D$25:$G$223,4,FALSE)</f>
        <v>Primarni bilans</v>
      </c>
      <c r="C56" s="434"/>
      <c r="D56" s="434"/>
      <c r="E56" s="434"/>
      <c r="F56" s="434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25" t="str">
        <f>+VLOOKUP($A57,Master!$D$25:$G$223,4,FALSE)</f>
        <v>Otplata dugova</v>
      </c>
      <c r="C57" s="426"/>
      <c r="D57" s="426"/>
      <c r="E57" s="426"/>
      <c r="F57" s="426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51" t="str">
        <f>+VLOOKUP($A58,Master!$D$25:$G$223,4,FALSE)</f>
        <v>Otplata hartija od vrijednosti i kredita rezidentima</v>
      </c>
      <c r="C58" s="452"/>
      <c r="D58" s="452"/>
      <c r="E58" s="452"/>
      <c r="F58" s="452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27" t="str">
        <f>+VLOOKUP($A59,Master!$D$25:$G$223,4,FALSE)</f>
        <v>Otplata hartija od vrijednosti i kredita nerezidentima</v>
      </c>
      <c r="C59" s="428"/>
      <c r="D59" s="428"/>
      <c r="E59" s="428"/>
      <c r="F59" s="428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53" t="str">
        <f>+VLOOKUP($A60,Master!$D$25:$G$223,4,FALSE)</f>
        <v>Nedostajuća sredstva</v>
      </c>
      <c r="C60" s="454"/>
      <c r="D60" s="454"/>
      <c r="E60" s="454"/>
      <c r="F60" s="454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17" t="str">
        <f>+VLOOKUP($A61,Master!$D$25:$G$223,4,FALSE)</f>
        <v>Finansiranje</v>
      </c>
      <c r="C61" s="418"/>
      <c r="D61" s="418"/>
      <c r="E61" s="418"/>
      <c r="F61" s="418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51" t="str">
        <f>+VLOOKUP($A62,Master!$D$25:$G$223,4,FALSE)</f>
        <v>Pozajmice i krediti od domaćih izvora</v>
      </c>
      <c r="C62" s="452"/>
      <c r="D62" s="452"/>
      <c r="E62" s="452"/>
      <c r="F62" s="452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27" t="str">
        <f>+VLOOKUP($A63,Master!$D$25:$G$223,4,FALSE)</f>
        <v>Pozajmice i krediti od inostranih izvora</v>
      </c>
      <c r="C63" s="428"/>
      <c r="D63" s="428"/>
      <c r="E63" s="428"/>
      <c r="F63" s="428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27" t="str">
        <f>+VLOOKUP($A64,Master!$D$25:$G$223,4,FALSE)</f>
        <v>Primici od prodaje imovine</v>
      </c>
      <c r="C64" s="428"/>
      <c r="D64" s="428"/>
      <c r="E64" s="428"/>
      <c r="F64" s="428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68" t="str">
        <f>+Master!G250</f>
        <v>Plan ostvarenja budžeta</v>
      </c>
      <c r="C101" s="469"/>
      <c r="D101" s="469"/>
      <c r="E101" s="469"/>
      <c r="F101" s="469"/>
      <c r="G101" s="460">
        <v>2016</v>
      </c>
      <c r="H101" s="476"/>
      <c r="I101" s="476"/>
      <c r="J101" s="476"/>
      <c r="K101" s="476"/>
      <c r="L101" s="476"/>
      <c r="M101" s="476"/>
      <c r="N101" s="476"/>
      <c r="O101" s="476"/>
      <c r="P101" s="476"/>
      <c r="Q101" s="476"/>
      <c r="R101" s="461"/>
      <c r="S101" s="116" t="str">
        <f>+S7</f>
        <v>BDP</v>
      </c>
      <c r="T101" s="117">
        <f>+T7</f>
        <v>3773000000</v>
      </c>
    </row>
    <row r="102" spans="1:21" ht="15.75" customHeight="1">
      <c r="B102" s="470"/>
      <c r="C102" s="471"/>
      <c r="D102" s="471"/>
      <c r="E102" s="471"/>
      <c r="F102" s="472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60" t="str">
        <f>+Master!G244</f>
        <v>Jan - Dec</v>
      </c>
      <c r="T102" s="461">
        <f>+T8</f>
        <v>0</v>
      </c>
    </row>
    <row r="103" spans="1:21" ht="13.5" thickBot="1">
      <c r="B103" s="473"/>
      <c r="C103" s="474"/>
      <c r="D103" s="474"/>
      <c r="E103" s="474"/>
      <c r="F103" s="475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62" t="str">
        <f>+VLOOKUP(LEFT($A104,LEN(A104)-1)*1,Master!$D$25:$G$223,4,FALSE)</f>
        <v>Prihodi budžeta</v>
      </c>
      <c r="C104" s="463"/>
      <c r="D104" s="463"/>
      <c r="E104" s="463"/>
      <c r="F104" s="463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464" t="str">
        <f>+VLOOKUP(LEFT($A105,LEN(A105)-1)*1,Master!$D$25:$G$223,4,FALSE)</f>
        <v>Porezi</v>
      </c>
      <c r="C105" s="465"/>
      <c r="D105" s="465"/>
      <c r="E105" s="465"/>
      <c r="F105" s="465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66" t="str">
        <f>+VLOOKUP(LEFT($A106,LEN(A106)-1)*1,Master!$D$25:$G$223,4,FALSE)</f>
        <v>Porez na dohodak fizičkih lica</v>
      </c>
      <c r="C106" s="467"/>
      <c r="D106" s="467"/>
      <c r="E106" s="467"/>
      <c r="F106" s="467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66" t="str">
        <f>+VLOOKUP(LEFT($A107,LEN(A107)-1)*1,Master!$D$25:$G$223,4,FALSE)</f>
        <v>Porez na dobit pravnih lica</v>
      </c>
      <c r="C107" s="467"/>
      <c r="D107" s="467"/>
      <c r="E107" s="467"/>
      <c r="F107" s="467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66" t="str">
        <f>+VLOOKUP(LEFT($A108,LEN(A108)-1)*1,Master!$D$25:$G$223,4,FALSE)</f>
        <v>Porez na promet nepokretnosti</v>
      </c>
      <c r="C108" s="467"/>
      <c r="D108" s="467"/>
      <c r="E108" s="467"/>
      <c r="F108" s="467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66" t="str">
        <f>+VLOOKUP(LEFT($A109,LEN(A109)-1)*1,Master!$D$25:$G$223,4,FALSE)</f>
        <v>Porez na dodatu vrijednost</v>
      </c>
      <c r="C109" s="467"/>
      <c r="D109" s="467"/>
      <c r="E109" s="467"/>
      <c r="F109" s="467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66" t="str">
        <f>+VLOOKUP(LEFT($A110,LEN(A110)-1)*1,Master!$D$25:$G$223,4,FALSE)</f>
        <v>Akcize</v>
      </c>
      <c r="C110" s="467"/>
      <c r="D110" s="467"/>
      <c r="E110" s="467"/>
      <c r="F110" s="467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66" t="str">
        <f>+VLOOKUP(LEFT($A111,LEN(A111)-1)*1,Master!$D$25:$G$223,4,FALSE)</f>
        <v>Porez na međunarodnu trgovinu i transakcije</v>
      </c>
      <c r="C111" s="467"/>
      <c r="D111" s="467"/>
      <c r="E111" s="467"/>
      <c r="F111" s="467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66" t="str">
        <f>+VLOOKUP(LEFT($A112,LEN(A112)-1)*1,Master!$D$25:$G$223,4,FALSE)</f>
        <v>Ostali državni porezi</v>
      </c>
      <c r="C112" s="467"/>
      <c r="D112" s="467"/>
      <c r="E112" s="467"/>
      <c r="F112" s="467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479" t="str">
        <f>+VLOOKUP(LEFT($A113,LEN(A113)-1)*1,Master!$D$25:$G$223,4,FALSE)</f>
        <v>Doprinosi</v>
      </c>
      <c r="C113" s="480"/>
      <c r="D113" s="480"/>
      <c r="E113" s="480"/>
      <c r="F113" s="480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66" t="str">
        <f>+VLOOKUP(LEFT($A114,LEN(A114)-1)*1,Master!$D$25:$G$223,4,FALSE)</f>
        <v>Doprinosi za penzijsko i invalidsko osiguranje</v>
      </c>
      <c r="C114" s="467"/>
      <c r="D114" s="467"/>
      <c r="E114" s="467"/>
      <c r="F114" s="467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66" t="str">
        <f>+VLOOKUP(LEFT($A115,LEN(A115)-1)*1,Master!$D$25:$G$223,4,FALSE)</f>
        <v>Doprinosi za zdravstveno osiguranje</v>
      </c>
      <c r="C115" s="467"/>
      <c r="D115" s="467"/>
      <c r="E115" s="467"/>
      <c r="F115" s="467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66" t="str">
        <f>+VLOOKUP(LEFT($A116,LEN(A116)-1)*1,Master!$D$25:$G$223,4,FALSE)</f>
        <v>Doprinosi za osiguranje od nezaposlenosti</v>
      </c>
      <c r="C116" s="467"/>
      <c r="D116" s="467"/>
      <c r="E116" s="467"/>
      <c r="F116" s="467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66" t="str">
        <f>+VLOOKUP(LEFT($A117,LEN(A117)-1)*1,Master!$D$25:$G$223,4,FALSE)</f>
        <v>Ostali doprinosi</v>
      </c>
      <c r="C117" s="467"/>
      <c r="D117" s="467"/>
      <c r="E117" s="467"/>
      <c r="F117" s="467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477" t="str">
        <f>+VLOOKUP(LEFT($A118,LEN(A118)-1)*1,Master!$D$25:$G$223,4,FALSE)</f>
        <v>Takse</v>
      </c>
      <c r="C118" s="478"/>
      <c r="D118" s="478"/>
      <c r="E118" s="478"/>
      <c r="F118" s="478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477" t="str">
        <f>+VLOOKUP(LEFT($A119,LEN(A119)-1)*1,Master!$D$25:$G$223,4,FALSE)</f>
        <v>Naknade</v>
      </c>
      <c r="C119" s="478"/>
      <c r="D119" s="478"/>
      <c r="E119" s="478"/>
      <c r="F119" s="478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477" t="str">
        <f>+VLOOKUP(LEFT($A120,LEN(A120)-1)*1,Master!$D$25:$G$223,4,FALSE)</f>
        <v>Ostali prihodi</v>
      </c>
      <c r="C120" s="478"/>
      <c r="D120" s="478"/>
      <c r="E120" s="478"/>
      <c r="F120" s="478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477" t="str">
        <f>+VLOOKUP(LEFT($A121,LEN(A121)-1)*1,Master!$D$25:$G$223,4,FALSE)</f>
        <v>Primici od otplate kredita i sredstva prenesena iz prethodne godine</v>
      </c>
      <c r="C121" s="478"/>
      <c r="D121" s="478"/>
      <c r="E121" s="478"/>
      <c r="F121" s="478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481" t="str">
        <f>+VLOOKUP(LEFT($A122,LEN(A122)-1)*1,Master!$D$25:$G$223,4,FALSE)</f>
        <v>Donacije i transferi</v>
      </c>
      <c r="C122" s="482"/>
      <c r="D122" s="482"/>
      <c r="E122" s="482"/>
      <c r="F122" s="482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483" t="str">
        <f>+VLOOKUP(LEFT($A123,LEN(A123)-1)*1,Master!$D$25:$G$223,4,FALSE)</f>
        <v>Budžetki izdaci</v>
      </c>
      <c r="C123" s="484"/>
      <c r="D123" s="484"/>
      <c r="E123" s="484"/>
      <c r="F123" s="484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485" t="str">
        <f>+VLOOKUP(LEFT($A124,LEN(A124)-1)*1,Master!$D$25:$G$223,4,FALSE)</f>
        <v>Tekući izdaci</v>
      </c>
      <c r="C124" s="486"/>
      <c r="D124" s="486"/>
      <c r="E124" s="486"/>
      <c r="F124" s="486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487" t="str">
        <f>+VLOOKUP(LEFT($A125,LEN(A125)-1)*1,Master!$D$25:$G$223,4,FALSE)</f>
        <v>Tekući budžetski izdaci</v>
      </c>
      <c r="C125" s="488"/>
      <c r="D125" s="488"/>
      <c r="E125" s="488"/>
      <c r="F125" s="488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66" t="str">
        <f>+VLOOKUP(LEFT($A126,LEN(A126)-1)*1,Master!$D$25:$G$223,4,FALSE)</f>
        <v>Bruto zarade i doprinosi na teret poslodavca</v>
      </c>
      <c r="C126" s="467"/>
      <c r="D126" s="467"/>
      <c r="E126" s="467"/>
      <c r="F126" s="467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66" t="str">
        <f>+VLOOKUP(LEFT($A127,LEN(A127)-1)*1,Master!$D$25:$G$223,4,FALSE)</f>
        <v>Ostala lična primanja</v>
      </c>
      <c r="C127" s="467"/>
      <c r="D127" s="467"/>
      <c r="E127" s="467"/>
      <c r="F127" s="467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66" t="str">
        <f>+VLOOKUP(LEFT($A128,LEN(A128)-1)*1,Master!$D$25:$G$223,4,FALSE)</f>
        <v>Rashodi za materijal</v>
      </c>
      <c r="C128" s="467"/>
      <c r="D128" s="467"/>
      <c r="E128" s="467"/>
      <c r="F128" s="467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66" t="str">
        <f>+VLOOKUP(LEFT($A129,LEN(A129)-1)*1,Master!$D$25:$G$223,4,FALSE)</f>
        <v>Rashodi za usluge</v>
      </c>
      <c r="C129" s="467"/>
      <c r="D129" s="467"/>
      <c r="E129" s="467"/>
      <c r="F129" s="467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66" t="str">
        <f>+VLOOKUP(LEFT($A130,LEN(A130)-1)*1,Master!$D$25:$G$223,4,FALSE)</f>
        <v>Rashodi za tekuće održavanje</v>
      </c>
      <c r="C130" s="467"/>
      <c r="D130" s="467"/>
      <c r="E130" s="467"/>
      <c r="F130" s="467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66" t="str">
        <f>+VLOOKUP(LEFT($A131,LEN(A131)-1)*1,Master!$D$25:$G$223,4,FALSE)</f>
        <v>Kamate</v>
      </c>
      <c r="C131" s="467"/>
      <c r="D131" s="467"/>
      <c r="E131" s="467"/>
      <c r="F131" s="467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66" t="str">
        <f>+VLOOKUP(LEFT($A132,LEN(A132)-1)*1,Master!$D$25:$G$223,4,FALSE)</f>
        <v>Renta</v>
      </c>
      <c r="C132" s="467"/>
      <c r="D132" s="467"/>
      <c r="E132" s="467"/>
      <c r="F132" s="467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66" t="str">
        <f>+VLOOKUP(LEFT($A133,LEN(A133)-1)*1,Master!$D$25:$G$223,4,FALSE)</f>
        <v>Subvencije</v>
      </c>
      <c r="C133" s="467"/>
      <c r="D133" s="467"/>
      <c r="E133" s="467"/>
      <c r="F133" s="467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66" t="str">
        <f>+VLOOKUP(LEFT($A134,LEN(A134)-1)*1,Master!$D$25:$G$223,4,FALSE)</f>
        <v>Ostali izdaci</v>
      </c>
      <c r="C134" s="467"/>
      <c r="D134" s="467"/>
      <c r="E134" s="467"/>
      <c r="F134" s="467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66" t="str">
        <f>+VLOOKUP(LEFT($A135,LEN(A135)-1)*1,Master!$D$25:$G$223,4,FALSE)</f>
        <v>Kapitalni izdaci u tekućem budžetu</v>
      </c>
      <c r="C135" s="467"/>
      <c r="D135" s="467"/>
      <c r="E135" s="467"/>
      <c r="F135" s="467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493" t="str">
        <f>+VLOOKUP(LEFT($A136,LEN(A136)-1)*1,Master!$D$25:$G$223,4,FALSE)</f>
        <v>Transferi za socijalnu zaštitu</v>
      </c>
      <c r="C136" s="494"/>
      <c r="D136" s="494"/>
      <c r="E136" s="494"/>
      <c r="F136" s="494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66" t="str">
        <f>+VLOOKUP(LEFT($A137,LEN(A137)-1)*1,Master!$D$25:$G$223,4,FALSE)</f>
        <v>Prava iz oblasti socijalne zaštite</v>
      </c>
      <c r="C137" s="467"/>
      <c r="D137" s="467"/>
      <c r="E137" s="467"/>
      <c r="F137" s="467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66" t="str">
        <f>+VLOOKUP(LEFT($A138,LEN(A138)-1)*1,Master!$D$25:$G$223,4,FALSE)</f>
        <v>Sredstva za tehnološke viškove</v>
      </c>
      <c r="C138" s="467"/>
      <c r="D138" s="467"/>
      <c r="E138" s="467"/>
      <c r="F138" s="467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66" t="str">
        <f>+VLOOKUP(LEFT($A139,LEN(A139)-1)*1,Master!$D$25:$G$223,4,FALSE)</f>
        <v>Prava iz oblasti penzijskog i invalidskog osiguranja</v>
      </c>
      <c r="C139" s="467"/>
      <c r="D139" s="467"/>
      <c r="E139" s="467"/>
      <c r="F139" s="467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66" t="str">
        <f>+VLOOKUP(LEFT($A140,LEN(A140)-1)*1,Master!$D$25:$G$223,4,FALSE)</f>
        <v>Ostala prava iz oblasti zdravstvene zaštite</v>
      </c>
      <c r="C140" s="467"/>
      <c r="D140" s="467"/>
      <c r="E140" s="467"/>
      <c r="F140" s="467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66" t="str">
        <f>+VLOOKUP(LEFT($A141,LEN(A141)-1)*1,Master!$D$25:$G$223,4,FALSE)</f>
        <v>Ostala prava iz zdravstvenog osiguranja</v>
      </c>
      <c r="C141" s="467"/>
      <c r="D141" s="467"/>
      <c r="E141" s="467"/>
      <c r="F141" s="467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489" t="str">
        <f>+VLOOKUP(LEFT($A142,LEN(A142)-1)*1,Master!$D$25:$G$223,4,FALSE)</f>
        <v xml:space="preserve">Transferi institucijama, pojedincima, nevladinom i javnom sektoru </v>
      </c>
      <c r="C142" s="490"/>
      <c r="D142" s="490"/>
      <c r="E142" s="490"/>
      <c r="F142" s="490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489" t="str">
        <f>+VLOOKUP(LEFT($A143,LEN(A143)-1)*1,Master!$D$25:$G$223,4,FALSE)</f>
        <v>Kapitalni budžet</v>
      </c>
      <c r="C143" s="490"/>
      <c r="D143" s="490"/>
      <c r="E143" s="490"/>
      <c r="F143" s="490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491" t="str">
        <f>+VLOOKUP(LEFT($A144,LEN(A144)-1)*1,Master!$D$25:$G$223,4,FALSE)</f>
        <v>Pozajmice i krediti</v>
      </c>
      <c r="C144" s="492"/>
      <c r="D144" s="492"/>
      <c r="E144" s="492"/>
      <c r="F144" s="492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491" t="str">
        <f>+VLOOKUP(LEFT($A145,LEN(A145)-1)*1,Master!$D$25:$G$223,4,FALSE)</f>
        <v>Rezerve</v>
      </c>
      <c r="C145" s="492"/>
      <c r="D145" s="492"/>
      <c r="E145" s="492"/>
      <c r="F145" s="492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491" t="str">
        <f>+VLOOKUP(LEFT($A146,LEN(A146)-1)*1,Master!$D$25:$G$223,4,FALSE)</f>
        <v>Otplata garancija</v>
      </c>
      <c r="C146" s="492"/>
      <c r="D146" s="492"/>
      <c r="E146" s="492"/>
      <c r="F146" s="492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701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9" t="str">
        <f>+VLOOKUP(LEFT($A148,LEN(A148)-1)*1,Master!$D$25:$G$223,4,FALSE)</f>
        <v>Suficit / deficit</v>
      </c>
      <c r="C148" s="500"/>
      <c r="D148" s="500"/>
      <c r="E148" s="500"/>
      <c r="F148" s="500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01" t="str">
        <f>+VLOOKUP(LEFT($A149,LEN(A149)-1)*1,Master!$D$25:$G$223,4,FALSE)</f>
        <v>Primarni bilans</v>
      </c>
      <c r="C149" s="502"/>
      <c r="D149" s="502"/>
      <c r="E149" s="502"/>
      <c r="F149" s="502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493" t="str">
        <f>+VLOOKUP(LEFT($A150,LEN(A150)-1)*1,Master!$D$25:$G$223,4,FALSE)</f>
        <v>Otplata dugova</v>
      </c>
      <c r="C150" s="494"/>
      <c r="D150" s="494"/>
      <c r="E150" s="494"/>
      <c r="F150" s="494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497" t="str">
        <f>+VLOOKUP(LEFT($A151,LEN(A151)-1)*1,Master!$D$25:$G$223,4,FALSE)</f>
        <v>Otplata hartija od vrijednosti i kredita rezidentima</v>
      </c>
      <c r="C151" s="498"/>
      <c r="D151" s="498"/>
      <c r="E151" s="498"/>
      <c r="F151" s="498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491" t="str">
        <f>+VLOOKUP(LEFT($A152,LEN(A152)-1)*1,Master!$D$25:$G$223,4,FALSE)</f>
        <v>Otplata hartija od vrijednosti i kredita nerezidentima</v>
      </c>
      <c r="C152" s="492"/>
      <c r="D152" s="492"/>
      <c r="E152" s="492"/>
      <c r="F152" s="492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58" t="str">
        <f>+VLOOKUP(LEFT($A153,LEN(A153)-1)*1,Master!$D$25:$G$223,4,FALSE)</f>
        <v>Otplata obaveza iz prethodnih godina</v>
      </c>
      <c r="C153" s="459"/>
      <c r="D153" s="459"/>
      <c r="E153" s="459"/>
      <c r="F153" s="459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495" t="str">
        <f>+VLOOKUP(LEFT($A154,LEN(A154)-1)*1,Master!$D$25:$G$223,4,FALSE)</f>
        <v>Nedostajuća sredstva</v>
      </c>
      <c r="C154" s="496"/>
      <c r="D154" s="496"/>
      <c r="E154" s="496"/>
      <c r="F154" s="496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483" t="str">
        <f>+VLOOKUP(LEFT($A155,LEN(A155)-1)*1,Master!$D$25:$G$223,4,FALSE)</f>
        <v>Finansiranje</v>
      </c>
      <c r="C155" s="484"/>
      <c r="D155" s="484"/>
      <c r="E155" s="484"/>
      <c r="F155" s="484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497" t="str">
        <f>+VLOOKUP(LEFT($A156,LEN(A156)-1)*1,Master!$D$25:$G$223,4,FALSE)</f>
        <v>Pozajmice i krediti od domaćih izvora</v>
      </c>
      <c r="C156" s="498"/>
      <c r="D156" s="498"/>
      <c r="E156" s="498"/>
      <c r="F156" s="498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491" t="str">
        <f>+VLOOKUP(LEFT($A157,LEN(A157)-1)*1,Master!$D$25:$G$223,4,FALSE)</f>
        <v>Pozajmice i krediti od inostranih izvora</v>
      </c>
      <c r="C157" s="492"/>
      <c r="D157" s="492"/>
      <c r="E157" s="492"/>
      <c r="F157" s="492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491" t="str">
        <f>+VLOOKUP(LEFT($A158,LEN(A158)-1)*1,Master!$D$25:$G$223,4,FALSE)</f>
        <v>Primici od prodaje imovine</v>
      </c>
      <c r="C158" s="492"/>
      <c r="D158" s="492"/>
      <c r="E158" s="492"/>
      <c r="F158" s="492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457" t="str">
        <f>+Master!G249</f>
        <v>Ostvarenje budžeta</v>
      </c>
      <c r="C7" s="438"/>
      <c r="D7" s="438"/>
      <c r="E7" s="438"/>
      <c r="F7" s="438"/>
      <c r="G7" s="446">
        <v>2015</v>
      </c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50"/>
      <c r="S7" s="261" t="str">
        <f>+Master!G246</f>
        <v>BDP</v>
      </c>
      <c r="T7" s="262">
        <v>3625000000</v>
      </c>
    </row>
    <row r="8" spans="1:20" ht="16.5" customHeight="1">
      <c r="A8" s="170"/>
      <c r="B8" s="439"/>
      <c r="C8" s="440"/>
      <c r="D8" s="440"/>
      <c r="E8" s="440"/>
      <c r="F8" s="441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6" t="s">
        <v>742</v>
      </c>
      <c r="T8" s="450"/>
    </row>
    <row r="9" spans="1:20" ht="13.5" thickBot="1">
      <c r="A9" s="170"/>
      <c r="B9" s="442"/>
      <c r="C9" s="443"/>
      <c r="D9" s="443"/>
      <c r="E9" s="443"/>
      <c r="F9" s="444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05" t="str">
        <f>+VLOOKUP($A10,Master!$D$25:$G$223,4,FALSE)</f>
        <v>Prihodi budžeta</v>
      </c>
      <c r="C10" s="406"/>
      <c r="D10" s="406"/>
      <c r="E10" s="406"/>
      <c r="F10" s="406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07" t="str">
        <f>+VLOOKUP($A11,Master!$D$25:$G$223,4,FALSE)</f>
        <v>Porezi</v>
      </c>
      <c r="C11" s="408"/>
      <c r="D11" s="408"/>
      <c r="E11" s="408"/>
      <c r="F11" s="408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09" t="str">
        <f>+VLOOKUP($A12,Master!$D$25:$G$223,4,FALSE)</f>
        <v>Porez na dohodak fizičkih lica</v>
      </c>
      <c r="C12" s="410"/>
      <c r="D12" s="410"/>
      <c r="E12" s="410"/>
      <c r="F12" s="410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09" t="str">
        <f>+VLOOKUP($A13,Master!$D$25:$G$223,4,FALSE)</f>
        <v>Porez na dobit pravnih lica</v>
      </c>
      <c r="C13" s="410"/>
      <c r="D13" s="410"/>
      <c r="E13" s="410"/>
      <c r="F13" s="410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09" t="str">
        <f>+VLOOKUP($A14,Master!$D$25:$G$223,4,FALSE)</f>
        <v>Porez na promet nepokretnosti</v>
      </c>
      <c r="C14" s="410"/>
      <c r="D14" s="410"/>
      <c r="E14" s="410"/>
      <c r="F14" s="410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09" t="str">
        <f>+VLOOKUP($A15,Master!$D$25:$G$223,4,FALSE)</f>
        <v>Porez na dodatu vrijednost</v>
      </c>
      <c r="C15" s="410"/>
      <c r="D15" s="410"/>
      <c r="E15" s="410"/>
      <c r="F15" s="410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09" t="str">
        <f>+VLOOKUP($A16,Master!$D$25:$G$223,4,FALSE)</f>
        <v>Akcize</v>
      </c>
      <c r="C16" s="410"/>
      <c r="D16" s="410"/>
      <c r="E16" s="410"/>
      <c r="F16" s="410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09" t="str">
        <f>+VLOOKUP($A17,Master!$D$25:$G$223,4,FALSE)</f>
        <v>Porez na međunarodnu trgovinu i transakcije</v>
      </c>
      <c r="C17" s="410"/>
      <c r="D17" s="410"/>
      <c r="E17" s="410"/>
      <c r="F17" s="410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09" t="str">
        <f>+VLOOKUP($A18,Master!$D$25:$G$223,4,FALSE)</f>
        <v>Ostali državni porezi</v>
      </c>
      <c r="C18" s="410"/>
      <c r="D18" s="410"/>
      <c r="E18" s="410"/>
      <c r="F18" s="410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13" t="str">
        <f>+VLOOKUP($A19,Master!$D$25:$G$223,4,FALSE)</f>
        <v>Doprinosi</v>
      </c>
      <c r="C19" s="414"/>
      <c r="D19" s="414"/>
      <c r="E19" s="414"/>
      <c r="F19" s="414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09" t="str">
        <f>+VLOOKUP($A20,Master!$D$25:$G$223,4,FALSE)</f>
        <v>Doprinosi za penzijsko i invalidsko osiguranje</v>
      </c>
      <c r="C20" s="410"/>
      <c r="D20" s="410"/>
      <c r="E20" s="410"/>
      <c r="F20" s="410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09" t="str">
        <f>+VLOOKUP($A21,Master!$D$25:$G$223,4,FALSE)</f>
        <v>Doprinosi za zdravstveno osiguranje</v>
      </c>
      <c r="C21" s="410"/>
      <c r="D21" s="410"/>
      <c r="E21" s="410"/>
      <c r="F21" s="410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09" t="str">
        <f>+VLOOKUP($A22,Master!$D$25:$G$223,4,FALSE)</f>
        <v>Doprinosi za osiguranje od nezaposlenosti</v>
      </c>
      <c r="C22" s="410"/>
      <c r="D22" s="410"/>
      <c r="E22" s="410"/>
      <c r="F22" s="410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09" t="str">
        <f>+VLOOKUP($A23,Master!$D$25:$G$223,4,FALSE)</f>
        <v>Ostali doprinosi</v>
      </c>
      <c r="C23" s="410"/>
      <c r="D23" s="410"/>
      <c r="E23" s="410"/>
      <c r="F23" s="410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11" t="str">
        <f>+VLOOKUP($A24,Master!$D$25:$G$223,4,FALSE)</f>
        <v>Takse</v>
      </c>
      <c r="C24" s="412"/>
      <c r="D24" s="412"/>
      <c r="E24" s="412"/>
      <c r="F24" s="412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11" t="str">
        <f>+VLOOKUP($A25,Master!$D$25:$G$223,4,FALSE)</f>
        <v>Naknade</v>
      </c>
      <c r="C25" s="412"/>
      <c r="D25" s="412"/>
      <c r="E25" s="412"/>
      <c r="F25" s="412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11" t="str">
        <f>+VLOOKUP($A26,Master!$D$25:$G$223,4,FALSE)</f>
        <v>Ostali prihodi</v>
      </c>
      <c r="C26" s="412"/>
      <c r="D26" s="412"/>
      <c r="E26" s="412"/>
      <c r="F26" s="412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11" t="str">
        <f>+VLOOKUP($A27,Master!$D$25:$G$223,4,FALSE)</f>
        <v>Primici od otplate kredita i sredstva prenesena iz prethodne godine</v>
      </c>
      <c r="C27" s="412"/>
      <c r="D27" s="412"/>
      <c r="E27" s="412"/>
      <c r="F27" s="412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15" t="str">
        <f>+VLOOKUP($A28,Master!$D$25:$G$223,4,FALSE)</f>
        <v>Donacije i transferi</v>
      </c>
      <c r="C28" s="416"/>
      <c r="D28" s="416"/>
      <c r="E28" s="416"/>
      <c r="F28" s="416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17" t="str">
        <f>+VLOOKUP($A29,Master!$D$25:$G$223,4,FALSE)</f>
        <v>Budžetki izdaci</v>
      </c>
      <c r="C29" s="418"/>
      <c r="D29" s="418"/>
      <c r="E29" s="418"/>
      <c r="F29" s="418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19" t="str">
        <f>+VLOOKUP($A30,Master!$D$25:$G$223,4,FALSE)</f>
        <v>Tekući izdaci</v>
      </c>
      <c r="C30" s="420"/>
      <c r="D30" s="420"/>
      <c r="E30" s="420"/>
      <c r="F30" s="420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21" t="str">
        <f>+VLOOKUP($A31,Master!$D$25:$G$223,4,FALSE)</f>
        <v>Tekući budžetski izdaci</v>
      </c>
      <c r="C31" s="422"/>
      <c r="D31" s="422"/>
      <c r="E31" s="422"/>
      <c r="F31" s="422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09" t="str">
        <f>+VLOOKUP($A32,Master!$D$25:$G$223,4,FALSE)</f>
        <v>Bruto zarade i doprinosi na teret poslodavca</v>
      </c>
      <c r="C32" s="410"/>
      <c r="D32" s="410"/>
      <c r="E32" s="410"/>
      <c r="F32" s="410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09" t="str">
        <f>+VLOOKUP($A33,Master!$D$25:$G$223,4,FALSE)</f>
        <v>Ostala lična primanja</v>
      </c>
      <c r="C33" s="410"/>
      <c r="D33" s="410"/>
      <c r="E33" s="410"/>
      <c r="F33" s="410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09" t="str">
        <f>+VLOOKUP($A34,Master!$D$25:$G$223,4,FALSE)</f>
        <v>Rashodi za materijal</v>
      </c>
      <c r="C34" s="410"/>
      <c r="D34" s="410"/>
      <c r="E34" s="410"/>
      <c r="F34" s="410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09" t="str">
        <f>+VLOOKUP($A35,Master!$D$25:$G$223,4,FALSE)</f>
        <v>Rashodi za usluge</v>
      </c>
      <c r="C35" s="410"/>
      <c r="D35" s="410"/>
      <c r="E35" s="410"/>
      <c r="F35" s="410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09" t="str">
        <f>+VLOOKUP($A36,Master!$D$25:$G$223,4,FALSE)</f>
        <v>Rashodi za tekuće održavanje</v>
      </c>
      <c r="C36" s="410"/>
      <c r="D36" s="410"/>
      <c r="E36" s="410"/>
      <c r="F36" s="410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09" t="str">
        <f>+VLOOKUP($A37,Master!$D$25:$G$223,4,FALSE)</f>
        <v>Kamate</v>
      </c>
      <c r="C37" s="410"/>
      <c r="D37" s="410"/>
      <c r="E37" s="410"/>
      <c r="F37" s="410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09" t="str">
        <f>+VLOOKUP($A38,Master!$D$25:$G$223,4,FALSE)</f>
        <v>Renta</v>
      </c>
      <c r="C38" s="410"/>
      <c r="D38" s="410"/>
      <c r="E38" s="410"/>
      <c r="F38" s="410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09" t="str">
        <f>+VLOOKUP($A39,Master!$D$25:$G$223,4,FALSE)</f>
        <v>Subvencije</v>
      </c>
      <c r="C39" s="410"/>
      <c r="D39" s="410"/>
      <c r="E39" s="410"/>
      <c r="F39" s="410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09" t="str">
        <f>+VLOOKUP($A40,Master!$D$25:$G$223,4,FALSE)</f>
        <v>Ostali izdaci</v>
      </c>
      <c r="C40" s="410"/>
      <c r="D40" s="410"/>
      <c r="E40" s="410"/>
      <c r="F40" s="410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09" t="str">
        <f>+VLOOKUP($A41,Master!$D$25:$G$223,4,FALSE)</f>
        <v>Kapitalni izdaci u tekućem budžetu</v>
      </c>
      <c r="C41" s="410"/>
      <c r="D41" s="410"/>
      <c r="E41" s="410"/>
      <c r="F41" s="410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25" t="str">
        <f>+VLOOKUP($A42,Master!$D$25:$G$223,4,FALSE)</f>
        <v>Transferi za socijalnu zaštitu</v>
      </c>
      <c r="C42" s="426"/>
      <c r="D42" s="426"/>
      <c r="E42" s="426"/>
      <c r="F42" s="426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09" t="str">
        <f>+VLOOKUP($A43,Master!$D$25:$G$223,4,FALSE)</f>
        <v>Prava iz oblasti socijalne zaštite</v>
      </c>
      <c r="C43" s="410"/>
      <c r="D43" s="410"/>
      <c r="E43" s="410"/>
      <c r="F43" s="410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09" t="str">
        <f>+VLOOKUP($A44,Master!$D$25:$G$223,4,FALSE)</f>
        <v>Sredstva za tehnološke viškove</v>
      </c>
      <c r="C44" s="410"/>
      <c r="D44" s="410"/>
      <c r="E44" s="410"/>
      <c r="F44" s="410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09" t="str">
        <f>+VLOOKUP($A45,Master!$D$25:$G$223,4,FALSE)</f>
        <v>Prava iz oblasti penzijskog i invalidskog osiguranja</v>
      </c>
      <c r="C45" s="410"/>
      <c r="D45" s="410"/>
      <c r="E45" s="410"/>
      <c r="F45" s="410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09" t="str">
        <f>+VLOOKUP($A46,Master!$D$25:$G$223,4,FALSE)</f>
        <v>Ostala prava iz oblasti zdravstvene zaštite</v>
      </c>
      <c r="C46" s="410"/>
      <c r="D46" s="410"/>
      <c r="E46" s="410"/>
      <c r="F46" s="410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09" t="str">
        <f>+VLOOKUP($A47,Master!$D$25:$G$223,4,FALSE)</f>
        <v>Ostala prava iz zdravstvenog osiguranja</v>
      </c>
      <c r="C47" s="410"/>
      <c r="D47" s="410"/>
      <c r="E47" s="410"/>
      <c r="F47" s="410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23" t="str">
        <f>+VLOOKUP($A48,Master!$D$25:$G$223,4,FALSE)</f>
        <v xml:space="preserve">Transferi institucijama, pojedincima, nevladinom i javnom sektoru </v>
      </c>
      <c r="C48" s="424"/>
      <c r="D48" s="424"/>
      <c r="E48" s="424"/>
      <c r="F48" s="424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23" t="str">
        <f>+VLOOKUP($A49,Master!$D$25:$G$223,4,FALSE)</f>
        <v>Kapitalni budžet</v>
      </c>
      <c r="C49" s="424"/>
      <c r="D49" s="424"/>
      <c r="E49" s="424"/>
      <c r="F49" s="424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27" t="str">
        <f>+VLOOKUP($A50,Master!$D$25:$G$223,4,FALSE)</f>
        <v>Pozajmice i krediti</v>
      </c>
      <c r="C50" s="428"/>
      <c r="D50" s="428"/>
      <c r="E50" s="428"/>
      <c r="F50" s="428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27" t="str">
        <f>+VLOOKUP($A51,Master!$D$25:$G$223,4,FALSE)</f>
        <v>Rezerve</v>
      </c>
      <c r="C51" s="428"/>
      <c r="D51" s="428"/>
      <c r="E51" s="428"/>
      <c r="F51" s="428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29" t="str">
        <f>+VLOOKUP($A52,Master!$D$25:$G$223,4,FALSE)</f>
        <v>Otplata garancija</v>
      </c>
      <c r="C52" s="430"/>
      <c r="D52" s="430"/>
      <c r="E52" s="430"/>
      <c r="F52" s="430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29" t="str">
        <f>+VLOOKUP($A53,Master!$D$25:$G$223,4,TRUE)</f>
        <v>Otplata obaveza iz prethodnih godina</v>
      </c>
      <c r="C53" s="430"/>
      <c r="D53" s="430"/>
      <c r="E53" s="430"/>
      <c r="F53" s="430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58" t="str">
        <f>+VLOOKUP($A54,Master!$D$25:$G$225,4,FALSE)</f>
        <v>Neto povećanje obaveza</v>
      </c>
      <c r="C54" s="459"/>
      <c r="D54" s="459"/>
      <c r="E54" s="459"/>
      <c r="F54" s="459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31" t="str">
        <f>+VLOOKUP($A55,Master!$D$25:$G$223,4,FALSE)</f>
        <v>Suficit / deficit</v>
      </c>
      <c r="C55" s="432"/>
      <c r="D55" s="432"/>
      <c r="E55" s="432"/>
      <c r="F55" s="432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33" t="str">
        <f>+VLOOKUP($A56,Master!$D$25:$G$223,4,FALSE)</f>
        <v>Primarni bilans</v>
      </c>
      <c r="C56" s="434"/>
      <c r="D56" s="434"/>
      <c r="E56" s="434"/>
      <c r="F56" s="434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25" t="str">
        <f>+VLOOKUP($A57,Master!$D$25:$G$223,4,FALSE)</f>
        <v>Otplata dugova</v>
      </c>
      <c r="C57" s="426"/>
      <c r="D57" s="426"/>
      <c r="E57" s="426"/>
      <c r="F57" s="426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51" t="str">
        <f>+VLOOKUP($A58,Master!$D$25:$G$223,4,FALSE)</f>
        <v>Otplata hartija od vrijednosti i kredita rezidentima</v>
      </c>
      <c r="C58" s="452"/>
      <c r="D58" s="452"/>
      <c r="E58" s="452"/>
      <c r="F58" s="452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27" t="str">
        <f>+VLOOKUP($A59,Master!$D$25:$G$223,4,FALSE)</f>
        <v>Otplata hartija od vrijednosti i kredita nerezidentima</v>
      </c>
      <c r="C59" s="428"/>
      <c r="D59" s="428"/>
      <c r="E59" s="428"/>
      <c r="F59" s="428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53" t="str">
        <f>+VLOOKUP($A60,Master!$D$25:$G$223,4,FALSE)</f>
        <v>Nedostajuća sredstva</v>
      </c>
      <c r="C60" s="454"/>
      <c r="D60" s="454"/>
      <c r="E60" s="454"/>
      <c r="F60" s="454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17" t="str">
        <f>+VLOOKUP($A61,Master!$D$25:$G$223,4,FALSE)</f>
        <v>Finansiranje</v>
      </c>
      <c r="C61" s="418"/>
      <c r="D61" s="418"/>
      <c r="E61" s="418"/>
      <c r="F61" s="418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51" t="str">
        <f>+VLOOKUP($A62,Master!$D$25:$G$223,4,FALSE)</f>
        <v>Pozajmice i krediti od domaćih izvora</v>
      </c>
      <c r="C62" s="452"/>
      <c r="D62" s="452"/>
      <c r="E62" s="452"/>
      <c r="F62" s="452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27" t="str">
        <f>+VLOOKUP($A63,Master!$D$25:$G$223,4,FALSE)</f>
        <v>Pozajmice i krediti od inostranih izvora</v>
      </c>
      <c r="C63" s="428"/>
      <c r="D63" s="428"/>
      <c r="E63" s="428"/>
      <c r="F63" s="428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27" t="str">
        <f>+VLOOKUP($A64,Master!$D$25:$G$223,4,FALSE)</f>
        <v>Primici od prodaje imovine</v>
      </c>
      <c r="C64" s="428"/>
      <c r="D64" s="428"/>
      <c r="E64" s="428"/>
      <c r="F64" s="428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68" t="str">
        <f>+Master!G250</f>
        <v>Plan ostvarenja budžeta</v>
      </c>
      <c r="C101" s="469"/>
      <c r="D101" s="469"/>
      <c r="E101" s="469"/>
      <c r="F101" s="469"/>
      <c r="G101" s="460">
        <v>2015</v>
      </c>
      <c r="H101" s="476"/>
      <c r="I101" s="476"/>
      <c r="J101" s="476"/>
      <c r="K101" s="476"/>
      <c r="L101" s="476"/>
      <c r="M101" s="476"/>
      <c r="N101" s="476"/>
      <c r="O101" s="476"/>
      <c r="P101" s="476"/>
      <c r="Q101" s="476"/>
      <c r="R101" s="461"/>
      <c r="S101" s="116" t="str">
        <f>+S7</f>
        <v>BDP</v>
      </c>
      <c r="T101" s="117">
        <f>+T7</f>
        <v>3625000000</v>
      </c>
    </row>
    <row r="102" spans="1:21" ht="15.75" customHeight="1">
      <c r="B102" s="470"/>
      <c r="C102" s="471"/>
      <c r="D102" s="471"/>
      <c r="E102" s="471"/>
      <c r="F102" s="472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60" t="str">
        <f>+Master!G244</f>
        <v>Jan - Dec</v>
      </c>
      <c r="T102" s="461">
        <f>+T8</f>
        <v>0</v>
      </c>
    </row>
    <row r="103" spans="1:21" ht="13.5" thickBot="1">
      <c r="B103" s="473"/>
      <c r="C103" s="474"/>
      <c r="D103" s="474"/>
      <c r="E103" s="474"/>
      <c r="F103" s="475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62" t="str">
        <f>+VLOOKUP(LEFT($A104,LEN(A104)-1)*1,Master!$D$25:$G$223,4,FALSE)</f>
        <v>Prihodi budžeta</v>
      </c>
      <c r="C104" s="463"/>
      <c r="D104" s="463"/>
      <c r="E104" s="463"/>
      <c r="F104" s="463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464" t="str">
        <f>+VLOOKUP(LEFT($A105,LEN(A105)-1)*1,Master!$D$25:$G$223,4,FALSE)</f>
        <v>Porezi</v>
      </c>
      <c r="C105" s="465"/>
      <c r="D105" s="465"/>
      <c r="E105" s="465"/>
      <c r="F105" s="465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66" t="str">
        <f>+VLOOKUP(LEFT($A106,LEN(A106)-1)*1,Master!$D$25:$G$223,4,FALSE)</f>
        <v>Porez na dohodak fizičkih lica</v>
      </c>
      <c r="C106" s="467"/>
      <c r="D106" s="467"/>
      <c r="E106" s="467"/>
      <c r="F106" s="467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66" t="str">
        <f>+VLOOKUP(LEFT($A107,LEN(A107)-1)*1,Master!$D$25:$G$223,4,FALSE)</f>
        <v>Porez na dobit pravnih lica</v>
      </c>
      <c r="C107" s="467"/>
      <c r="D107" s="467"/>
      <c r="E107" s="467"/>
      <c r="F107" s="467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66" t="str">
        <f>+VLOOKUP(LEFT($A108,LEN(A108)-1)*1,Master!$D$25:$G$223,4,FALSE)</f>
        <v>Porez na promet nepokretnosti</v>
      </c>
      <c r="C108" s="467"/>
      <c r="D108" s="467"/>
      <c r="E108" s="467"/>
      <c r="F108" s="467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66" t="str">
        <f>+VLOOKUP(LEFT($A109,LEN(A109)-1)*1,Master!$D$25:$G$223,4,FALSE)</f>
        <v>Porez na dodatu vrijednost</v>
      </c>
      <c r="C109" s="467"/>
      <c r="D109" s="467"/>
      <c r="E109" s="467"/>
      <c r="F109" s="467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66" t="str">
        <f>+VLOOKUP(LEFT($A110,LEN(A110)-1)*1,Master!$D$25:$G$223,4,FALSE)</f>
        <v>Akcize</v>
      </c>
      <c r="C110" s="467"/>
      <c r="D110" s="467"/>
      <c r="E110" s="467"/>
      <c r="F110" s="467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66" t="str">
        <f>+VLOOKUP(LEFT($A111,LEN(A111)-1)*1,Master!$D$25:$G$223,4,FALSE)</f>
        <v>Porez na međunarodnu trgovinu i transakcije</v>
      </c>
      <c r="C111" s="467"/>
      <c r="D111" s="467"/>
      <c r="E111" s="467"/>
      <c r="F111" s="467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66" t="str">
        <f>+VLOOKUP(LEFT($A112,LEN(A112)-1)*1,Master!$D$25:$G$223,4,FALSE)</f>
        <v>Ostali državni porezi</v>
      </c>
      <c r="C112" s="467"/>
      <c r="D112" s="467"/>
      <c r="E112" s="467"/>
      <c r="F112" s="467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479" t="str">
        <f>+VLOOKUP(LEFT($A113,LEN(A113)-1)*1,Master!$D$25:$G$223,4,FALSE)</f>
        <v>Doprinosi</v>
      </c>
      <c r="C113" s="480"/>
      <c r="D113" s="480"/>
      <c r="E113" s="480"/>
      <c r="F113" s="480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66" t="str">
        <f>+VLOOKUP(LEFT($A114,LEN(A114)-1)*1,Master!$D$25:$G$223,4,FALSE)</f>
        <v>Doprinosi za penzijsko i invalidsko osiguranje</v>
      </c>
      <c r="C114" s="467"/>
      <c r="D114" s="467"/>
      <c r="E114" s="467"/>
      <c r="F114" s="467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66" t="str">
        <f>+VLOOKUP(LEFT($A115,LEN(A115)-1)*1,Master!$D$25:$G$223,4,FALSE)</f>
        <v>Doprinosi za zdravstveno osiguranje</v>
      </c>
      <c r="C115" s="467"/>
      <c r="D115" s="467"/>
      <c r="E115" s="467"/>
      <c r="F115" s="467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66" t="str">
        <f>+VLOOKUP(LEFT($A116,LEN(A116)-1)*1,Master!$D$25:$G$223,4,FALSE)</f>
        <v>Doprinosi za osiguranje od nezaposlenosti</v>
      </c>
      <c r="C116" s="467"/>
      <c r="D116" s="467"/>
      <c r="E116" s="467"/>
      <c r="F116" s="467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66" t="str">
        <f>+VLOOKUP(LEFT($A117,LEN(A117)-1)*1,Master!$D$25:$G$223,4,FALSE)</f>
        <v>Ostali doprinosi</v>
      </c>
      <c r="C117" s="467"/>
      <c r="D117" s="467"/>
      <c r="E117" s="467"/>
      <c r="F117" s="467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477" t="str">
        <f>+VLOOKUP(LEFT($A118,LEN(A118)-1)*1,Master!$D$25:$G$223,4,FALSE)</f>
        <v>Takse</v>
      </c>
      <c r="C118" s="478"/>
      <c r="D118" s="478"/>
      <c r="E118" s="478"/>
      <c r="F118" s="478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477" t="str">
        <f>+VLOOKUP(LEFT($A119,LEN(A119)-1)*1,Master!$D$25:$G$223,4,FALSE)</f>
        <v>Naknade</v>
      </c>
      <c r="C119" s="478"/>
      <c r="D119" s="478"/>
      <c r="E119" s="478"/>
      <c r="F119" s="478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477" t="str">
        <f>+VLOOKUP(LEFT($A120,LEN(A120)-1)*1,Master!$D$25:$G$223,4,FALSE)</f>
        <v>Ostali prihodi</v>
      </c>
      <c r="C120" s="478"/>
      <c r="D120" s="478"/>
      <c r="E120" s="478"/>
      <c r="F120" s="478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477" t="str">
        <f>+VLOOKUP(LEFT($A121,LEN(A121)-1)*1,Master!$D$25:$G$223,4,FALSE)</f>
        <v>Primici od otplate kredita i sredstva prenesena iz prethodne godine</v>
      </c>
      <c r="C121" s="478"/>
      <c r="D121" s="478"/>
      <c r="E121" s="478"/>
      <c r="F121" s="478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481" t="str">
        <f>+VLOOKUP(LEFT($A122,LEN(A122)-1)*1,Master!$D$25:$G$223,4,FALSE)</f>
        <v>Donacije i transferi</v>
      </c>
      <c r="C122" s="482"/>
      <c r="D122" s="482"/>
      <c r="E122" s="482"/>
      <c r="F122" s="482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483" t="str">
        <f>+VLOOKUP(LEFT($A123,LEN(A123)-1)*1,Master!$D$25:$G$223,4,FALSE)</f>
        <v>Budžetki izdaci</v>
      </c>
      <c r="C123" s="484"/>
      <c r="D123" s="484"/>
      <c r="E123" s="484"/>
      <c r="F123" s="484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485" t="str">
        <f>+VLOOKUP(LEFT($A124,LEN(A124)-1)*1,Master!$D$25:$G$223,4,FALSE)</f>
        <v>Tekući izdaci</v>
      </c>
      <c r="C124" s="486"/>
      <c r="D124" s="486"/>
      <c r="E124" s="486"/>
      <c r="F124" s="486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487" t="str">
        <f>+VLOOKUP(LEFT($A125,LEN(A125)-1)*1,Master!$D$25:$G$223,4,FALSE)</f>
        <v>Tekući budžetski izdaci</v>
      </c>
      <c r="C125" s="488"/>
      <c r="D125" s="488"/>
      <c r="E125" s="488"/>
      <c r="F125" s="488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66" t="str">
        <f>+VLOOKUP(LEFT($A126,LEN(A126)-1)*1,Master!$D$25:$G$223,4,FALSE)</f>
        <v>Bruto zarade i doprinosi na teret poslodavca</v>
      </c>
      <c r="C126" s="467"/>
      <c r="D126" s="467"/>
      <c r="E126" s="467"/>
      <c r="F126" s="467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66" t="str">
        <f>+VLOOKUP(LEFT($A127,LEN(A127)-1)*1,Master!$D$25:$G$223,4,FALSE)</f>
        <v>Ostala lična primanja</v>
      </c>
      <c r="C127" s="467"/>
      <c r="D127" s="467"/>
      <c r="E127" s="467"/>
      <c r="F127" s="467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66" t="str">
        <f>+VLOOKUP(LEFT($A128,LEN(A128)-1)*1,Master!$D$25:$G$223,4,FALSE)</f>
        <v>Rashodi za materijal</v>
      </c>
      <c r="C128" s="467"/>
      <c r="D128" s="467"/>
      <c r="E128" s="467"/>
      <c r="F128" s="467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66" t="str">
        <f>+VLOOKUP(LEFT($A129,LEN(A129)-1)*1,Master!$D$25:$G$223,4,FALSE)</f>
        <v>Rashodi za usluge</v>
      </c>
      <c r="C129" s="467"/>
      <c r="D129" s="467"/>
      <c r="E129" s="467"/>
      <c r="F129" s="467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66" t="str">
        <f>+VLOOKUP(LEFT($A130,LEN(A130)-1)*1,Master!$D$25:$G$223,4,FALSE)</f>
        <v>Rashodi za tekuće održavanje</v>
      </c>
      <c r="C130" s="467"/>
      <c r="D130" s="467"/>
      <c r="E130" s="467"/>
      <c r="F130" s="467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66" t="str">
        <f>+VLOOKUP(LEFT($A131,LEN(A131)-1)*1,Master!$D$25:$G$223,4,FALSE)</f>
        <v>Kamate</v>
      </c>
      <c r="C131" s="467"/>
      <c r="D131" s="467"/>
      <c r="E131" s="467"/>
      <c r="F131" s="467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66" t="str">
        <f>+VLOOKUP(LEFT($A132,LEN(A132)-1)*1,Master!$D$25:$G$223,4,FALSE)</f>
        <v>Renta</v>
      </c>
      <c r="C132" s="467"/>
      <c r="D132" s="467"/>
      <c r="E132" s="467"/>
      <c r="F132" s="467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66" t="str">
        <f>+VLOOKUP(LEFT($A133,LEN(A133)-1)*1,Master!$D$25:$G$223,4,FALSE)</f>
        <v>Subvencije</v>
      </c>
      <c r="C133" s="467"/>
      <c r="D133" s="467"/>
      <c r="E133" s="467"/>
      <c r="F133" s="467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66" t="str">
        <f>+VLOOKUP(LEFT($A134,LEN(A134)-1)*1,Master!$D$25:$G$223,4,FALSE)</f>
        <v>Ostali izdaci</v>
      </c>
      <c r="C134" s="467"/>
      <c r="D134" s="467"/>
      <c r="E134" s="467"/>
      <c r="F134" s="467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66" t="str">
        <f>+VLOOKUP(LEFT($A135,LEN(A135)-1)*1,Master!$D$25:$G$223,4,FALSE)</f>
        <v>Kapitalni izdaci u tekućem budžetu</v>
      </c>
      <c r="C135" s="467"/>
      <c r="D135" s="467"/>
      <c r="E135" s="467"/>
      <c r="F135" s="467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493" t="str">
        <f>+VLOOKUP(LEFT($A136,LEN(A136)-1)*1,Master!$D$25:$G$223,4,FALSE)</f>
        <v>Transferi za socijalnu zaštitu</v>
      </c>
      <c r="C136" s="494"/>
      <c r="D136" s="494"/>
      <c r="E136" s="494"/>
      <c r="F136" s="494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66" t="str">
        <f>+VLOOKUP(LEFT($A137,LEN(A137)-1)*1,Master!$D$25:$G$223,4,FALSE)</f>
        <v>Prava iz oblasti socijalne zaštite</v>
      </c>
      <c r="C137" s="467"/>
      <c r="D137" s="467"/>
      <c r="E137" s="467"/>
      <c r="F137" s="467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66" t="str">
        <f>+VLOOKUP(LEFT($A138,LEN(A138)-1)*1,Master!$D$25:$G$223,4,FALSE)</f>
        <v>Sredstva za tehnološke viškove</v>
      </c>
      <c r="C138" s="467"/>
      <c r="D138" s="467"/>
      <c r="E138" s="467"/>
      <c r="F138" s="467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66" t="str">
        <f>+VLOOKUP(LEFT($A139,LEN(A139)-1)*1,Master!$D$25:$G$223,4,FALSE)</f>
        <v>Prava iz oblasti penzijskog i invalidskog osiguranja</v>
      </c>
      <c r="C139" s="467"/>
      <c r="D139" s="467"/>
      <c r="E139" s="467"/>
      <c r="F139" s="467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66" t="str">
        <f>+VLOOKUP(LEFT($A140,LEN(A140)-1)*1,Master!$D$25:$G$223,4,FALSE)</f>
        <v>Ostala prava iz oblasti zdravstvene zaštite</v>
      </c>
      <c r="C140" s="467"/>
      <c r="D140" s="467"/>
      <c r="E140" s="467"/>
      <c r="F140" s="467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66" t="str">
        <f>+VLOOKUP(LEFT($A141,LEN(A141)-1)*1,Master!$D$25:$G$223,4,FALSE)</f>
        <v>Ostala prava iz zdravstvenog osiguranja</v>
      </c>
      <c r="C141" s="467"/>
      <c r="D141" s="467"/>
      <c r="E141" s="467"/>
      <c r="F141" s="467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489" t="str">
        <f>+VLOOKUP(LEFT($A142,LEN(A142)-1)*1,Master!$D$25:$G$223,4,FALSE)</f>
        <v xml:space="preserve">Transferi institucijama, pojedincima, nevladinom i javnom sektoru </v>
      </c>
      <c r="C142" s="490"/>
      <c r="D142" s="490"/>
      <c r="E142" s="490"/>
      <c r="F142" s="490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489" t="str">
        <f>+VLOOKUP(LEFT($A143,LEN(A143)-1)*1,Master!$D$25:$G$223,4,FALSE)</f>
        <v>Kapitalni budžet</v>
      </c>
      <c r="C143" s="490"/>
      <c r="D143" s="490"/>
      <c r="E143" s="490"/>
      <c r="F143" s="490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491" t="str">
        <f>+VLOOKUP(LEFT($A144,LEN(A144)-1)*1,Master!$D$25:$G$223,4,FALSE)</f>
        <v>Pozajmice i krediti</v>
      </c>
      <c r="C144" s="492"/>
      <c r="D144" s="492"/>
      <c r="E144" s="492"/>
      <c r="F144" s="492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491" t="str">
        <f>+VLOOKUP(LEFT($A145,LEN(A145)-1)*1,Master!$D$25:$G$223,4,FALSE)</f>
        <v>Rezerve</v>
      </c>
      <c r="C145" s="492"/>
      <c r="D145" s="492"/>
      <c r="E145" s="492"/>
      <c r="F145" s="492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58" t="str">
        <f>+VLOOKUP(LEFT($A146,LEN(A146)-1)*1,Master!$D$25:$G$223,4,FALSE)</f>
        <v>Otplata garancija</v>
      </c>
      <c r="C146" s="459"/>
      <c r="D146" s="459"/>
      <c r="E146" s="459"/>
      <c r="F146" s="459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499" t="str">
        <f>+VLOOKUP(LEFT($A147,LEN(A147)-1)*1,Master!$D$25:$G$223,4,FALSE)</f>
        <v>Suficit / deficit</v>
      </c>
      <c r="C147" s="500"/>
      <c r="D147" s="500"/>
      <c r="E147" s="500"/>
      <c r="F147" s="500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01" t="str">
        <f>+VLOOKUP(LEFT($A148,LEN(A148)-1)*1,Master!$D$25:$G$223,4,FALSE)</f>
        <v>Primarni bilans</v>
      </c>
      <c r="C148" s="502"/>
      <c r="D148" s="502"/>
      <c r="E148" s="502"/>
      <c r="F148" s="502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493" t="str">
        <f>+VLOOKUP(LEFT($A149,LEN(A149)-1)*1,Master!$D$25:$G$223,4,FALSE)</f>
        <v>Otplata dugova</v>
      </c>
      <c r="C149" s="494"/>
      <c r="D149" s="494"/>
      <c r="E149" s="494"/>
      <c r="F149" s="494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497" t="str">
        <f>+VLOOKUP(LEFT($A150,LEN(A150)-1)*1,Master!$D$25:$G$223,4,FALSE)</f>
        <v>Otplata hartija od vrijednosti i kredita rezidentima</v>
      </c>
      <c r="C150" s="498"/>
      <c r="D150" s="498"/>
      <c r="E150" s="498"/>
      <c r="F150" s="498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491" t="str">
        <f>+VLOOKUP(LEFT($A151,LEN(A151)-1)*1,Master!$D$25:$G$223,4,FALSE)</f>
        <v>Otplata hartija od vrijednosti i kredita nerezidentima</v>
      </c>
      <c r="C151" s="492"/>
      <c r="D151" s="492"/>
      <c r="E151" s="492"/>
      <c r="F151" s="492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58" t="str">
        <f>+VLOOKUP(LEFT($A152,LEN(A152)-1)*1,Master!$D$25:$G$223,4,FALSE)</f>
        <v>Otplata obaveza iz prethodnih godina</v>
      </c>
      <c r="C152" s="459"/>
      <c r="D152" s="459"/>
      <c r="E152" s="459"/>
      <c r="F152" s="459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495" t="str">
        <f>+VLOOKUP(LEFT($A153,LEN(A153)-1)*1,Master!$D$25:$G$223,4,FALSE)</f>
        <v>Nedostajuća sredstva</v>
      </c>
      <c r="C153" s="496"/>
      <c r="D153" s="496"/>
      <c r="E153" s="496"/>
      <c r="F153" s="496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483" t="str">
        <f>+VLOOKUP(LEFT($A154,LEN(A154)-1)*1,Master!$D$25:$G$223,4,FALSE)</f>
        <v>Finansiranje</v>
      </c>
      <c r="C154" s="484"/>
      <c r="D154" s="484"/>
      <c r="E154" s="484"/>
      <c r="F154" s="484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497" t="str">
        <f>+VLOOKUP(LEFT($A155,LEN(A155)-1)*1,Master!$D$25:$G$223,4,FALSE)</f>
        <v>Pozajmice i krediti od domaćih izvora</v>
      </c>
      <c r="C155" s="498"/>
      <c r="D155" s="498"/>
      <c r="E155" s="498"/>
      <c r="F155" s="498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491" t="str">
        <f>+VLOOKUP(LEFT($A156,LEN(A156)-1)*1,Master!$D$25:$G$223,4,FALSE)</f>
        <v>Pozajmice i krediti od inostranih izvora</v>
      </c>
      <c r="C156" s="492"/>
      <c r="D156" s="492"/>
      <c r="E156" s="492"/>
      <c r="F156" s="492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491" t="str">
        <f>+VLOOKUP(LEFT($A157,LEN(A157)-1)*1,Master!$D$25:$G$223,4,FALSE)</f>
        <v>Primici od prodaje imovine</v>
      </c>
      <c r="C157" s="492"/>
      <c r="D157" s="492"/>
      <c r="E157" s="492"/>
      <c r="F157" s="492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457" t="str">
        <f>+Master!G249</f>
        <v>Ostvarenje budžeta</v>
      </c>
      <c r="C7" s="438"/>
      <c r="D7" s="438"/>
      <c r="E7" s="438"/>
      <c r="F7" s="438"/>
      <c r="G7" s="446">
        <v>2014</v>
      </c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50"/>
      <c r="S7" s="261" t="str">
        <f>+Master!G246</f>
        <v>BDP</v>
      </c>
      <c r="T7" s="262">
        <v>3457880000</v>
      </c>
    </row>
    <row r="8" spans="1:20" ht="16.5" customHeight="1">
      <c r="A8" s="170"/>
      <c r="B8" s="439"/>
      <c r="C8" s="440"/>
      <c r="D8" s="440"/>
      <c r="E8" s="440"/>
      <c r="F8" s="441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6" t="s">
        <v>707</v>
      </c>
      <c r="T8" s="450"/>
    </row>
    <row r="9" spans="1:20" ht="13.5" thickBot="1">
      <c r="A9" s="170"/>
      <c r="B9" s="442"/>
      <c r="C9" s="443"/>
      <c r="D9" s="443"/>
      <c r="E9" s="443"/>
      <c r="F9" s="444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05" t="str">
        <f>+VLOOKUP($A10,Master!$D$25:$G$223,4,FALSE)</f>
        <v>Prihodi budžeta</v>
      </c>
      <c r="C10" s="406"/>
      <c r="D10" s="406"/>
      <c r="E10" s="406"/>
      <c r="F10" s="406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07" t="str">
        <f>+VLOOKUP($A11,Master!$D$25:$G$223,4,FALSE)</f>
        <v>Porezi</v>
      </c>
      <c r="C11" s="408"/>
      <c r="D11" s="408"/>
      <c r="E11" s="408"/>
      <c r="F11" s="408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09" t="str">
        <f>+VLOOKUP($A12,Master!$D$25:$G$223,4,FALSE)</f>
        <v>Porez na dohodak fizičkih lica</v>
      </c>
      <c r="C12" s="410"/>
      <c r="D12" s="410"/>
      <c r="E12" s="410"/>
      <c r="F12" s="410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09" t="str">
        <f>+VLOOKUP($A13,Master!$D$25:$G$223,4,FALSE)</f>
        <v>Porez na dobit pravnih lica</v>
      </c>
      <c r="C13" s="410"/>
      <c r="D13" s="410"/>
      <c r="E13" s="410"/>
      <c r="F13" s="410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09" t="str">
        <f>+VLOOKUP($A14,Master!$D$25:$G$223,4,FALSE)</f>
        <v>Porez na promet nepokretnosti</v>
      </c>
      <c r="C14" s="410"/>
      <c r="D14" s="410"/>
      <c r="E14" s="410"/>
      <c r="F14" s="410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09" t="str">
        <f>+VLOOKUP($A15,Master!$D$25:$G$223,4,FALSE)</f>
        <v>Porez na dodatu vrijednost</v>
      </c>
      <c r="C15" s="410"/>
      <c r="D15" s="410"/>
      <c r="E15" s="410"/>
      <c r="F15" s="410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09" t="str">
        <f>+VLOOKUP($A16,Master!$D$25:$G$223,4,FALSE)</f>
        <v>Akcize</v>
      </c>
      <c r="C16" s="410"/>
      <c r="D16" s="410"/>
      <c r="E16" s="410"/>
      <c r="F16" s="410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09" t="str">
        <f>+VLOOKUP($A17,Master!$D$25:$G$223,4,FALSE)</f>
        <v>Porez na međunarodnu trgovinu i transakcije</v>
      </c>
      <c r="C17" s="410"/>
      <c r="D17" s="410"/>
      <c r="E17" s="410"/>
      <c r="F17" s="410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09" t="str">
        <f>+VLOOKUP($A18,Master!$D$25:$G$223,4,FALSE)</f>
        <v>Ostali državni porezi</v>
      </c>
      <c r="C18" s="410"/>
      <c r="D18" s="410"/>
      <c r="E18" s="410"/>
      <c r="F18" s="410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13" t="str">
        <f>+VLOOKUP($A19,Master!$D$25:$G$223,4,FALSE)</f>
        <v>Doprinosi</v>
      </c>
      <c r="C19" s="414"/>
      <c r="D19" s="414"/>
      <c r="E19" s="414"/>
      <c r="F19" s="414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09" t="str">
        <f>+VLOOKUP($A20,Master!$D$25:$G$223,4,FALSE)</f>
        <v>Doprinosi za penzijsko i invalidsko osiguranje</v>
      </c>
      <c r="C20" s="410"/>
      <c r="D20" s="410"/>
      <c r="E20" s="410"/>
      <c r="F20" s="410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09" t="str">
        <f>+VLOOKUP($A21,Master!$D$25:$G$223,4,FALSE)</f>
        <v>Doprinosi za zdravstveno osiguranje</v>
      </c>
      <c r="C21" s="410"/>
      <c r="D21" s="410"/>
      <c r="E21" s="410"/>
      <c r="F21" s="410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09" t="str">
        <f>+VLOOKUP($A22,Master!$D$25:$G$223,4,FALSE)</f>
        <v>Doprinosi za osiguranje od nezaposlenosti</v>
      </c>
      <c r="C22" s="410"/>
      <c r="D22" s="410"/>
      <c r="E22" s="410"/>
      <c r="F22" s="410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09" t="str">
        <f>+VLOOKUP($A23,Master!$D$25:$G$223,4,FALSE)</f>
        <v>Ostali doprinosi</v>
      </c>
      <c r="C23" s="410"/>
      <c r="D23" s="410"/>
      <c r="E23" s="410"/>
      <c r="F23" s="410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11" t="str">
        <f>+VLOOKUP($A24,Master!$D$25:$G$223,4,FALSE)</f>
        <v>Takse</v>
      </c>
      <c r="C24" s="412"/>
      <c r="D24" s="412"/>
      <c r="E24" s="412"/>
      <c r="F24" s="412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11" t="str">
        <f>+VLOOKUP($A25,Master!$D$25:$G$223,4,FALSE)</f>
        <v>Naknade</v>
      </c>
      <c r="C25" s="412"/>
      <c r="D25" s="412"/>
      <c r="E25" s="412"/>
      <c r="F25" s="412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11" t="str">
        <f>+VLOOKUP($A26,Master!$D$25:$G$223,4,FALSE)</f>
        <v>Ostali prihodi</v>
      </c>
      <c r="C26" s="412"/>
      <c r="D26" s="412"/>
      <c r="E26" s="412"/>
      <c r="F26" s="412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11" t="str">
        <f>+VLOOKUP($A27,Master!$D$25:$G$223,4,FALSE)</f>
        <v>Primici od otplate kredita i sredstva prenesena iz prethodne godine</v>
      </c>
      <c r="C27" s="412"/>
      <c r="D27" s="412"/>
      <c r="E27" s="412"/>
      <c r="F27" s="412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15" t="str">
        <f>+VLOOKUP($A28,Master!$D$25:$G$223,4,FALSE)</f>
        <v>Donacije i transferi</v>
      </c>
      <c r="C28" s="416"/>
      <c r="D28" s="416"/>
      <c r="E28" s="416"/>
      <c r="F28" s="416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17" t="str">
        <f>+VLOOKUP($A29,Master!$D$25:$G$223,4,FALSE)</f>
        <v>Budžetki izdaci</v>
      </c>
      <c r="C29" s="418"/>
      <c r="D29" s="418"/>
      <c r="E29" s="418"/>
      <c r="F29" s="418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19" t="str">
        <f>+VLOOKUP($A30,Master!$D$25:$G$223,4,FALSE)</f>
        <v>Tekući izdaci</v>
      </c>
      <c r="C30" s="420"/>
      <c r="D30" s="420"/>
      <c r="E30" s="420"/>
      <c r="F30" s="420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21" t="str">
        <f>+VLOOKUP($A31,Master!$D$25:$G$223,4,FALSE)</f>
        <v>Tekući budžetski izdaci</v>
      </c>
      <c r="C31" s="422"/>
      <c r="D31" s="422"/>
      <c r="E31" s="422"/>
      <c r="F31" s="422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09" t="str">
        <f>+VLOOKUP($A32,Master!$D$25:$G$223,4,FALSE)</f>
        <v>Bruto zarade i doprinosi na teret poslodavca</v>
      </c>
      <c r="C32" s="410"/>
      <c r="D32" s="410"/>
      <c r="E32" s="410"/>
      <c r="F32" s="410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09" t="str">
        <f>+VLOOKUP($A33,Master!$D$25:$G$223,4,FALSE)</f>
        <v>Ostala lična primanja</v>
      </c>
      <c r="C33" s="410"/>
      <c r="D33" s="410"/>
      <c r="E33" s="410"/>
      <c r="F33" s="410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09" t="str">
        <f>+VLOOKUP($A34,Master!$D$25:$G$223,4,FALSE)</f>
        <v>Rashodi za materijal</v>
      </c>
      <c r="C34" s="410"/>
      <c r="D34" s="410"/>
      <c r="E34" s="410"/>
      <c r="F34" s="410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09" t="str">
        <f>+VLOOKUP($A35,Master!$D$25:$G$223,4,FALSE)</f>
        <v>Rashodi za usluge</v>
      </c>
      <c r="C35" s="410"/>
      <c r="D35" s="410"/>
      <c r="E35" s="410"/>
      <c r="F35" s="410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09" t="str">
        <f>+VLOOKUP($A36,Master!$D$25:$G$223,4,FALSE)</f>
        <v>Rashodi za tekuće održavanje</v>
      </c>
      <c r="C36" s="410"/>
      <c r="D36" s="410"/>
      <c r="E36" s="410"/>
      <c r="F36" s="410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09" t="str">
        <f>+VLOOKUP($A37,Master!$D$25:$G$223,4,FALSE)</f>
        <v>Kamate</v>
      </c>
      <c r="C37" s="410"/>
      <c r="D37" s="410"/>
      <c r="E37" s="410"/>
      <c r="F37" s="410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09" t="str">
        <f>+VLOOKUP($A38,Master!$D$25:$G$223,4,FALSE)</f>
        <v>Renta</v>
      </c>
      <c r="C38" s="410"/>
      <c r="D38" s="410"/>
      <c r="E38" s="410"/>
      <c r="F38" s="410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09" t="str">
        <f>+VLOOKUP($A39,Master!$D$25:$G$223,4,FALSE)</f>
        <v>Subvencije</v>
      </c>
      <c r="C39" s="410"/>
      <c r="D39" s="410"/>
      <c r="E39" s="410"/>
      <c r="F39" s="410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09" t="str">
        <f>+VLOOKUP($A40,Master!$D$25:$G$223,4,FALSE)</f>
        <v>Ostali izdaci</v>
      </c>
      <c r="C40" s="410"/>
      <c r="D40" s="410"/>
      <c r="E40" s="410"/>
      <c r="F40" s="410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09" t="str">
        <f>+VLOOKUP($A41,Master!$D$25:$G$223,4,FALSE)</f>
        <v>Kapitalni izdaci u tekućem budžetu</v>
      </c>
      <c r="C41" s="410"/>
      <c r="D41" s="410"/>
      <c r="E41" s="410"/>
      <c r="F41" s="410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25" t="str">
        <f>+VLOOKUP($A42,Master!$D$25:$G$223,4,FALSE)</f>
        <v>Transferi za socijalnu zaštitu</v>
      </c>
      <c r="C42" s="426"/>
      <c r="D42" s="426"/>
      <c r="E42" s="426"/>
      <c r="F42" s="426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09" t="str">
        <f>+VLOOKUP($A43,Master!$D$25:$G$223,4,FALSE)</f>
        <v>Prava iz oblasti socijalne zaštite</v>
      </c>
      <c r="C43" s="410"/>
      <c r="D43" s="410"/>
      <c r="E43" s="410"/>
      <c r="F43" s="410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09" t="str">
        <f>+VLOOKUP($A44,Master!$D$25:$G$223,4,FALSE)</f>
        <v>Sredstva za tehnološke viškove</v>
      </c>
      <c r="C44" s="410"/>
      <c r="D44" s="410"/>
      <c r="E44" s="410"/>
      <c r="F44" s="410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09" t="str">
        <f>+VLOOKUP($A45,Master!$D$25:$G$223,4,FALSE)</f>
        <v>Prava iz oblasti penzijskog i invalidskog osiguranja</v>
      </c>
      <c r="C45" s="410"/>
      <c r="D45" s="410"/>
      <c r="E45" s="410"/>
      <c r="F45" s="410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09" t="str">
        <f>+VLOOKUP($A46,Master!$D$25:$G$223,4,FALSE)</f>
        <v>Ostala prava iz oblasti zdravstvene zaštite</v>
      </c>
      <c r="C46" s="410"/>
      <c r="D46" s="410"/>
      <c r="E46" s="410"/>
      <c r="F46" s="410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09" t="str">
        <f>+VLOOKUP($A47,Master!$D$25:$G$223,4,FALSE)</f>
        <v>Ostala prava iz zdravstvenog osiguranja</v>
      </c>
      <c r="C47" s="410"/>
      <c r="D47" s="410"/>
      <c r="E47" s="410"/>
      <c r="F47" s="410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23" t="str">
        <f>+VLOOKUP($A48,Master!$D$25:$G$223,4,FALSE)</f>
        <v xml:space="preserve">Transferi institucijama, pojedincima, nevladinom i javnom sektoru </v>
      </c>
      <c r="C48" s="424"/>
      <c r="D48" s="424"/>
      <c r="E48" s="424"/>
      <c r="F48" s="424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23" t="str">
        <f>+VLOOKUP($A49,Master!$D$25:$G$223,4,FALSE)</f>
        <v>Kapitalni budžet</v>
      </c>
      <c r="C49" s="424"/>
      <c r="D49" s="424"/>
      <c r="E49" s="424"/>
      <c r="F49" s="424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27" t="str">
        <f>+VLOOKUP($A50,Master!$D$25:$G$223,4,FALSE)</f>
        <v>Pozajmice i krediti</v>
      </c>
      <c r="C50" s="428"/>
      <c r="D50" s="428"/>
      <c r="E50" s="428"/>
      <c r="F50" s="428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27" t="str">
        <f>+VLOOKUP($A51,Master!$D$25:$G$223,4,FALSE)</f>
        <v>Rezerve</v>
      </c>
      <c r="C51" s="428"/>
      <c r="D51" s="428"/>
      <c r="E51" s="428"/>
      <c r="F51" s="428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29" t="str">
        <f>+VLOOKUP($A52,Master!$D$25:$G$223,4,FALSE)</f>
        <v>Otplata garancija</v>
      </c>
      <c r="C52" s="430"/>
      <c r="D52" s="430"/>
      <c r="E52" s="430"/>
      <c r="F52" s="430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29" t="str">
        <f>+VLOOKUP($A53,Master!$D$25:$G$223,4,TRUE)</f>
        <v>Otplata obaveza iz prethodnih godina</v>
      </c>
      <c r="C53" s="430"/>
      <c r="D53" s="430"/>
      <c r="E53" s="430"/>
      <c r="F53" s="430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58" t="str">
        <f>+VLOOKUP($A54,Master!$D$25:$G$225,4,FALSE)</f>
        <v>Neto povećanje obaveza</v>
      </c>
      <c r="C54" s="459"/>
      <c r="D54" s="459"/>
      <c r="E54" s="459"/>
      <c r="F54" s="459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03" t="str">
        <f>+VLOOKUP($A55,Master!$D$25:$G$223,4,FALSE)</f>
        <v>Suficit / deficit</v>
      </c>
      <c r="C55" s="504"/>
      <c r="D55" s="504"/>
      <c r="E55" s="504"/>
      <c r="F55" s="504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33" t="str">
        <f>+VLOOKUP($A56,Master!$D$25:$G$223,4,FALSE)</f>
        <v>Primarni bilans</v>
      </c>
      <c r="C56" s="434"/>
      <c r="D56" s="434"/>
      <c r="E56" s="434"/>
      <c r="F56" s="434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25" t="str">
        <f>+VLOOKUP($A57,Master!$D$25:$G$223,4,FALSE)</f>
        <v>Otplata dugova</v>
      </c>
      <c r="C57" s="426"/>
      <c r="D57" s="426"/>
      <c r="E57" s="426"/>
      <c r="F57" s="426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51" t="str">
        <f>+VLOOKUP($A58,Master!$D$25:$G$223,4,FALSE)</f>
        <v>Otplata hartija od vrijednosti i kredita rezidentima</v>
      </c>
      <c r="C58" s="452"/>
      <c r="D58" s="452"/>
      <c r="E58" s="452"/>
      <c r="F58" s="452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27" t="str">
        <f>+VLOOKUP($A59,Master!$D$25:$G$223,4,FALSE)</f>
        <v>Otplata hartija od vrijednosti i kredita nerezidentima</v>
      </c>
      <c r="C59" s="428"/>
      <c r="D59" s="428"/>
      <c r="E59" s="428"/>
      <c r="F59" s="428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53" t="str">
        <f>+VLOOKUP($A60,Master!$D$25:$G$223,4,FALSE)</f>
        <v>Nedostajuća sredstva</v>
      </c>
      <c r="C60" s="454"/>
      <c r="D60" s="454"/>
      <c r="E60" s="454"/>
      <c r="F60" s="454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17" t="str">
        <f>+VLOOKUP($A61,Master!$D$25:$G$223,4,FALSE)</f>
        <v>Finansiranje</v>
      </c>
      <c r="C61" s="418"/>
      <c r="D61" s="418"/>
      <c r="E61" s="418"/>
      <c r="F61" s="418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51" t="str">
        <f>+VLOOKUP($A62,Master!$D$25:$G$223,4,FALSE)</f>
        <v>Pozajmice i krediti od domaćih izvora</v>
      </c>
      <c r="C62" s="452"/>
      <c r="D62" s="452"/>
      <c r="E62" s="452"/>
      <c r="F62" s="452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27" t="str">
        <f>+VLOOKUP($A63,Master!$D$25:$G$223,4,FALSE)</f>
        <v>Pozajmice i krediti od inostranih izvora</v>
      </c>
      <c r="C63" s="428"/>
      <c r="D63" s="428"/>
      <c r="E63" s="428"/>
      <c r="F63" s="428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27" t="str">
        <f>+VLOOKUP($A64,Master!$D$25:$G$223,4,FALSE)</f>
        <v>Primici od prodaje imovine</v>
      </c>
      <c r="C64" s="428"/>
      <c r="D64" s="428"/>
      <c r="E64" s="428"/>
      <c r="F64" s="428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68" t="str">
        <f>+Master!G250</f>
        <v>Plan ostvarenja budžeta</v>
      </c>
      <c r="C101" s="469"/>
      <c r="D101" s="469"/>
      <c r="E101" s="469"/>
      <c r="F101" s="469"/>
      <c r="G101" s="460">
        <v>2014</v>
      </c>
      <c r="H101" s="476"/>
      <c r="I101" s="476"/>
      <c r="J101" s="476"/>
      <c r="K101" s="476"/>
      <c r="L101" s="476"/>
      <c r="M101" s="476"/>
      <c r="N101" s="476"/>
      <c r="O101" s="476"/>
      <c r="P101" s="476"/>
      <c r="Q101" s="476"/>
      <c r="R101" s="461"/>
      <c r="S101" s="116" t="str">
        <f>+S7</f>
        <v>BDP</v>
      </c>
      <c r="T101" s="117">
        <v>3393200615</v>
      </c>
    </row>
    <row r="102" spans="1:21" ht="15.75" customHeight="1">
      <c r="B102" s="470"/>
      <c r="C102" s="471"/>
      <c r="D102" s="471"/>
      <c r="E102" s="471"/>
      <c r="F102" s="472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460" t="str">
        <f>+Master!G244</f>
        <v>Jan - Dec</v>
      </c>
      <c r="T102" s="461">
        <f>+T8</f>
        <v>0</v>
      </c>
    </row>
    <row r="103" spans="1:21" ht="13.5" thickBot="1">
      <c r="B103" s="473"/>
      <c r="C103" s="474"/>
      <c r="D103" s="474"/>
      <c r="E103" s="474"/>
      <c r="F103" s="475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462" t="str">
        <f>+VLOOKUP(LEFT($A104,LEN(A104)-1)*1,Master!$D$25:$G$223,4,FALSE)</f>
        <v>Prihodi budžeta</v>
      </c>
      <c r="C104" s="463"/>
      <c r="D104" s="463"/>
      <c r="E104" s="463"/>
      <c r="F104" s="463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64" t="str">
        <f>+VLOOKUP(LEFT($A105,LEN(A105)-1)*1,Master!$D$25:$G$223,4,FALSE)</f>
        <v>Porezi</v>
      </c>
      <c r="C105" s="465"/>
      <c r="D105" s="465"/>
      <c r="E105" s="465"/>
      <c r="F105" s="465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66" t="str">
        <f>+VLOOKUP(LEFT($A106,LEN(A106)-1)*1,Master!$D$25:$G$223,4,FALSE)</f>
        <v>Porez na dohodak fizičkih lica</v>
      </c>
      <c r="C106" s="467"/>
      <c r="D106" s="467"/>
      <c r="E106" s="467"/>
      <c r="F106" s="467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66" t="str">
        <f>+VLOOKUP(LEFT($A107,LEN(A107)-1)*1,Master!$D$25:$G$223,4,FALSE)</f>
        <v>Porez na dobit pravnih lica</v>
      </c>
      <c r="C107" s="467"/>
      <c r="D107" s="467"/>
      <c r="E107" s="467"/>
      <c r="F107" s="467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66" t="str">
        <f>+VLOOKUP(LEFT($A108,LEN(A108)-1)*1,Master!$D$25:$G$223,4,FALSE)</f>
        <v>Porez na promet nepokretnosti</v>
      </c>
      <c r="C108" s="467"/>
      <c r="D108" s="467"/>
      <c r="E108" s="467"/>
      <c r="F108" s="467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66" t="str">
        <f>+VLOOKUP(LEFT($A109,LEN(A109)-1)*1,Master!$D$25:$G$223,4,FALSE)</f>
        <v>Porez na dodatu vrijednost</v>
      </c>
      <c r="C109" s="467"/>
      <c r="D109" s="467"/>
      <c r="E109" s="467"/>
      <c r="F109" s="467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66" t="str">
        <f>+VLOOKUP(LEFT($A110,LEN(A110)-1)*1,Master!$D$25:$G$223,4,FALSE)</f>
        <v>Akcize</v>
      </c>
      <c r="C110" s="467"/>
      <c r="D110" s="467"/>
      <c r="E110" s="467"/>
      <c r="F110" s="467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66" t="str">
        <f>+VLOOKUP(LEFT($A111,LEN(A111)-1)*1,Master!$D$25:$G$223,4,FALSE)</f>
        <v>Porez na međunarodnu trgovinu i transakcije</v>
      </c>
      <c r="C111" s="467"/>
      <c r="D111" s="467"/>
      <c r="E111" s="467"/>
      <c r="F111" s="467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66" t="e">
        <f>+VLOOKUP(LEFT($A112,LEN(A112)-1)*1,Master!$D$25:$G$223,4,FALSE)</f>
        <v>#REF!</v>
      </c>
      <c r="C112" s="467"/>
      <c r="D112" s="467"/>
      <c r="E112" s="467"/>
      <c r="F112" s="467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66" t="str">
        <f>+VLOOKUP(LEFT($A113,LEN(A113)-1)*1,Master!$D$25:$G$223,4,FALSE)</f>
        <v>Ostali državni porezi</v>
      </c>
      <c r="C113" s="467"/>
      <c r="D113" s="467"/>
      <c r="E113" s="467"/>
      <c r="F113" s="467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479" t="str">
        <f>+VLOOKUP(LEFT($A114,LEN(A114)-1)*1,Master!$D$25:$G$223,4,FALSE)</f>
        <v>Doprinosi</v>
      </c>
      <c r="C114" s="480"/>
      <c r="D114" s="480"/>
      <c r="E114" s="480"/>
      <c r="F114" s="480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66" t="str">
        <f>+VLOOKUP(LEFT($A115,LEN(A115)-1)*1,Master!$D$25:$G$223,4,FALSE)</f>
        <v>Doprinosi za penzijsko i invalidsko osiguranje</v>
      </c>
      <c r="C115" s="467"/>
      <c r="D115" s="467"/>
      <c r="E115" s="467"/>
      <c r="F115" s="467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66" t="str">
        <f>+VLOOKUP(LEFT($A116,LEN(A116)-1)*1,Master!$D$25:$G$223,4,FALSE)</f>
        <v>Doprinosi za zdravstveno osiguranje</v>
      </c>
      <c r="C116" s="467"/>
      <c r="D116" s="467"/>
      <c r="E116" s="467"/>
      <c r="F116" s="467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66" t="str">
        <f>+VLOOKUP(LEFT($A117,LEN(A117)-1)*1,Master!$D$25:$G$223,4,FALSE)</f>
        <v>Doprinosi za osiguranje od nezaposlenosti</v>
      </c>
      <c r="C117" s="467"/>
      <c r="D117" s="467"/>
      <c r="E117" s="467"/>
      <c r="F117" s="467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66" t="str">
        <f>+VLOOKUP(LEFT($A118,LEN(A118)-1)*1,Master!$D$25:$G$223,4,FALSE)</f>
        <v>Ostali doprinosi</v>
      </c>
      <c r="C118" s="467"/>
      <c r="D118" s="467"/>
      <c r="E118" s="467"/>
      <c r="F118" s="467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77" t="str">
        <f>+VLOOKUP(LEFT($A119,LEN(A119)-1)*1,Master!$D$25:$G$223,4,FALSE)</f>
        <v>Takse</v>
      </c>
      <c r="C119" s="478"/>
      <c r="D119" s="478"/>
      <c r="E119" s="478"/>
      <c r="F119" s="478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77" t="str">
        <f>+VLOOKUP(LEFT($A120,LEN(A120)-1)*1,Master!$D$25:$G$223,4,FALSE)</f>
        <v>Naknade</v>
      </c>
      <c r="C120" s="478"/>
      <c r="D120" s="478"/>
      <c r="E120" s="478"/>
      <c r="F120" s="478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77" t="str">
        <f>+VLOOKUP(LEFT($A121,LEN(A121)-1)*1,Master!$D$25:$G$223,4,FALSE)</f>
        <v>Ostali prihodi</v>
      </c>
      <c r="C121" s="478"/>
      <c r="D121" s="478"/>
      <c r="E121" s="478"/>
      <c r="F121" s="478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77" t="str">
        <f>+VLOOKUP(LEFT($A122,LEN(A122)-1)*1,Master!$D$25:$G$223,4,FALSE)</f>
        <v>Primici od otplate kredita i sredstva prenesena iz prethodne godine</v>
      </c>
      <c r="C122" s="478"/>
      <c r="D122" s="478"/>
      <c r="E122" s="478"/>
      <c r="F122" s="478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481" t="str">
        <f>+VLOOKUP(LEFT($A123,LEN(A123)-1)*1,Master!$D$25:$G$223,4,FALSE)</f>
        <v>Donacije i transferi</v>
      </c>
      <c r="C123" s="482"/>
      <c r="D123" s="482"/>
      <c r="E123" s="482"/>
      <c r="F123" s="482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83" t="str">
        <f>+VLOOKUP(LEFT($A124,LEN(A124)-1)*1,Master!$D$25:$G$223,4,FALSE)</f>
        <v>Budžetki izdaci</v>
      </c>
      <c r="C124" s="484"/>
      <c r="D124" s="484"/>
      <c r="E124" s="484"/>
      <c r="F124" s="484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485" t="str">
        <f>+VLOOKUP(LEFT($A125,LEN(A125)-1)*1,Master!$D$25:$G$223,4,FALSE)</f>
        <v>Tekući izdaci</v>
      </c>
      <c r="C125" s="486"/>
      <c r="D125" s="486"/>
      <c r="E125" s="486"/>
      <c r="F125" s="486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487" t="str">
        <f>+VLOOKUP(LEFT($A126,LEN(A126)-1)*1,Master!$D$25:$G$223,4,FALSE)</f>
        <v>Tekući budžetski izdaci</v>
      </c>
      <c r="C126" s="488"/>
      <c r="D126" s="488"/>
      <c r="E126" s="488"/>
      <c r="F126" s="488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66" t="str">
        <f>+VLOOKUP(LEFT($A127,LEN(A127)-1)*1,Master!$D$25:$G$223,4,FALSE)</f>
        <v>Bruto zarade i doprinosi na teret poslodavca</v>
      </c>
      <c r="C127" s="467"/>
      <c r="D127" s="467"/>
      <c r="E127" s="467"/>
      <c r="F127" s="467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66" t="str">
        <f>+VLOOKUP(LEFT($A128,LEN(A128)-1)*1,Master!$D$25:$G$223,4,FALSE)</f>
        <v>Ostala lična primanja</v>
      </c>
      <c r="C128" s="467"/>
      <c r="D128" s="467"/>
      <c r="E128" s="467"/>
      <c r="F128" s="467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66" t="str">
        <f>+VLOOKUP(LEFT($A129,LEN(A129)-1)*1,Master!$D$25:$G$223,4,FALSE)</f>
        <v>Rashodi za materijal</v>
      </c>
      <c r="C129" s="467"/>
      <c r="D129" s="467"/>
      <c r="E129" s="467"/>
      <c r="F129" s="467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66" t="str">
        <f>+VLOOKUP(LEFT($A130,LEN(A130)-1)*1,Master!$D$25:$G$223,4,FALSE)</f>
        <v>Rashodi za usluge</v>
      </c>
      <c r="C130" s="467"/>
      <c r="D130" s="467"/>
      <c r="E130" s="467"/>
      <c r="F130" s="467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66" t="str">
        <f>+VLOOKUP(LEFT($A131,LEN(A131)-1)*1,Master!$D$25:$G$223,4,FALSE)</f>
        <v>Rashodi za tekuće održavanje</v>
      </c>
      <c r="C131" s="467"/>
      <c r="D131" s="467"/>
      <c r="E131" s="467"/>
      <c r="F131" s="467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66" t="str">
        <f>+VLOOKUP(LEFT($A132,LEN(A132)-1)*1,Master!$D$25:$G$223,4,FALSE)</f>
        <v>Kamate</v>
      </c>
      <c r="C132" s="467"/>
      <c r="D132" s="467"/>
      <c r="E132" s="467"/>
      <c r="F132" s="467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66" t="str">
        <f>+VLOOKUP(LEFT($A133,LEN(A133)-1)*1,Master!$D$25:$G$223,4,FALSE)</f>
        <v>Renta</v>
      </c>
      <c r="C133" s="467"/>
      <c r="D133" s="467"/>
      <c r="E133" s="467"/>
      <c r="F133" s="467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66" t="str">
        <f>+VLOOKUP(LEFT($A134,LEN(A134)-1)*1,Master!$D$25:$G$223,4,FALSE)</f>
        <v>Subvencije</v>
      </c>
      <c r="C134" s="467"/>
      <c r="D134" s="467"/>
      <c r="E134" s="467"/>
      <c r="F134" s="467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66" t="str">
        <f>+VLOOKUP(LEFT($A135,LEN(A135)-1)*1,Master!$D$25:$G$223,4,FALSE)</f>
        <v>Ostali izdaci</v>
      </c>
      <c r="C135" s="467"/>
      <c r="D135" s="467"/>
      <c r="E135" s="467"/>
      <c r="F135" s="467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66" t="str">
        <f>+VLOOKUP(LEFT($A136,LEN(A136)-1)*1,Master!$D$25:$G$223,4,FALSE)</f>
        <v>Kapitalni izdaci u tekućem budžetu</v>
      </c>
      <c r="C136" s="467"/>
      <c r="D136" s="467"/>
      <c r="E136" s="467"/>
      <c r="F136" s="467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493" t="str">
        <f>+VLOOKUP(LEFT($A137,LEN(A137)-1)*1,Master!$D$25:$G$223,4,FALSE)</f>
        <v>Transferi za socijalnu zaštitu</v>
      </c>
      <c r="C137" s="494"/>
      <c r="D137" s="494"/>
      <c r="E137" s="494"/>
      <c r="F137" s="494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66" t="str">
        <f>+VLOOKUP(LEFT($A138,LEN(A138)-1)*1,Master!$D$25:$G$223,4,FALSE)</f>
        <v>Prava iz oblasti socijalne zaštite</v>
      </c>
      <c r="C138" s="467"/>
      <c r="D138" s="467"/>
      <c r="E138" s="467"/>
      <c r="F138" s="467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66" t="str">
        <f>+VLOOKUP(LEFT($A139,LEN(A139)-1)*1,Master!$D$25:$G$223,4,FALSE)</f>
        <v>Sredstva za tehnološke viškove</v>
      </c>
      <c r="C139" s="467"/>
      <c r="D139" s="467"/>
      <c r="E139" s="467"/>
      <c r="F139" s="467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66" t="str">
        <f>+VLOOKUP(LEFT($A140,LEN(A140)-1)*1,Master!$D$25:$G$223,4,FALSE)</f>
        <v>Prava iz oblasti penzijskog i invalidskog osiguranja</v>
      </c>
      <c r="C140" s="467"/>
      <c r="D140" s="467"/>
      <c r="E140" s="467"/>
      <c r="F140" s="467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66" t="str">
        <f>+VLOOKUP(LEFT($A141,LEN(A141)-1)*1,Master!$D$25:$G$223,4,FALSE)</f>
        <v>Ostala prava iz oblasti zdravstvene zaštite</v>
      </c>
      <c r="C141" s="467"/>
      <c r="D141" s="467"/>
      <c r="E141" s="467"/>
      <c r="F141" s="467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66" t="str">
        <f>+VLOOKUP(LEFT($A142,LEN(A142)-1)*1,Master!$D$25:$G$223,4,FALSE)</f>
        <v>Ostala prava iz zdravstvenog osiguranja</v>
      </c>
      <c r="C142" s="467"/>
      <c r="D142" s="467"/>
      <c r="E142" s="467"/>
      <c r="F142" s="467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489" t="str">
        <f>+VLOOKUP(LEFT($A143,LEN(A143)-1)*1,Master!$D$25:$G$223,4,FALSE)</f>
        <v xml:space="preserve">Transferi institucijama, pojedincima, nevladinom i javnom sektoru </v>
      </c>
      <c r="C143" s="490"/>
      <c r="D143" s="490"/>
      <c r="E143" s="490"/>
      <c r="F143" s="490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489" t="str">
        <f>+VLOOKUP(LEFT($A144,LEN(A144)-1)*1,Master!$D$25:$G$223,4,FALSE)</f>
        <v>Kapitalni budžet</v>
      </c>
      <c r="C144" s="490"/>
      <c r="D144" s="490"/>
      <c r="E144" s="490"/>
      <c r="F144" s="490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491" t="str">
        <f>+VLOOKUP(LEFT($A145,LEN(A145)-1)*1,Master!$D$25:$G$223,4,FALSE)</f>
        <v>Pozajmice i krediti</v>
      </c>
      <c r="C145" s="492"/>
      <c r="D145" s="492"/>
      <c r="E145" s="492"/>
      <c r="F145" s="492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491" t="str">
        <f>+VLOOKUP(LEFT($A146,LEN(A146)-1)*1,Master!$D$25:$G$223,4,FALSE)</f>
        <v>Rezerve</v>
      </c>
      <c r="C146" s="492"/>
      <c r="D146" s="492"/>
      <c r="E146" s="492"/>
      <c r="F146" s="492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58" t="str">
        <f>+VLOOKUP(LEFT($A147,LEN(A147)-1)*1,Master!$D$25:$G$223,4,FALSE)</f>
        <v>Otplata garancija</v>
      </c>
      <c r="C147" s="459"/>
      <c r="D147" s="459"/>
      <c r="E147" s="459"/>
      <c r="F147" s="459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499" t="str">
        <f>+VLOOKUP(LEFT($A148,LEN(A148)-1)*1,Master!$D$25:$G$223,4,FALSE)</f>
        <v>Suficit / deficit</v>
      </c>
      <c r="C148" s="500"/>
      <c r="D148" s="500"/>
      <c r="E148" s="500"/>
      <c r="F148" s="500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01" t="str">
        <f>+VLOOKUP(LEFT($A149,LEN(A149)-1)*1,Master!$D$25:$G$223,4,FALSE)</f>
        <v>Primarni bilans</v>
      </c>
      <c r="C149" s="502"/>
      <c r="D149" s="502"/>
      <c r="E149" s="502"/>
      <c r="F149" s="502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493" t="str">
        <f>+VLOOKUP(LEFT($A150,LEN(A150)-1)*1,Master!$D$25:$G$223,4,FALSE)</f>
        <v>Otplata dugova</v>
      </c>
      <c r="C150" s="494"/>
      <c r="D150" s="494"/>
      <c r="E150" s="494"/>
      <c r="F150" s="494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497" t="str">
        <f>+VLOOKUP(LEFT($A151,LEN(A151)-1)*1,Master!$D$25:$G$223,4,FALSE)</f>
        <v>Otplata hartija od vrijednosti i kredita rezidentima</v>
      </c>
      <c r="C151" s="498"/>
      <c r="D151" s="498"/>
      <c r="E151" s="498"/>
      <c r="F151" s="498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491" t="str">
        <f>+VLOOKUP(LEFT($A152,LEN(A152)-1)*1,Master!$D$25:$G$223,4,FALSE)</f>
        <v>Otplata hartija od vrijednosti i kredita nerezidentima</v>
      </c>
      <c r="C152" s="492"/>
      <c r="D152" s="492"/>
      <c r="E152" s="492"/>
      <c r="F152" s="492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58" t="str">
        <f>+VLOOKUP(LEFT($A153,LEN(A153)-1)*1,Master!$D$25:$G$223,4,FALSE)</f>
        <v>Otplata obaveza iz prethodnih godina</v>
      </c>
      <c r="C153" s="459"/>
      <c r="D153" s="459"/>
      <c r="E153" s="459"/>
      <c r="F153" s="459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495" t="str">
        <f>+VLOOKUP(LEFT($A154,LEN(A154)-1)*1,Master!$D$25:$G$223,4,FALSE)</f>
        <v>Nedostajuća sredstva</v>
      </c>
      <c r="C154" s="496"/>
      <c r="D154" s="496"/>
      <c r="E154" s="496"/>
      <c r="F154" s="496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83" t="str">
        <f>+VLOOKUP(LEFT($A155,LEN(A155)-1)*1,Master!$D$25:$G$223,4,FALSE)</f>
        <v>Finansiranje</v>
      </c>
      <c r="C155" s="484"/>
      <c r="D155" s="484"/>
      <c r="E155" s="484"/>
      <c r="F155" s="484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497" t="str">
        <f>+VLOOKUP(LEFT($A156,LEN(A156)-1)*1,Master!$D$25:$G$223,4,FALSE)</f>
        <v>Pozajmice i krediti od domaćih izvora</v>
      </c>
      <c r="C156" s="498"/>
      <c r="D156" s="498"/>
      <c r="E156" s="498"/>
      <c r="F156" s="498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491" t="str">
        <f>+VLOOKUP(LEFT($A157,LEN(A157)-1)*1,Master!$D$25:$G$223,4,FALSE)</f>
        <v>Pozajmice i krediti od inostranih izvora</v>
      </c>
      <c r="C157" s="492"/>
      <c r="D157" s="492"/>
      <c r="E157" s="492"/>
      <c r="F157" s="492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491" t="str">
        <f>+VLOOKUP(LEFT($A158,LEN(A158)-1)*1,Master!$D$25:$G$223,4,FALSE)</f>
        <v>Primici od prodaje imovine</v>
      </c>
      <c r="C158" s="492"/>
      <c r="D158" s="492"/>
      <c r="E158" s="492"/>
      <c r="F158" s="492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468" t="str">
        <f>+Master!G249</f>
        <v>Ostvarenje budžeta</v>
      </c>
      <c r="C7" s="469"/>
      <c r="D7" s="469"/>
      <c r="E7" s="469"/>
      <c r="F7" s="469"/>
      <c r="G7" s="460">
        <v>2013</v>
      </c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6"/>
      <c r="S7" s="476"/>
      <c r="T7" s="476"/>
      <c r="U7" s="461"/>
      <c r="V7" s="361"/>
      <c r="W7" s="116" t="str">
        <f>+Master!G246</f>
        <v>BDP</v>
      </c>
      <c r="X7" s="117">
        <v>3327000000</v>
      </c>
    </row>
    <row r="8" spans="1:24" ht="16.5" customHeight="1">
      <c r="B8" s="470"/>
      <c r="C8" s="471"/>
      <c r="D8" s="471"/>
      <c r="E8" s="471"/>
      <c r="F8" s="472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460" t="s">
        <v>708</v>
      </c>
      <c r="X8" s="461"/>
    </row>
    <row r="9" spans="1:24" ht="13.5" thickBot="1">
      <c r="B9" s="473"/>
      <c r="C9" s="474"/>
      <c r="D9" s="474"/>
      <c r="E9" s="474"/>
      <c r="F9" s="475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462" t="str">
        <f>+VLOOKUP($A10,Master!$D$25:$G$223,4,FALSE)</f>
        <v>Prihodi budžeta</v>
      </c>
      <c r="C10" s="463"/>
      <c r="D10" s="463"/>
      <c r="E10" s="463"/>
      <c r="F10" s="463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64" t="str">
        <f>+VLOOKUP($A11,Master!$D$25:$G$223,4,FALSE)</f>
        <v>Porezi</v>
      </c>
      <c r="C11" s="465"/>
      <c r="D11" s="465"/>
      <c r="E11" s="465"/>
      <c r="F11" s="465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66" t="str">
        <f>+VLOOKUP($A12,Master!$D$25:$G$223,4,FALSE)</f>
        <v>Porez na dohodak fizičkih lica</v>
      </c>
      <c r="C12" s="467"/>
      <c r="D12" s="467"/>
      <c r="E12" s="467"/>
      <c r="F12" s="467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66" t="str">
        <f>+VLOOKUP($A13,Master!$D$25:$G$223,4,FALSE)</f>
        <v>Porez na dobit pravnih lica</v>
      </c>
      <c r="C13" s="467"/>
      <c r="D13" s="467"/>
      <c r="E13" s="467"/>
      <c r="F13" s="467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66" t="str">
        <f>+VLOOKUP($A14,Master!$D$25:$G$223,4,FALSE)</f>
        <v>Porez na promet nepokretnosti</v>
      </c>
      <c r="C14" s="467"/>
      <c r="D14" s="467"/>
      <c r="E14" s="467"/>
      <c r="F14" s="467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66" t="str">
        <f>+VLOOKUP($A15,Master!$D$25:$G$223,4,FALSE)</f>
        <v>Porez na dodatu vrijednost</v>
      </c>
      <c r="C15" s="467"/>
      <c r="D15" s="467"/>
      <c r="E15" s="467"/>
      <c r="F15" s="467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66" t="str">
        <f>+VLOOKUP($A16,Master!$D$25:$G$223,4,FALSE)</f>
        <v>Akcize</v>
      </c>
      <c r="C16" s="467"/>
      <c r="D16" s="467"/>
      <c r="E16" s="467"/>
      <c r="F16" s="467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66" t="str">
        <f>+VLOOKUP($A17,Master!$D$25:$G$223,4,FALSE)</f>
        <v>Porez na međunarodnu trgovinu i transakcije</v>
      </c>
      <c r="C17" s="467"/>
      <c r="D17" s="467"/>
      <c r="E17" s="467"/>
      <c r="F17" s="467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66" t="e">
        <f>+VLOOKUP($A18,Master!$D$25:$G$223,4,FALSE)</f>
        <v>#N/A</v>
      </c>
      <c r="C18" s="467"/>
      <c r="D18" s="467"/>
      <c r="E18" s="467"/>
      <c r="F18" s="467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66" t="str">
        <f>+VLOOKUP($A19,Master!$D$25:$G$223,4,FALSE)</f>
        <v>Ostali državni porezi</v>
      </c>
      <c r="C19" s="467"/>
      <c r="D19" s="467"/>
      <c r="E19" s="467"/>
      <c r="F19" s="467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479" t="str">
        <f>+VLOOKUP($A20,Master!$D$25:$G$223,4,FALSE)</f>
        <v>Doprinosi</v>
      </c>
      <c r="C20" s="480"/>
      <c r="D20" s="480"/>
      <c r="E20" s="480"/>
      <c r="F20" s="480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66" t="str">
        <f>+VLOOKUP($A21,Master!$D$25:$G$223,4,FALSE)</f>
        <v>Doprinosi za penzijsko i invalidsko osiguranje</v>
      </c>
      <c r="C21" s="467"/>
      <c r="D21" s="467"/>
      <c r="E21" s="467"/>
      <c r="F21" s="467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66" t="str">
        <f>+VLOOKUP($A22,Master!$D$25:$G$223,4,FALSE)</f>
        <v>Doprinosi za zdravstveno osiguranje</v>
      </c>
      <c r="C22" s="467"/>
      <c r="D22" s="467"/>
      <c r="E22" s="467"/>
      <c r="F22" s="467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66" t="str">
        <f>+VLOOKUP($A23,Master!$D$25:$G$223,4,FALSE)</f>
        <v>Doprinosi za osiguranje od nezaposlenosti</v>
      </c>
      <c r="C23" s="467"/>
      <c r="D23" s="467"/>
      <c r="E23" s="467"/>
      <c r="F23" s="467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66" t="str">
        <f>+VLOOKUP($A24,Master!$D$25:$G$223,4,FALSE)</f>
        <v>Ostali doprinosi</v>
      </c>
      <c r="C24" s="467"/>
      <c r="D24" s="467"/>
      <c r="E24" s="467"/>
      <c r="F24" s="467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77" t="str">
        <f>+VLOOKUP($A25,Master!$D$25:$G$223,4,FALSE)</f>
        <v>Takse</v>
      </c>
      <c r="C25" s="478"/>
      <c r="D25" s="478"/>
      <c r="E25" s="478"/>
      <c r="F25" s="478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77" t="str">
        <f>+VLOOKUP($A26,Master!$D$25:$G$223,4,FALSE)</f>
        <v>Naknade</v>
      </c>
      <c r="C26" s="478"/>
      <c r="D26" s="478"/>
      <c r="E26" s="478"/>
      <c r="F26" s="478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77" t="str">
        <f>+VLOOKUP($A27,Master!$D$25:$G$223,4,FALSE)</f>
        <v>Ostali prihodi</v>
      </c>
      <c r="C27" s="478"/>
      <c r="D27" s="478"/>
      <c r="E27" s="478"/>
      <c r="F27" s="478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77" t="str">
        <f>+VLOOKUP($A28,Master!$D$25:$G$223,4,FALSE)</f>
        <v>Primici od otplate kredita i sredstva prenesena iz prethodne godine</v>
      </c>
      <c r="C28" s="478"/>
      <c r="D28" s="478"/>
      <c r="E28" s="478"/>
      <c r="F28" s="478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481" t="str">
        <f>+VLOOKUP($A29,Master!$D$25:$G$223,4,FALSE)</f>
        <v>Donacije i transferi</v>
      </c>
      <c r="C29" s="482"/>
      <c r="D29" s="482"/>
      <c r="E29" s="482"/>
      <c r="F29" s="482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83" t="str">
        <f>+VLOOKUP($A30,Master!$D$25:$G$223,4,FALSE)</f>
        <v>Budžetki izdaci</v>
      </c>
      <c r="C30" s="484"/>
      <c r="D30" s="484"/>
      <c r="E30" s="484"/>
      <c r="F30" s="484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485" t="str">
        <f>+VLOOKUP($A31,Master!$D$25:$G$223,4,FALSE)</f>
        <v>Tekući izdaci</v>
      </c>
      <c r="C31" s="486"/>
      <c r="D31" s="486"/>
      <c r="E31" s="486"/>
      <c r="F31" s="486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487" t="str">
        <f>+VLOOKUP($A32,Master!$D$25:$G$223,4,FALSE)</f>
        <v>Tekući budžetski izdaci</v>
      </c>
      <c r="C32" s="488"/>
      <c r="D32" s="488"/>
      <c r="E32" s="488"/>
      <c r="F32" s="488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66" t="str">
        <f>+VLOOKUP($A33,Master!$D$25:$G$223,4,FALSE)</f>
        <v>Bruto zarade i doprinosi na teret poslodavca</v>
      </c>
      <c r="C33" s="467"/>
      <c r="D33" s="467"/>
      <c r="E33" s="467"/>
      <c r="F33" s="467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66" t="str">
        <f>+VLOOKUP($A34,Master!$D$25:$G$223,4,FALSE)</f>
        <v>Ostala lična primanja</v>
      </c>
      <c r="C34" s="467"/>
      <c r="D34" s="467"/>
      <c r="E34" s="467"/>
      <c r="F34" s="467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66" t="str">
        <f>+VLOOKUP($A35,Master!$D$25:$G$223,4,FALSE)</f>
        <v>Rashodi za materijal</v>
      </c>
      <c r="C35" s="467"/>
      <c r="D35" s="467"/>
      <c r="E35" s="467"/>
      <c r="F35" s="467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66" t="str">
        <f>+VLOOKUP($A36,Master!$D$25:$G$223,4,FALSE)</f>
        <v>Rashodi za usluge</v>
      </c>
      <c r="C36" s="467"/>
      <c r="D36" s="467"/>
      <c r="E36" s="467"/>
      <c r="F36" s="467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66" t="str">
        <f>+VLOOKUP($A37,Master!$D$25:$G$223,4,FALSE)</f>
        <v>Rashodi za tekuće održavanje</v>
      </c>
      <c r="C37" s="467"/>
      <c r="D37" s="467"/>
      <c r="E37" s="467"/>
      <c r="F37" s="467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66" t="str">
        <f>+VLOOKUP($A38,Master!$D$25:$G$223,4,FALSE)</f>
        <v>Kamate</v>
      </c>
      <c r="C38" s="467"/>
      <c r="D38" s="467"/>
      <c r="E38" s="467"/>
      <c r="F38" s="467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66" t="str">
        <f>+VLOOKUP($A39,Master!$D$25:$G$223,4,FALSE)</f>
        <v>Renta</v>
      </c>
      <c r="C39" s="467"/>
      <c r="D39" s="467"/>
      <c r="E39" s="467"/>
      <c r="F39" s="467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66" t="str">
        <f>+VLOOKUP($A40,Master!$D$25:$G$223,4,FALSE)</f>
        <v>Subvencije</v>
      </c>
      <c r="C40" s="467"/>
      <c r="D40" s="467"/>
      <c r="E40" s="467"/>
      <c r="F40" s="467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66" t="str">
        <f>+VLOOKUP($A41,Master!$D$25:$G$223,4,FALSE)</f>
        <v>Ostali izdaci</v>
      </c>
      <c r="C41" s="467"/>
      <c r="D41" s="467"/>
      <c r="E41" s="467"/>
      <c r="F41" s="467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66" t="str">
        <f>+VLOOKUP($A42,Master!$D$25:$G$223,4,FALSE)</f>
        <v>Kapitalni izdaci u tekućem budžetu</v>
      </c>
      <c r="C42" s="467"/>
      <c r="D42" s="467"/>
      <c r="E42" s="467"/>
      <c r="F42" s="467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493" t="str">
        <f>+VLOOKUP($A43,Master!$D$25:$G$223,4,FALSE)</f>
        <v>Transferi za socijalnu zaštitu</v>
      </c>
      <c r="C43" s="494"/>
      <c r="D43" s="494"/>
      <c r="E43" s="494"/>
      <c r="F43" s="494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66" t="str">
        <f>+VLOOKUP($A44,Master!$D$25:$G$223,4,FALSE)</f>
        <v>Prava iz oblasti socijalne zaštite</v>
      </c>
      <c r="C44" s="467"/>
      <c r="D44" s="467"/>
      <c r="E44" s="467"/>
      <c r="F44" s="467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66" t="str">
        <f>+VLOOKUP($A45,Master!$D$25:$G$223,4,FALSE)</f>
        <v>Sredstva za tehnološke viškove</v>
      </c>
      <c r="C45" s="467"/>
      <c r="D45" s="467"/>
      <c r="E45" s="467"/>
      <c r="F45" s="467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66" t="str">
        <f>+VLOOKUP($A46,Master!$D$25:$G$223,4,FALSE)</f>
        <v>Prava iz oblasti penzijskog i invalidskog osiguranja</v>
      </c>
      <c r="C46" s="467"/>
      <c r="D46" s="467"/>
      <c r="E46" s="467"/>
      <c r="F46" s="467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66" t="str">
        <f>+VLOOKUP($A47,Master!$D$25:$G$223,4,FALSE)</f>
        <v>Ostala prava iz oblasti zdravstvene zaštite</v>
      </c>
      <c r="C47" s="467"/>
      <c r="D47" s="467"/>
      <c r="E47" s="467"/>
      <c r="F47" s="467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66" t="str">
        <f>+VLOOKUP($A48,Master!$D$25:$G$223,4,FALSE)</f>
        <v>Ostala prava iz zdravstvenog osiguranja</v>
      </c>
      <c r="C48" s="467"/>
      <c r="D48" s="467"/>
      <c r="E48" s="467"/>
      <c r="F48" s="467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489" t="str">
        <f>+VLOOKUP($A49,Master!$D$25:$G$223,4,FALSE)</f>
        <v xml:space="preserve">Transferi institucijama, pojedincima, nevladinom i javnom sektoru </v>
      </c>
      <c r="C49" s="490"/>
      <c r="D49" s="490"/>
      <c r="E49" s="490"/>
      <c r="F49" s="490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489" t="str">
        <f>+VLOOKUP($A50,Master!$D$25:$G$223,4,FALSE)</f>
        <v>Kapitalni budžet</v>
      </c>
      <c r="C50" s="490"/>
      <c r="D50" s="490"/>
      <c r="E50" s="490"/>
      <c r="F50" s="490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491" t="str">
        <f>+VLOOKUP($A51,Master!$D$25:$G$223,4,FALSE)</f>
        <v>Pozajmice i krediti</v>
      </c>
      <c r="C51" s="492"/>
      <c r="D51" s="492"/>
      <c r="E51" s="492"/>
      <c r="F51" s="492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491" t="str">
        <f>+VLOOKUP($A52,Master!$D$25:$G$223,4,FALSE)</f>
        <v>Rezerve</v>
      </c>
      <c r="C52" s="492"/>
      <c r="D52" s="492"/>
      <c r="E52" s="492"/>
      <c r="F52" s="492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58" t="str">
        <f>+VLOOKUP($A53,Master!$D$25:$G$223,4,FALSE)</f>
        <v>Otplata garancija</v>
      </c>
      <c r="C53" s="459"/>
      <c r="D53" s="459"/>
      <c r="E53" s="459"/>
      <c r="F53" s="459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58" t="str">
        <f>+VLOOKUP($A54,Master!$D$25:$G$223,4,FALSE)</f>
        <v>Otplata obaveza iz prethodnih godina</v>
      </c>
      <c r="C54" s="459"/>
      <c r="D54" s="459"/>
      <c r="E54" s="459"/>
      <c r="F54" s="459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58" t="str">
        <f>+VLOOKUP($A55,Master!$D$25:$G$225,4,FALSE)</f>
        <v>Neto povećanje obaveza</v>
      </c>
      <c r="C55" s="459"/>
      <c r="D55" s="459"/>
      <c r="E55" s="459"/>
      <c r="F55" s="459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499" t="str">
        <f>+VLOOKUP($A56,Master!$D$25:$G$223,4,FALSE)</f>
        <v>Suficit / deficit</v>
      </c>
      <c r="C56" s="500"/>
      <c r="D56" s="500"/>
      <c r="E56" s="500"/>
      <c r="F56" s="500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01" t="str">
        <f>+VLOOKUP($A57,Master!$D$25:$G$223,4,FALSE)</f>
        <v>Primarni bilans</v>
      </c>
      <c r="C57" s="502"/>
      <c r="D57" s="502"/>
      <c r="E57" s="502"/>
      <c r="F57" s="502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493" t="str">
        <f>+VLOOKUP($A58,Master!$D$25:$G$223,4,FALSE)</f>
        <v>Otplata dugova</v>
      </c>
      <c r="C58" s="494"/>
      <c r="D58" s="494"/>
      <c r="E58" s="494"/>
      <c r="F58" s="494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497" t="str">
        <f>+VLOOKUP($A59,Master!$D$25:$G$223,4,FALSE)</f>
        <v>Otplata hartija od vrijednosti i kredita rezidentima</v>
      </c>
      <c r="C59" s="498"/>
      <c r="D59" s="498"/>
      <c r="E59" s="498"/>
      <c r="F59" s="498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491" t="str">
        <f>+VLOOKUP($A60,Master!$D$25:$G$223,4,FALSE)</f>
        <v>Otplata hartija od vrijednosti i kredita nerezidentima</v>
      </c>
      <c r="C60" s="492"/>
      <c r="D60" s="492"/>
      <c r="E60" s="492"/>
      <c r="F60" s="492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495" t="str">
        <f>+VLOOKUP($A61,Master!$D$25:$G$223,4,FALSE)</f>
        <v>Nedostajuća sredstva</v>
      </c>
      <c r="C61" s="496"/>
      <c r="D61" s="496"/>
      <c r="E61" s="496"/>
      <c r="F61" s="496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83" t="str">
        <f>+VLOOKUP($A62,Master!$D$25:$G$223,4,FALSE)</f>
        <v>Finansiranje</v>
      </c>
      <c r="C62" s="484"/>
      <c r="D62" s="484"/>
      <c r="E62" s="484"/>
      <c r="F62" s="484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497" t="str">
        <f>+VLOOKUP($A63,Master!$D$25:$G$223,4,FALSE)</f>
        <v>Pozajmice i krediti od domaćih izvora</v>
      </c>
      <c r="C63" s="498"/>
      <c r="D63" s="498"/>
      <c r="E63" s="498"/>
      <c r="F63" s="498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491" t="str">
        <f>+VLOOKUP($A64,Master!$D$25:$G$223,4,FALSE)</f>
        <v>Pozajmice i krediti od inostranih izvora</v>
      </c>
      <c r="C64" s="492"/>
      <c r="D64" s="492"/>
      <c r="E64" s="492"/>
      <c r="F64" s="492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491" t="str">
        <f>+VLOOKUP($A65,Master!$D$25:$G$223,4,FALSE)</f>
        <v>Primici od prodaje imovine</v>
      </c>
      <c r="C65" s="492"/>
      <c r="D65" s="492"/>
      <c r="E65" s="492"/>
      <c r="F65" s="492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57" t="str">
        <f>+Master!G250</f>
        <v>Plan ostvarenja budžeta</v>
      </c>
      <c r="C102" s="438"/>
      <c r="D102" s="438"/>
      <c r="E102" s="438"/>
      <c r="F102" s="438"/>
      <c r="G102" s="446">
        <v>2013</v>
      </c>
      <c r="H102" s="447"/>
      <c r="I102" s="447"/>
      <c r="J102" s="447"/>
      <c r="K102" s="447"/>
      <c r="L102" s="447"/>
      <c r="M102" s="447"/>
      <c r="N102" s="447"/>
      <c r="O102" s="447"/>
      <c r="P102" s="447"/>
      <c r="Q102" s="447"/>
      <c r="R102" s="447"/>
      <c r="S102" s="447"/>
      <c r="T102" s="447"/>
      <c r="U102" s="450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39"/>
      <c r="C103" s="440"/>
      <c r="D103" s="440"/>
      <c r="E103" s="440"/>
      <c r="F103" s="441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46" t="str">
        <f>+Master!G244</f>
        <v>Jan - Dec</v>
      </c>
      <c r="X103" s="450">
        <f>+X8</f>
        <v>0</v>
      </c>
    </row>
    <row r="104" spans="1:24" ht="13.5" thickBot="1">
      <c r="A104" s="170"/>
      <c r="B104" s="442"/>
      <c r="C104" s="443"/>
      <c r="D104" s="443"/>
      <c r="E104" s="443"/>
      <c r="F104" s="444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05" t="str">
        <f>+VLOOKUP(LEFT($A105,LEN(A105)-1)*1,Master!$D$25:$G$223,4,FALSE)</f>
        <v>Prihodi budžeta</v>
      </c>
      <c r="C105" s="406"/>
      <c r="D105" s="406"/>
      <c r="E105" s="406"/>
      <c r="F105" s="406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07" t="str">
        <f>+VLOOKUP(LEFT($A106,LEN(A106)-1)*1,Master!$D$25:$G$223,4,FALSE)</f>
        <v>Porezi</v>
      </c>
      <c r="C106" s="408"/>
      <c r="D106" s="408"/>
      <c r="E106" s="408"/>
      <c r="F106" s="408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09" t="str">
        <f>+VLOOKUP(LEFT($A107,LEN(A107)-1)*1,Master!$D$25:$G$223,4,FALSE)</f>
        <v>Porez na dohodak fizičkih lica</v>
      </c>
      <c r="C107" s="410"/>
      <c r="D107" s="410"/>
      <c r="E107" s="410"/>
      <c r="F107" s="410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09" t="str">
        <f>+VLOOKUP(LEFT($A108,LEN(A108)-1)*1,Master!$D$25:$G$223,4,FALSE)</f>
        <v>Porez na dobit pravnih lica</v>
      </c>
      <c r="C108" s="410"/>
      <c r="D108" s="410"/>
      <c r="E108" s="410"/>
      <c r="F108" s="410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09" t="str">
        <f>+VLOOKUP(LEFT($A109,LEN(A109)-1)*1,Master!$D$25:$G$223,4,FALSE)</f>
        <v>Porez na promet nepokretnosti</v>
      </c>
      <c r="C109" s="410"/>
      <c r="D109" s="410"/>
      <c r="E109" s="410"/>
      <c r="F109" s="410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09" t="str">
        <f>+VLOOKUP(LEFT($A110,LEN(A110)-1)*1,Master!$D$25:$G$223,4,FALSE)</f>
        <v>Porez na dodatu vrijednost</v>
      </c>
      <c r="C110" s="410"/>
      <c r="D110" s="410"/>
      <c r="E110" s="410"/>
      <c r="F110" s="410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09" t="str">
        <f>+VLOOKUP(LEFT($A111,LEN(A111)-1)*1,Master!$D$25:$G$223,4,FALSE)</f>
        <v>Akcize</v>
      </c>
      <c r="C111" s="410"/>
      <c r="D111" s="410"/>
      <c r="E111" s="410"/>
      <c r="F111" s="410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09" t="str">
        <f>+VLOOKUP(LEFT($A112,LEN(A112)-1)*1,Master!$D$25:$G$223,4,FALSE)</f>
        <v>Porez na međunarodnu trgovinu i transakcije</v>
      </c>
      <c r="C112" s="410"/>
      <c r="D112" s="410"/>
      <c r="E112" s="410"/>
      <c r="F112" s="410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09" t="e">
        <f>+VLOOKUP(LEFT($A113,LEN(A113)-1)*1,Master!$D$25:$G$223,4,FALSE)</f>
        <v>#N/A</v>
      </c>
      <c r="C113" s="410"/>
      <c r="D113" s="410"/>
      <c r="E113" s="410"/>
      <c r="F113" s="410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09" t="str">
        <f>+VLOOKUP(LEFT($A114,LEN(A114)-1)*1,Master!$D$25:$G$223,4,FALSE)</f>
        <v>Ostali državni porezi</v>
      </c>
      <c r="C114" s="410"/>
      <c r="D114" s="410"/>
      <c r="E114" s="410"/>
      <c r="F114" s="410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13" t="str">
        <f>+VLOOKUP(LEFT($A115,LEN(A115)-1)*1,Master!$D$25:$G$223,4,FALSE)</f>
        <v>Doprinosi</v>
      </c>
      <c r="C115" s="414"/>
      <c r="D115" s="414"/>
      <c r="E115" s="414"/>
      <c r="F115" s="414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09" t="str">
        <f>+VLOOKUP(LEFT($A116,LEN(A116)-1)*1,Master!$D$25:$G$223,4,FALSE)</f>
        <v>Doprinosi za penzijsko i invalidsko osiguranje</v>
      </c>
      <c r="C116" s="410"/>
      <c r="D116" s="410"/>
      <c r="E116" s="410"/>
      <c r="F116" s="410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09" t="str">
        <f>+VLOOKUP(LEFT($A117,LEN(A117)-1)*1,Master!$D$25:$G$223,4,FALSE)</f>
        <v>Doprinosi za zdravstveno osiguranje</v>
      </c>
      <c r="C117" s="410"/>
      <c r="D117" s="410"/>
      <c r="E117" s="410"/>
      <c r="F117" s="410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09" t="str">
        <f>+VLOOKUP(LEFT($A118,LEN(A118)-1)*1,Master!$D$25:$G$223,4,FALSE)</f>
        <v>Doprinosi za osiguranje od nezaposlenosti</v>
      </c>
      <c r="C118" s="410"/>
      <c r="D118" s="410"/>
      <c r="E118" s="410"/>
      <c r="F118" s="410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09" t="str">
        <f>+VLOOKUP(LEFT($A119,LEN(A119)-1)*1,Master!$D$25:$G$223,4,FALSE)</f>
        <v>Ostali doprinosi</v>
      </c>
      <c r="C119" s="410"/>
      <c r="D119" s="410"/>
      <c r="E119" s="410"/>
      <c r="F119" s="410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11" t="str">
        <f>+VLOOKUP(LEFT($A120,LEN(A120)-1)*1,Master!$D$25:$G$223,4,FALSE)</f>
        <v>Takse</v>
      </c>
      <c r="C120" s="412"/>
      <c r="D120" s="412"/>
      <c r="E120" s="412"/>
      <c r="F120" s="412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11" t="str">
        <f>+VLOOKUP(LEFT($A121,LEN(A121)-1)*1,Master!$D$25:$G$223,4,FALSE)</f>
        <v>Naknade</v>
      </c>
      <c r="C121" s="412"/>
      <c r="D121" s="412"/>
      <c r="E121" s="412"/>
      <c r="F121" s="412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11" t="str">
        <f>+VLOOKUP(LEFT($A122,LEN(A122)-1)*1,Master!$D$25:$G$223,4,FALSE)</f>
        <v>Ostali prihodi</v>
      </c>
      <c r="C122" s="412"/>
      <c r="D122" s="412"/>
      <c r="E122" s="412"/>
      <c r="F122" s="412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11" t="str">
        <f>+VLOOKUP(LEFT($A123,LEN(A123)-1)*1,Master!$D$25:$G$223,4,FALSE)</f>
        <v>Primici od otplate kredita i sredstva prenesena iz prethodne godine</v>
      </c>
      <c r="C123" s="412"/>
      <c r="D123" s="412"/>
      <c r="E123" s="412"/>
      <c r="F123" s="412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15" t="str">
        <f>+VLOOKUP(LEFT($A124,LEN(A124)-1)*1,Master!$D$25:$G$223,4,FALSE)</f>
        <v>Donacije i transferi</v>
      </c>
      <c r="C124" s="416"/>
      <c r="D124" s="416"/>
      <c r="E124" s="416"/>
      <c r="F124" s="416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17" t="str">
        <f>+VLOOKUP(LEFT($A125,LEN(A125)-1)*1,Master!$D$25:$G$223,4,FALSE)</f>
        <v>Budžetki izdaci</v>
      </c>
      <c r="C125" s="418"/>
      <c r="D125" s="418"/>
      <c r="E125" s="418"/>
      <c r="F125" s="418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19" t="str">
        <f>+VLOOKUP(LEFT($A126,LEN(A126)-1)*1,Master!$D$25:$G$223,4,FALSE)</f>
        <v>Tekući izdaci</v>
      </c>
      <c r="C126" s="420"/>
      <c r="D126" s="420"/>
      <c r="E126" s="420"/>
      <c r="F126" s="420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21" t="str">
        <f>+VLOOKUP(LEFT($A127,LEN(A127)-1)*1,Master!$D$25:$G$223,4,FALSE)</f>
        <v>Tekući budžetski izdaci</v>
      </c>
      <c r="C127" s="422"/>
      <c r="D127" s="422"/>
      <c r="E127" s="422"/>
      <c r="F127" s="422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09" t="str">
        <f>+VLOOKUP(LEFT($A128,LEN(A128)-1)*1,Master!$D$25:$G$223,4,FALSE)</f>
        <v>Bruto zarade i doprinosi na teret poslodavca</v>
      </c>
      <c r="C128" s="410"/>
      <c r="D128" s="410"/>
      <c r="E128" s="410"/>
      <c r="F128" s="410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09" t="str">
        <f>+VLOOKUP(LEFT($A129,LEN(A129)-1)*1,Master!$D$25:$G$223,4,FALSE)</f>
        <v>Ostala lična primanja</v>
      </c>
      <c r="C129" s="410"/>
      <c r="D129" s="410"/>
      <c r="E129" s="410"/>
      <c r="F129" s="410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09" t="str">
        <f>+VLOOKUP(LEFT($A130,LEN(A130)-1)*1,Master!$D$25:$G$223,4,FALSE)</f>
        <v>Rashodi za materijal</v>
      </c>
      <c r="C130" s="410"/>
      <c r="D130" s="410"/>
      <c r="E130" s="410"/>
      <c r="F130" s="410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09" t="str">
        <f>+VLOOKUP(LEFT($A131,LEN(A131)-1)*1,Master!$D$25:$G$223,4,FALSE)</f>
        <v>Rashodi za usluge</v>
      </c>
      <c r="C131" s="410"/>
      <c r="D131" s="410"/>
      <c r="E131" s="410"/>
      <c r="F131" s="410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09" t="str">
        <f>+VLOOKUP(LEFT($A132,LEN(A132)-1)*1,Master!$D$25:$G$223,4,FALSE)</f>
        <v>Rashodi za tekuće održavanje</v>
      </c>
      <c r="C132" s="410"/>
      <c r="D132" s="410"/>
      <c r="E132" s="410"/>
      <c r="F132" s="410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09" t="str">
        <f>+VLOOKUP(LEFT($A133,LEN(A133)-1)*1,Master!$D$25:$G$223,4,FALSE)</f>
        <v>Kamate</v>
      </c>
      <c r="C133" s="410"/>
      <c r="D133" s="410"/>
      <c r="E133" s="410"/>
      <c r="F133" s="410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09" t="str">
        <f>+VLOOKUP(LEFT($A134,LEN(A134)-1)*1,Master!$D$25:$G$223,4,FALSE)</f>
        <v>Renta</v>
      </c>
      <c r="C134" s="410"/>
      <c r="D134" s="410"/>
      <c r="E134" s="410"/>
      <c r="F134" s="410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09" t="str">
        <f>+VLOOKUP(LEFT($A135,LEN(A135)-1)*1,Master!$D$25:$G$223,4,FALSE)</f>
        <v>Subvencije</v>
      </c>
      <c r="C135" s="410"/>
      <c r="D135" s="410"/>
      <c r="E135" s="410"/>
      <c r="F135" s="410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09" t="str">
        <f>+VLOOKUP(LEFT($A136,LEN(A136)-1)*1,Master!$D$25:$G$223,4,FALSE)</f>
        <v>Ostali izdaci</v>
      </c>
      <c r="C136" s="410"/>
      <c r="D136" s="410"/>
      <c r="E136" s="410"/>
      <c r="F136" s="410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09" t="str">
        <f>+VLOOKUP(LEFT($A137,LEN(A137)-1)*1,Master!$D$25:$G$223,4,FALSE)</f>
        <v>Kapitalni izdaci u tekućem budžetu</v>
      </c>
      <c r="C137" s="410"/>
      <c r="D137" s="410"/>
      <c r="E137" s="410"/>
      <c r="F137" s="410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25" t="str">
        <f>+VLOOKUP(LEFT($A138,LEN(A138)-1)*1,Master!$D$25:$G$223,4,FALSE)</f>
        <v>Transferi za socijalnu zaštitu</v>
      </c>
      <c r="C138" s="426"/>
      <c r="D138" s="426"/>
      <c r="E138" s="426"/>
      <c r="F138" s="426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09" t="str">
        <f>+VLOOKUP(LEFT($A139,LEN(A139)-1)*1,Master!$D$25:$G$223,4,FALSE)</f>
        <v>Prava iz oblasti socijalne zaštite</v>
      </c>
      <c r="C139" s="410"/>
      <c r="D139" s="410"/>
      <c r="E139" s="410"/>
      <c r="F139" s="410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09" t="str">
        <f>+VLOOKUP(LEFT($A140,LEN(A140)-1)*1,Master!$D$25:$G$223,4,FALSE)</f>
        <v>Sredstva za tehnološke viškove</v>
      </c>
      <c r="C140" s="410"/>
      <c r="D140" s="410"/>
      <c r="E140" s="410"/>
      <c r="F140" s="410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09" t="str">
        <f>+VLOOKUP(LEFT($A141,LEN(A141)-1)*1,Master!$D$25:$G$223,4,FALSE)</f>
        <v>Prava iz oblasti penzijskog i invalidskog osiguranja</v>
      </c>
      <c r="C141" s="410"/>
      <c r="D141" s="410"/>
      <c r="E141" s="410"/>
      <c r="F141" s="410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09" t="str">
        <f>+VLOOKUP(LEFT($A142,LEN(A142)-1)*1,Master!$D$25:$G$223,4,FALSE)</f>
        <v>Ostala prava iz oblasti zdravstvene zaštite</v>
      </c>
      <c r="C142" s="410"/>
      <c r="D142" s="410"/>
      <c r="E142" s="410"/>
      <c r="F142" s="410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09" t="str">
        <f>+VLOOKUP(LEFT($A143,LEN(A143)-1)*1,Master!$D$25:$G$223,4,FALSE)</f>
        <v>Ostala prava iz zdravstvenog osiguranja</v>
      </c>
      <c r="C143" s="410"/>
      <c r="D143" s="410"/>
      <c r="E143" s="410"/>
      <c r="F143" s="410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23" t="str">
        <f>+VLOOKUP(LEFT($A144,LEN(A144)-1)*1,Master!$D$25:$G$223,4,FALSE)</f>
        <v xml:space="preserve">Transferi institucijama, pojedincima, nevladinom i javnom sektoru </v>
      </c>
      <c r="C144" s="424"/>
      <c r="D144" s="424"/>
      <c r="E144" s="424"/>
      <c r="F144" s="424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23" t="str">
        <f>+VLOOKUP(LEFT($A145,LEN(A145)-1)*1,Master!$D$25:$G$223,4,FALSE)</f>
        <v>Kapitalni budžet</v>
      </c>
      <c r="C145" s="424"/>
      <c r="D145" s="424"/>
      <c r="E145" s="424"/>
      <c r="F145" s="424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27" t="str">
        <f>+VLOOKUP(LEFT($A146,LEN(A146)-1)*1,Master!$D$25:$G$223,4,FALSE)</f>
        <v>Pozajmice i krediti</v>
      </c>
      <c r="C146" s="428"/>
      <c r="D146" s="428"/>
      <c r="E146" s="428"/>
      <c r="F146" s="428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27" t="str">
        <f>+VLOOKUP(LEFT($A147,LEN(A147)-1)*1,Master!$D$25:$G$223,4,FALSE)</f>
        <v>Rezerve</v>
      </c>
      <c r="C147" s="428"/>
      <c r="D147" s="428"/>
      <c r="E147" s="428"/>
      <c r="F147" s="428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29" t="str">
        <f>+VLOOKUP(LEFT($A148,LEN(A148)-1)*1,Master!$D$25:$G$223,4,FALSE)</f>
        <v>Otplata garancija</v>
      </c>
      <c r="C148" s="430"/>
      <c r="D148" s="430"/>
      <c r="E148" s="430"/>
      <c r="F148" s="430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31" t="str">
        <f>+VLOOKUP(LEFT($A149,LEN(A149)-1)*1,Master!$D$25:$G$223,4,FALSE)</f>
        <v>Suficit / deficit</v>
      </c>
      <c r="C149" s="432"/>
      <c r="D149" s="432"/>
      <c r="E149" s="432"/>
      <c r="F149" s="432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33" t="str">
        <f>+VLOOKUP(LEFT($A150,LEN(A150)-1)*1,Master!$D$25:$G$223,4,FALSE)</f>
        <v>Primarni bilans</v>
      </c>
      <c r="C150" s="434"/>
      <c r="D150" s="434"/>
      <c r="E150" s="434"/>
      <c r="F150" s="434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25" t="str">
        <f>+VLOOKUP(LEFT($A151,LEN(A151)-1)*1,Master!$D$25:$G$223,4,FALSE)</f>
        <v>Otplata dugova</v>
      </c>
      <c r="C151" s="426"/>
      <c r="D151" s="426"/>
      <c r="E151" s="426"/>
      <c r="F151" s="426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51" t="str">
        <f>+VLOOKUP(LEFT($A152,LEN(A152)-1)*1,Master!$D$25:$G$223,4,FALSE)</f>
        <v>Otplata hartija od vrijednosti i kredita rezidentima</v>
      </c>
      <c r="C152" s="452"/>
      <c r="D152" s="452"/>
      <c r="E152" s="452"/>
      <c r="F152" s="452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27" t="str">
        <f>+VLOOKUP(LEFT($A153,LEN(A153)-1)*1,Master!$D$25:$G$223,4,FALSE)</f>
        <v>Otplata hartija od vrijednosti i kredita nerezidentima</v>
      </c>
      <c r="C153" s="428"/>
      <c r="D153" s="428"/>
      <c r="E153" s="428"/>
      <c r="F153" s="428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29" t="str">
        <f>+VLOOKUP(LEFT($A154,LEN(A154)-1)*1,Master!$D$25:$G$223,4,FALSE)</f>
        <v>Otplata obaveza iz prethodnih godina</v>
      </c>
      <c r="C154" s="430"/>
      <c r="D154" s="430"/>
      <c r="E154" s="430"/>
      <c r="F154" s="430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53" t="str">
        <f>+VLOOKUP(LEFT($A155,LEN(A155)-1)*1,Master!$D$25:$G$223,4,FALSE)</f>
        <v>Nedostajuća sredstva</v>
      </c>
      <c r="C155" s="454"/>
      <c r="D155" s="454"/>
      <c r="E155" s="454"/>
      <c r="F155" s="454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17" t="str">
        <f>+VLOOKUP(LEFT($A156,LEN(A156)-1)*1,Master!$D$25:$G$223,4,FALSE)</f>
        <v>Finansiranje</v>
      </c>
      <c r="C156" s="418"/>
      <c r="D156" s="418"/>
      <c r="E156" s="418"/>
      <c r="F156" s="418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51" t="str">
        <f>+VLOOKUP(LEFT($A157,LEN(A157)-1)*1,Master!$D$25:$G$223,4,FALSE)</f>
        <v>Pozajmice i krediti od domaćih izvora</v>
      </c>
      <c r="C157" s="452"/>
      <c r="D157" s="452"/>
      <c r="E157" s="452"/>
      <c r="F157" s="452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27" t="str">
        <f>+VLOOKUP(LEFT($A158,LEN(A158)-1)*1,Master!$D$25:$G$223,4,FALSE)</f>
        <v>Pozajmice i krediti od inostranih izvora</v>
      </c>
      <c r="C158" s="428"/>
      <c r="D158" s="428"/>
      <c r="E158" s="428"/>
      <c r="F158" s="428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27" t="str">
        <f>+VLOOKUP(LEFT($A159,LEN(A159)-1)*1,Master!$D$25:$G$223,4,FALSE)</f>
        <v>Primici od prodaje imovine</v>
      </c>
      <c r="C159" s="428"/>
      <c r="D159" s="428"/>
      <c r="E159" s="428"/>
      <c r="F159" s="428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468" t="str">
        <f>+Master!G249</f>
        <v>Ostvarenje budžeta</v>
      </c>
      <c r="C7" s="469"/>
      <c r="D7" s="469"/>
      <c r="E7" s="469"/>
      <c r="F7" s="469"/>
      <c r="G7" s="460">
        <v>2013</v>
      </c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61"/>
      <c r="S7" s="116" t="str">
        <f>+Master!G246</f>
        <v>BDP</v>
      </c>
      <c r="T7" s="117">
        <v>3393200615</v>
      </c>
    </row>
    <row r="8" spans="1:20" ht="16.5" customHeight="1">
      <c r="B8" s="470"/>
      <c r="C8" s="471"/>
      <c r="D8" s="471"/>
      <c r="E8" s="471"/>
      <c r="F8" s="472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460" t="str">
        <f>+Master!G243</f>
        <v>Jan - Feb</v>
      </c>
      <c r="T8" s="461"/>
    </row>
    <row r="9" spans="1:20" ht="13.5" thickBot="1">
      <c r="B9" s="473"/>
      <c r="C9" s="474"/>
      <c r="D9" s="474"/>
      <c r="E9" s="474"/>
      <c r="F9" s="475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462" t="str">
        <f>+VLOOKUP($A10,Master!$D$25:$G$223,4,FALSE)</f>
        <v>Prihodi budžeta</v>
      </c>
      <c r="C10" s="463"/>
      <c r="D10" s="463"/>
      <c r="E10" s="463"/>
      <c r="F10" s="463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64" t="str">
        <f>+VLOOKUP($A11,Master!$D$25:$G$223,4,FALSE)</f>
        <v>Porezi</v>
      </c>
      <c r="C11" s="465"/>
      <c r="D11" s="465"/>
      <c r="E11" s="465"/>
      <c r="F11" s="465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66" t="str">
        <f>+VLOOKUP($A12,Master!$D$25:$G$223,4,FALSE)</f>
        <v>Porez na dohodak fizičkih lica</v>
      </c>
      <c r="C12" s="467"/>
      <c r="D12" s="467"/>
      <c r="E12" s="467"/>
      <c r="F12" s="467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66" t="str">
        <f>+VLOOKUP($A13,Master!$D$25:$G$223,4,FALSE)</f>
        <v>Porez na dobit pravnih lica</v>
      </c>
      <c r="C13" s="467"/>
      <c r="D13" s="467"/>
      <c r="E13" s="467"/>
      <c r="F13" s="467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66" t="str">
        <f>+VLOOKUP($A14,Master!$D$25:$G$223,4,FALSE)</f>
        <v>Porez na promet nepokretnosti</v>
      </c>
      <c r="C14" s="467"/>
      <c r="D14" s="467"/>
      <c r="E14" s="467"/>
      <c r="F14" s="467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66" t="str">
        <f>+VLOOKUP($A15,Master!$D$25:$G$223,4,FALSE)</f>
        <v>Porez na dodatu vrijednost</v>
      </c>
      <c r="C15" s="467"/>
      <c r="D15" s="467"/>
      <c r="E15" s="467"/>
      <c r="F15" s="467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66" t="str">
        <f>+VLOOKUP($A16,Master!$D$25:$G$223,4,FALSE)</f>
        <v>Akcize</v>
      </c>
      <c r="C16" s="467"/>
      <c r="D16" s="467"/>
      <c r="E16" s="467"/>
      <c r="F16" s="467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66" t="str">
        <f>+VLOOKUP($A17,Master!$D$25:$G$223,4,FALSE)</f>
        <v>Porez na međunarodnu trgovinu i transakcije</v>
      </c>
      <c r="C17" s="467"/>
      <c r="D17" s="467"/>
      <c r="E17" s="467"/>
      <c r="F17" s="467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66" t="e">
        <f>+VLOOKUP($A18,Master!$D$25:$G$223,4,FALSE)</f>
        <v>#N/A</v>
      </c>
      <c r="C18" s="467"/>
      <c r="D18" s="467"/>
      <c r="E18" s="467"/>
      <c r="F18" s="467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66" t="str">
        <f>+VLOOKUP($A19,Master!$D$25:$G$223,4,FALSE)</f>
        <v>Ostali državni porezi</v>
      </c>
      <c r="C19" s="467"/>
      <c r="D19" s="467"/>
      <c r="E19" s="467"/>
      <c r="F19" s="467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79" t="str">
        <f>+VLOOKUP($A20,Master!$D$25:$G$223,4,FALSE)</f>
        <v>Doprinosi</v>
      </c>
      <c r="C20" s="480"/>
      <c r="D20" s="480"/>
      <c r="E20" s="480"/>
      <c r="F20" s="480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66" t="str">
        <f>+VLOOKUP($A21,Master!$D$25:$G$223,4,FALSE)</f>
        <v>Doprinosi za penzijsko i invalidsko osiguranje</v>
      </c>
      <c r="C21" s="467"/>
      <c r="D21" s="467"/>
      <c r="E21" s="467"/>
      <c r="F21" s="467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66" t="str">
        <f>+VLOOKUP($A22,Master!$D$25:$G$223,4,FALSE)</f>
        <v>Doprinosi za zdravstveno osiguranje</v>
      </c>
      <c r="C22" s="467"/>
      <c r="D22" s="467"/>
      <c r="E22" s="467"/>
      <c r="F22" s="467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66" t="str">
        <f>+VLOOKUP($A23,Master!$D$25:$G$223,4,FALSE)</f>
        <v>Doprinosi za osiguranje od nezaposlenosti</v>
      </c>
      <c r="C23" s="467"/>
      <c r="D23" s="467"/>
      <c r="E23" s="467"/>
      <c r="F23" s="467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66" t="str">
        <f>+VLOOKUP($A24,Master!$D$25:$G$223,4,FALSE)</f>
        <v>Ostali doprinosi</v>
      </c>
      <c r="C24" s="467"/>
      <c r="D24" s="467"/>
      <c r="E24" s="467"/>
      <c r="F24" s="467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77" t="str">
        <f>+VLOOKUP($A25,Master!$D$25:$G$223,4,FALSE)</f>
        <v>Takse</v>
      </c>
      <c r="C25" s="478"/>
      <c r="D25" s="478"/>
      <c r="E25" s="478"/>
      <c r="F25" s="478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77" t="str">
        <f>+VLOOKUP($A26,Master!$D$25:$G$223,4,FALSE)</f>
        <v>Naknade</v>
      </c>
      <c r="C26" s="478"/>
      <c r="D26" s="478"/>
      <c r="E26" s="478"/>
      <c r="F26" s="478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77" t="str">
        <f>+VLOOKUP($A27,Master!$D$25:$G$223,4,FALSE)</f>
        <v>Ostali prihodi</v>
      </c>
      <c r="C27" s="478"/>
      <c r="D27" s="478"/>
      <c r="E27" s="478"/>
      <c r="F27" s="478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77" t="str">
        <f>+VLOOKUP($A28,Master!$D$25:$G$223,4,FALSE)</f>
        <v>Primici od otplate kredita i sredstva prenesena iz prethodne godine</v>
      </c>
      <c r="C28" s="478"/>
      <c r="D28" s="478"/>
      <c r="E28" s="478"/>
      <c r="F28" s="478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81" t="str">
        <f>+VLOOKUP($A29,Master!$D$25:$G$223,4,FALSE)</f>
        <v>Donacije i transferi</v>
      </c>
      <c r="C29" s="482"/>
      <c r="D29" s="482"/>
      <c r="E29" s="482"/>
      <c r="F29" s="482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83" t="str">
        <f>+VLOOKUP($A30,Master!$D$25:$G$223,4,FALSE)</f>
        <v>Budžetki izdaci</v>
      </c>
      <c r="C30" s="484"/>
      <c r="D30" s="484"/>
      <c r="E30" s="484"/>
      <c r="F30" s="484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85" t="str">
        <f>+VLOOKUP($A31,Master!$D$25:$G$223,4,FALSE)</f>
        <v>Tekući izdaci</v>
      </c>
      <c r="C31" s="486"/>
      <c r="D31" s="486"/>
      <c r="E31" s="486"/>
      <c r="F31" s="486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87" t="str">
        <f>+VLOOKUP($A32,Master!$D$25:$G$223,4,FALSE)</f>
        <v>Tekući budžetski izdaci</v>
      </c>
      <c r="C32" s="488"/>
      <c r="D32" s="488"/>
      <c r="E32" s="488"/>
      <c r="F32" s="488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66" t="str">
        <f>+VLOOKUP($A33,Master!$D$25:$G$223,4,FALSE)</f>
        <v>Bruto zarade i doprinosi na teret poslodavca</v>
      </c>
      <c r="C33" s="467"/>
      <c r="D33" s="467"/>
      <c r="E33" s="467"/>
      <c r="F33" s="467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66" t="str">
        <f>+VLOOKUP($A34,Master!$D$25:$G$223,4,FALSE)</f>
        <v>Ostala lična primanja</v>
      </c>
      <c r="C34" s="467"/>
      <c r="D34" s="467"/>
      <c r="E34" s="467"/>
      <c r="F34" s="467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66" t="str">
        <f>+VLOOKUP($A35,Master!$D$25:$G$223,4,FALSE)</f>
        <v>Rashodi za materijal</v>
      </c>
      <c r="C35" s="467"/>
      <c r="D35" s="467"/>
      <c r="E35" s="467"/>
      <c r="F35" s="467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66" t="str">
        <f>+VLOOKUP($A36,Master!$D$25:$G$223,4,FALSE)</f>
        <v>Rashodi za usluge</v>
      </c>
      <c r="C36" s="467"/>
      <c r="D36" s="467"/>
      <c r="E36" s="467"/>
      <c r="F36" s="467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66" t="str">
        <f>+VLOOKUP($A37,Master!$D$25:$G$223,4,FALSE)</f>
        <v>Rashodi za tekuće održavanje</v>
      </c>
      <c r="C37" s="467"/>
      <c r="D37" s="467"/>
      <c r="E37" s="467"/>
      <c r="F37" s="467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66" t="str">
        <f>+VLOOKUP($A38,Master!$D$25:$G$223,4,FALSE)</f>
        <v>Kamate</v>
      </c>
      <c r="C38" s="467"/>
      <c r="D38" s="467"/>
      <c r="E38" s="467"/>
      <c r="F38" s="467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66" t="str">
        <f>+VLOOKUP($A39,Master!$D$25:$G$223,4,FALSE)</f>
        <v>Renta</v>
      </c>
      <c r="C39" s="467"/>
      <c r="D39" s="467"/>
      <c r="E39" s="467"/>
      <c r="F39" s="467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66" t="str">
        <f>+VLOOKUP($A40,Master!$D$25:$G$223,4,FALSE)</f>
        <v>Subvencije</v>
      </c>
      <c r="C40" s="467"/>
      <c r="D40" s="467"/>
      <c r="E40" s="467"/>
      <c r="F40" s="467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66" t="str">
        <f>+VLOOKUP($A41,Master!$D$25:$G$223,4,FALSE)</f>
        <v>Ostali izdaci</v>
      </c>
      <c r="C41" s="467"/>
      <c r="D41" s="467"/>
      <c r="E41" s="467"/>
      <c r="F41" s="467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66" t="str">
        <f>+VLOOKUP($A42,Master!$D$25:$G$223,4,FALSE)</f>
        <v>Kapitalni izdaci u tekućem budžetu</v>
      </c>
      <c r="C42" s="467"/>
      <c r="D42" s="467"/>
      <c r="E42" s="467"/>
      <c r="F42" s="467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493" t="str">
        <f>+VLOOKUP($A43,Master!$D$25:$G$223,4,FALSE)</f>
        <v>Transferi za socijalnu zaštitu</v>
      </c>
      <c r="C43" s="494"/>
      <c r="D43" s="494"/>
      <c r="E43" s="494"/>
      <c r="F43" s="494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66" t="str">
        <f>+VLOOKUP($A44,Master!$D$25:$G$223,4,FALSE)</f>
        <v>Prava iz oblasti socijalne zaštite</v>
      </c>
      <c r="C44" s="467"/>
      <c r="D44" s="467"/>
      <c r="E44" s="467"/>
      <c r="F44" s="467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66" t="str">
        <f>+VLOOKUP($A45,Master!$D$25:$G$223,4,FALSE)</f>
        <v>Sredstva za tehnološke viškove</v>
      </c>
      <c r="C45" s="467"/>
      <c r="D45" s="467"/>
      <c r="E45" s="467"/>
      <c r="F45" s="467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66" t="str">
        <f>+VLOOKUP($A46,Master!$D$25:$G$223,4,FALSE)</f>
        <v>Prava iz oblasti penzijskog i invalidskog osiguranja</v>
      </c>
      <c r="C46" s="467"/>
      <c r="D46" s="467"/>
      <c r="E46" s="467"/>
      <c r="F46" s="467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66" t="str">
        <f>+VLOOKUP($A47,Master!$D$25:$G$223,4,FALSE)</f>
        <v>Ostala prava iz oblasti zdravstvene zaštite</v>
      </c>
      <c r="C47" s="467"/>
      <c r="D47" s="467"/>
      <c r="E47" s="467"/>
      <c r="F47" s="467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66" t="str">
        <f>+VLOOKUP($A48,Master!$D$25:$G$223,4,FALSE)</f>
        <v>Ostala prava iz zdravstvenog osiguranja</v>
      </c>
      <c r="C48" s="467"/>
      <c r="D48" s="467"/>
      <c r="E48" s="467"/>
      <c r="F48" s="467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489" t="str">
        <f>+VLOOKUP($A49,Master!$D$25:$G$223,4,FALSE)</f>
        <v xml:space="preserve">Transferi institucijama, pojedincima, nevladinom i javnom sektoru </v>
      </c>
      <c r="C49" s="490"/>
      <c r="D49" s="490"/>
      <c r="E49" s="490"/>
      <c r="F49" s="490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489" t="str">
        <f>+VLOOKUP($A50,Master!$D$25:$G$223,4,FALSE)</f>
        <v>Kapitalni budžet</v>
      </c>
      <c r="C50" s="490"/>
      <c r="D50" s="490"/>
      <c r="E50" s="490"/>
      <c r="F50" s="490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91" t="str">
        <f>+VLOOKUP($A51,Master!$D$25:$G$223,4,FALSE)</f>
        <v>Pozajmice i krediti</v>
      </c>
      <c r="C51" s="492"/>
      <c r="D51" s="492"/>
      <c r="E51" s="492"/>
      <c r="F51" s="492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91" t="str">
        <f>+VLOOKUP($A52,Master!$D$25:$G$223,4,FALSE)</f>
        <v>Rezerve</v>
      </c>
      <c r="C52" s="492"/>
      <c r="D52" s="492"/>
      <c r="E52" s="492"/>
      <c r="F52" s="492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58" t="str">
        <f>+VLOOKUP($A53,Master!$D$25:$G$223,4,FALSE)</f>
        <v>Otplata garancija</v>
      </c>
      <c r="C53" s="459"/>
      <c r="D53" s="459"/>
      <c r="E53" s="459"/>
      <c r="F53" s="459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99" t="str">
        <f>+VLOOKUP($A54,Master!$D$25:$G$223,4,FALSE)</f>
        <v>Suficit / deficit</v>
      </c>
      <c r="C54" s="500"/>
      <c r="D54" s="500"/>
      <c r="E54" s="500"/>
      <c r="F54" s="500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01" t="str">
        <f>+VLOOKUP($A55,Master!$D$25:$G$223,4,FALSE)</f>
        <v>Primarni bilans</v>
      </c>
      <c r="C55" s="502"/>
      <c r="D55" s="502"/>
      <c r="E55" s="502"/>
      <c r="F55" s="502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493" t="str">
        <f>+VLOOKUP($A56,Master!$D$25:$G$223,4,FALSE)</f>
        <v>Otplata dugova</v>
      </c>
      <c r="C56" s="494"/>
      <c r="D56" s="494"/>
      <c r="E56" s="494"/>
      <c r="F56" s="494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97" t="str">
        <f>+VLOOKUP($A57,Master!$D$25:$G$223,4,FALSE)</f>
        <v>Otplata hartija od vrijednosti i kredita rezidentima</v>
      </c>
      <c r="C57" s="498"/>
      <c r="D57" s="498"/>
      <c r="E57" s="498"/>
      <c r="F57" s="498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91" t="str">
        <f>+VLOOKUP($A58,Master!$D$25:$G$223,4,FALSE)</f>
        <v>Otplata hartija od vrijednosti i kredita nerezidentima</v>
      </c>
      <c r="C58" s="492"/>
      <c r="D58" s="492"/>
      <c r="E58" s="492"/>
      <c r="F58" s="492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58" t="str">
        <f>+VLOOKUP($A59,Master!$D$25:$G$223,4,FALSE)</f>
        <v>Otplata obaveza iz prethodnih godina</v>
      </c>
      <c r="C59" s="459"/>
      <c r="D59" s="459"/>
      <c r="E59" s="459"/>
      <c r="F59" s="459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495" t="str">
        <f>+VLOOKUP($A60,Master!$D$25:$G$223,4,FALSE)</f>
        <v>Nedostajuća sredstva</v>
      </c>
      <c r="C60" s="496"/>
      <c r="D60" s="496"/>
      <c r="E60" s="496"/>
      <c r="F60" s="496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83" t="str">
        <f>+VLOOKUP($A61,Master!$D$25:$G$223,4,FALSE)</f>
        <v>Finansiranje</v>
      </c>
      <c r="C61" s="484"/>
      <c r="D61" s="484"/>
      <c r="E61" s="484"/>
      <c r="F61" s="484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497" t="str">
        <f>+VLOOKUP($A62,Master!$D$25:$G$223,4,FALSE)</f>
        <v>Pozajmice i krediti od domaćih izvora</v>
      </c>
      <c r="C62" s="498"/>
      <c r="D62" s="498"/>
      <c r="E62" s="498"/>
      <c r="F62" s="498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91" t="str">
        <f>+VLOOKUP($A63,Master!$D$25:$G$223,4,FALSE)</f>
        <v>Pozajmice i krediti od inostranih izvora</v>
      </c>
      <c r="C63" s="492"/>
      <c r="D63" s="492"/>
      <c r="E63" s="492"/>
      <c r="F63" s="492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91" t="str">
        <f>+VLOOKUP($A64,Master!$D$25:$G$223,4,FALSE)</f>
        <v>Primici od prodaje imovine</v>
      </c>
      <c r="C64" s="492"/>
      <c r="D64" s="492"/>
      <c r="E64" s="492"/>
      <c r="F64" s="492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57" t="str">
        <f>+Master!G250</f>
        <v>Plan ostvarenja budžeta</v>
      </c>
      <c r="C101" s="438"/>
      <c r="D101" s="438"/>
      <c r="E101" s="438"/>
      <c r="F101" s="438"/>
      <c r="G101" s="446">
        <v>2014</v>
      </c>
      <c r="H101" s="447"/>
      <c r="I101" s="447"/>
      <c r="J101" s="447"/>
      <c r="K101" s="447"/>
      <c r="L101" s="447"/>
      <c r="M101" s="447"/>
      <c r="N101" s="447"/>
      <c r="O101" s="447"/>
      <c r="P101" s="447"/>
      <c r="Q101" s="447"/>
      <c r="R101" s="450"/>
      <c r="S101" s="261" t="str">
        <f>+S7</f>
        <v>BDP</v>
      </c>
      <c r="T101" s="262">
        <v>3393200615</v>
      </c>
    </row>
    <row r="102" spans="1:20" ht="15.75" customHeight="1">
      <c r="A102" s="170"/>
      <c r="B102" s="439"/>
      <c r="C102" s="440"/>
      <c r="D102" s="440"/>
      <c r="E102" s="440"/>
      <c r="F102" s="441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46" t="str">
        <f>+Master!G244</f>
        <v>Jan - Dec</v>
      </c>
      <c r="T102" s="450">
        <f t="shared" si="16"/>
        <v>0</v>
      </c>
    </row>
    <row r="103" spans="1:20" ht="13.5" thickBot="1">
      <c r="A103" s="170"/>
      <c r="B103" s="442"/>
      <c r="C103" s="443"/>
      <c r="D103" s="443"/>
      <c r="E103" s="443"/>
      <c r="F103" s="444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05" t="str">
        <f>+VLOOKUP(LEFT($A104,LEN(A104)-1)*1,Master!$D$25:$G$223,4,FALSE)</f>
        <v>Prihodi budžeta</v>
      </c>
      <c r="C104" s="406"/>
      <c r="D104" s="406"/>
      <c r="E104" s="406"/>
      <c r="F104" s="406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07" t="str">
        <f>+VLOOKUP(LEFT($A105,LEN(A105)-1)*1,Master!$D$25:$G$223,4,FALSE)</f>
        <v>Porezi</v>
      </c>
      <c r="C105" s="408"/>
      <c r="D105" s="408"/>
      <c r="E105" s="408"/>
      <c r="F105" s="408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09" t="str">
        <f>+VLOOKUP(LEFT($A106,LEN(A106)-1)*1,Master!$D$25:$G$223,4,FALSE)</f>
        <v>Porez na dohodak fizičkih lica</v>
      </c>
      <c r="C106" s="410"/>
      <c r="D106" s="410"/>
      <c r="E106" s="410"/>
      <c r="F106" s="410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09" t="str">
        <f>+VLOOKUP(LEFT($A107,LEN(A107)-1)*1,Master!$D$25:$G$223,4,FALSE)</f>
        <v>Porez na dobit pravnih lica</v>
      </c>
      <c r="C107" s="410"/>
      <c r="D107" s="410"/>
      <c r="E107" s="410"/>
      <c r="F107" s="410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09" t="str">
        <f>+VLOOKUP(LEFT($A108,LEN(A108)-1)*1,Master!$D$25:$G$223,4,FALSE)</f>
        <v>Porez na promet nepokretnosti</v>
      </c>
      <c r="C108" s="410"/>
      <c r="D108" s="410"/>
      <c r="E108" s="410"/>
      <c r="F108" s="410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09" t="str">
        <f>+VLOOKUP(LEFT($A109,LEN(A109)-1)*1,Master!$D$25:$G$223,4,FALSE)</f>
        <v>Porez na dodatu vrijednost</v>
      </c>
      <c r="C109" s="410"/>
      <c r="D109" s="410"/>
      <c r="E109" s="410"/>
      <c r="F109" s="410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09" t="str">
        <f>+VLOOKUP(LEFT($A110,LEN(A110)-1)*1,Master!$D$25:$G$223,4,FALSE)</f>
        <v>Akcize</v>
      </c>
      <c r="C110" s="410"/>
      <c r="D110" s="410"/>
      <c r="E110" s="410"/>
      <c r="F110" s="410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09" t="str">
        <f>+VLOOKUP(LEFT($A111,LEN(A111)-1)*1,Master!$D$25:$G$223,4,FALSE)</f>
        <v>Porez na međunarodnu trgovinu i transakcije</v>
      </c>
      <c r="C111" s="410"/>
      <c r="D111" s="410"/>
      <c r="E111" s="410"/>
      <c r="F111" s="410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09" t="e">
        <f>+VLOOKUP(LEFT($A112,LEN(A112)-1)*1,Master!$D$25:$G$223,4,FALSE)</f>
        <v>#N/A</v>
      </c>
      <c r="C112" s="410"/>
      <c r="D112" s="410"/>
      <c r="E112" s="410"/>
      <c r="F112" s="410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09" t="str">
        <f>+VLOOKUP(LEFT($A113,LEN(A113)-1)*1,Master!$D$25:$G$223,4,FALSE)</f>
        <v>Ostali državni porezi</v>
      </c>
      <c r="C113" s="410"/>
      <c r="D113" s="410"/>
      <c r="E113" s="410"/>
      <c r="F113" s="410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13" t="str">
        <f>+VLOOKUP(LEFT($A114,LEN(A114)-1)*1,Master!$D$25:$G$223,4,FALSE)</f>
        <v>Doprinosi</v>
      </c>
      <c r="C114" s="414"/>
      <c r="D114" s="414"/>
      <c r="E114" s="414"/>
      <c r="F114" s="414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09" t="str">
        <f>+VLOOKUP(LEFT($A115,LEN(A115)-1)*1,Master!$D$25:$G$223,4,FALSE)</f>
        <v>Doprinosi za penzijsko i invalidsko osiguranje</v>
      </c>
      <c r="C115" s="410"/>
      <c r="D115" s="410"/>
      <c r="E115" s="410"/>
      <c r="F115" s="410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09" t="str">
        <f>+VLOOKUP(LEFT($A116,LEN(A116)-1)*1,Master!$D$25:$G$223,4,FALSE)</f>
        <v>Doprinosi za zdravstveno osiguranje</v>
      </c>
      <c r="C116" s="410"/>
      <c r="D116" s="410"/>
      <c r="E116" s="410"/>
      <c r="F116" s="410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09" t="str">
        <f>+VLOOKUP(LEFT($A117,LEN(A117)-1)*1,Master!$D$25:$G$223,4,FALSE)</f>
        <v>Doprinosi za osiguranje od nezaposlenosti</v>
      </c>
      <c r="C117" s="410"/>
      <c r="D117" s="410"/>
      <c r="E117" s="410"/>
      <c r="F117" s="410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09" t="str">
        <f>+VLOOKUP(LEFT($A118,LEN(A118)-1)*1,Master!$D$25:$G$223,4,FALSE)</f>
        <v>Ostali doprinosi</v>
      </c>
      <c r="C118" s="410"/>
      <c r="D118" s="410"/>
      <c r="E118" s="410"/>
      <c r="F118" s="410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11" t="str">
        <f>+VLOOKUP(LEFT($A119,LEN(A119)-1)*1,Master!$D$25:$G$223,4,FALSE)</f>
        <v>Takse</v>
      </c>
      <c r="C119" s="412"/>
      <c r="D119" s="412"/>
      <c r="E119" s="412"/>
      <c r="F119" s="412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11" t="str">
        <f>+VLOOKUP(LEFT($A120,LEN(A120)-1)*1,Master!$D$25:$G$223,4,FALSE)</f>
        <v>Naknade</v>
      </c>
      <c r="C120" s="412"/>
      <c r="D120" s="412"/>
      <c r="E120" s="412"/>
      <c r="F120" s="412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11" t="str">
        <f>+VLOOKUP(LEFT($A121,LEN(A121)-1)*1,Master!$D$25:$G$223,4,FALSE)</f>
        <v>Ostali prihodi</v>
      </c>
      <c r="C121" s="412"/>
      <c r="D121" s="412"/>
      <c r="E121" s="412"/>
      <c r="F121" s="412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11" t="str">
        <f>+VLOOKUP(LEFT($A122,LEN(A122)-1)*1,Master!$D$25:$G$223,4,FALSE)</f>
        <v>Primici od otplate kredita i sredstva prenesena iz prethodne godine</v>
      </c>
      <c r="C122" s="412"/>
      <c r="D122" s="412"/>
      <c r="E122" s="412"/>
      <c r="F122" s="412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15" t="str">
        <f>+VLOOKUP(LEFT($A123,LEN(A123)-1)*1,Master!$D$25:$G$223,4,FALSE)</f>
        <v>Donacije i transferi</v>
      </c>
      <c r="C123" s="416"/>
      <c r="D123" s="416"/>
      <c r="E123" s="416"/>
      <c r="F123" s="416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17" t="str">
        <f>+VLOOKUP(LEFT($A124,LEN(A124)-1)*1,Master!$D$25:$G$223,4,FALSE)</f>
        <v>Budžetki izdaci</v>
      </c>
      <c r="C124" s="418"/>
      <c r="D124" s="418"/>
      <c r="E124" s="418"/>
      <c r="F124" s="418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19" t="str">
        <f>+VLOOKUP(LEFT($A125,LEN(A125)-1)*1,Master!$D$25:$G$223,4,FALSE)</f>
        <v>Tekući izdaci</v>
      </c>
      <c r="C125" s="420"/>
      <c r="D125" s="420"/>
      <c r="E125" s="420"/>
      <c r="F125" s="420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21" t="str">
        <f>+VLOOKUP(LEFT($A126,LEN(A126)-1)*1,Master!$D$25:$G$223,4,FALSE)</f>
        <v>Tekući budžetski izdaci</v>
      </c>
      <c r="C126" s="422"/>
      <c r="D126" s="422"/>
      <c r="E126" s="422"/>
      <c r="F126" s="422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09" t="str">
        <f>+VLOOKUP(LEFT($A127,LEN(A127)-1)*1,Master!$D$25:$G$223,4,FALSE)</f>
        <v>Bruto zarade i doprinosi na teret poslodavca</v>
      </c>
      <c r="C127" s="410"/>
      <c r="D127" s="410"/>
      <c r="E127" s="410"/>
      <c r="F127" s="410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09" t="str">
        <f>+VLOOKUP(LEFT($A128,LEN(A128)-1)*1,Master!$D$25:$G$223,4,FALSE)</f>
        <v>Ostala lična primanja</v>
      </c>
      <c r="C128" s="410"/>
      <c r="D128" s="410"/>
      <c r="E128" s="410"/>
      <c r="F128" s="410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09" t="str">
        <f>+VLOOKUP(LEFT($A129,LEN(A129)-1)*1,Master!$D$25:$G$223,4,FALSE)</f>
        <v>Rashodi za materijal</v>
      </c>
      <c r="C129" s="410"/>
      <c r="D129" s="410"/>
      <c r="E129" s="410"/>
      <c r="F129" s="410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09" t="str">
        <f>+VLOOKUP(LEFT($A130,LEN(A130)-1)*1,Master!$D$25:$G$223,4,FALSE)</f>
        <v>Rashodi za usluge</v>
      </c>
      <c r="C130" s="410"/>
      <c r="D130" s="410"/>
      <c r="E130" s="410"/>
      <c r="F130" s="410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09" t="str">
        <f>+VLOOKUP(LEFT($A131,LEN(A131)-1)*1,Master!$D$25:$G$223,4,FALSE)</f>
        <v>Rashodi za tekuće održavanje</v>
      </c>
      <c r="C131" s="410"/>
      <c r="D131" s="410"/>
      <c r="E131" s="410"/>
      <c r="F131" s="410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09" t="str">
        <f>+VLOOKUP(LEFT($A132,LEN(A132)-1)*1,Master!$D$25:$G$223,4,FALSE)</f>
        <v>Kamate</v>
      </c>
      <c r="C132" s="410"/>
      <c r="D132" s="410"/>
      <c r="E132" s="410"/>
      <c r="F132" s="410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09" t="str">
        <f>+VLOOKUP(LEFT($A133,LEN(A133)-1)*1,Master!$D$25:$G$223,4,FALSE)</f>
        <v>Renta</v>
      </c>
      <c r="C133" s="410"/>
      <c r="D133" s="410"/>
      <c r="E133" s="410"/>
      <c r="F133" s="410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09" t="str">
        <f>+VLOOKUP(LEFT($A134,LEN(A134)-1)*1,Master!$D$25:$G$223,4,FALSE)</f>
        <v>Subvencije</v>
      </c>
      <c r="C134" s="410"/>
      <c r="D134" s="410"/>
      <c r="E134" s="410"/>
      <c r="F134" s="410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09" t="str">
        <f>+VLOOKUP(LEFT($A135,LEN(A135)-1)*1,Master!$D$25:$G$223,4,FALSE)</f>
        <v>Ostali izdaci</v>
      </c>
      <c r="C135" s="410"/>
      <c r="D135" s="410"/>
      <c r="E135" s="410"/>
      <c r="F135" s="410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09" t="str">
        <f>+VLOOKUP(LEFT($A136,LEN(A136)-1)*1,Master!$D$25:$G$223,4,FALSE)</f>
        <v>Kapitalni izdaci u tekućem budžetu</v>
      </c>
      <c r="C136" s="410"/>
      <c r="D136" s="410"/>
      <c r="E136" s="410"/>
      <c r="F136" s="410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25" t="str">
        <f>+VLOOKUP(LEFT($A137,LEN(A137)-1)*1,Master!$D$25:$G$223,4,FALSE)</f>
        <v>Transferi za socijalnu zaštitu</v>
      </c>
      <c r="C137" s="426"/>
      <c r="D137" s="426"/>
      <c r="E137" s="426"/>
      <c r="F137" s="426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09" t="str">
        <f>+VLOOKUP(LEFT($A138,LEN(A138)-1)*1,Master!$D$25:$G$223,4,FALSE)</f>
        <v>Prava iz oblasti socijalne zaštite</v>
      </c>
      <c r="C138" s="410"/>
      <c r="D138" s="410"/>
      <c r="E138" s="410"/>
      <c r="F138" s="410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09" t="str">
        <f>+VLOOKUP(LEFT($A139,LEN(A139)-1)*1,Master!$D$25:$G$223,4,FALSE)</f>
        <v>Sredstva za tehnološke viškove</v>
      </c>
      <c r="C139" s="410"/>
      <c r="D139" s="410"/>
      <c r="E139" s="410"/>
      <c r="F139" s="410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09" t="str">
        <f>+VLOOKUP(LEFT($A140,LEN(A140)-1)*1,Master!$D$25:$G$223,4,FALSE)</f>
        <v>Prava iz oblasti penzijskog i invalidskog osiguranja</v>
      </c>
      <c r="C140" s="410"/>
      <c r="D140" s="410"/>
      <c r="E140" s="410"/>
      <c r="F140" s="410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09" t="str">
        <f>+VLOOKUP(LEFT($A141,LEN(A141)-1)*1,Master!$D$25:$G$223,4,FALSE)</f>
        <v>Ostala prava iz oblasti zdravstvene zaštite</v>
      </c>
      <c r="C141" s="410"/>
      <c r="D141" s="410"/>
      <c r="E141" s="410"/>
      <c r="F141" s="410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09" t="str">
        <f>+VLOOKUP(LEFT($A142,LEN(A142)-1)*1,Master!$D$25:$G$223,4,FALSE)</f>
        <v>Ostala prava iz zdravstvenog osiguranja</v>
      </c>
      <c r="C142" s="410"/>
      <c r="D142" s="410"/>
      <c r="E142" s="410"/>
      <c r="F142" s="410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23" t="str">
        <f>+VLOOKUP(LEFT($A143,LEN(A143)-1)*1,Master!$D$25:$G$223,4,FALSE)</f>
        <v xml:space="preserve">Transferi institucijama, pojedincima, nevladinom i javnom sektoru </v>
      </c>
      <c r="C143" s="424"/>
      <c r="D143" s="424"/>
      <c r="E143" s="424"/>
      <c r="F143" s="424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23" t="str">
        <f>+VLOOKUP(LEFT($A144,LEN(A144)-1)*1,Master!$D$25:$G$223,4,FALSE)</f>
        <v>Kapitalni budžet</v>
      </c>
      <c r="C144" s="424"/>
      <c r="D144" s="424"/>
      <c r="E144" s="424"/>
      <c r="F144" s="424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27" t="str">
        <f>+VLOOKUP(LEFT($A145,LEN(A145)-1)*1,Master!$D$25:$G$223,4,FALSE)</f>
        <v>Pozajmice i krediti</v>
      </c>
      <c r="C145" s="428"/>
      <c r="D145" s="428"/>
      <c r="E145" s="428"/>
      <c r="F145" s="428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27" t="str">
        <f>+VLOOKUP(LEFT($A146,LEN(A146)-1)*1,Master!$D$25:$G$223,4,FALSE)</f>
        <v>Rezerve</v>
      </c>
      <c r="C146" s="428"/>
      <c r="D146" s="428"/>
      <c r="E146" s="428"/>
      <c r="F146" s="428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29" t="str">
        <f>+VLOOKUP(LEFT($A147,LEN(A147)-1)*1,Master!$D$25:$G$223,4,FALSE)</f>
        <v>Otplata garancija</v>
      </c>
      <c r="C147" s="430"/>
      <c r="D147" s="430"/>
      <c r="E147" s="430"/>
      <c r="F147" s="430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31" t="str">
        <f>+VLOOKUP(LEFT($A148,LEN(A148)-1)*1,Master!$D$25:$G$223,4,FALSE)</f>
        <v>Suficit / deficit</v>
      </c>
      <c r="C148" s="432"/>
      <c r="D148" s="432"/>
      <c r="E148" s="432"/>
      <c r="F148" s="432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33" t="str">
        <f>+VLOOKUP(LEFT($A149,LEN(A149)-1)*1,Master!$D$25:$G$223,4,FALSE)</f>
        <v>Primarni bilans</v>
      </c>
      <c r="C149" s="434"/>
      <c r="D149" s="434"/>
      <c r="E149" s="434"/>
      <c r="F149" s="434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25" t="str">
        <f>+VLOOKUP(LEFT($A150,LEN(A150)-1)*1,Master!$D$25:$G$223,4,FALSE)</f>
        <v>Otplata dugova</v>
      </c>
      <c r="C150" s="426"/>
      <c r="D150" s="426"/>
      <c r="E150" s="426"/>
      <c r="F150" s="426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51" t="str">
        <f>+VLOOKUP(LEFT($A151,LEN(A151)-1)*1,Master!$D$25:$G$223,4,FALSE)</f>
        <v>Otplata hartija od vrijednosti i kredita rezidentima</v>
      </c>
      <c r="C151" s="452"/>
      <c r="D151" s="452"/>
      <c r="E151" s="452"/>
      <c r="F151" s="452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27" t="str">
        <f>+VLOOKUP(LEFT($A152,LEN(A152)-1)*1,Master!$D$25:$G$223,4,FALSE)</f>
        <v>Otplata hartija od vrijednosti i kredita nerezidentima</v>
      </c>
      <c r="C152" s="428"/>
      <c r="D152" s="428"/>
      <c r="E152" s="428"/>
      <c r="F152" s="428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29" t="str">
        <f>+VLOOKUP(LEFT($A153,LEN(A153)-1)*1,Master!$D$25:$G$223,4,FALSE)</f>
        <v>Otplata obaveza iz prethodnih godina</v>
      </c>
      <c r="C153" s="430"/>
      <c r="D153" s="430"/>
      <c r="E153" s="430"/>
      <c r="F153" s="430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53" t="str">
        <f>+VLOOKUP(LEFT($A154,LEN(A154)-1)*1,Master!$D$25:$G$223,4,FALSE)</f>
        <v>Nedostajuća sredstva</v>
      </c>
      <c r="C154" s="454"/>
      <c r="D154" s="454"/>
      <c r="E154" s="454"/>
      <c r="F154" s="454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17" t="str">
        <f>+VLOOKUP(LEFT($A155,LEN(A155)-1)*1,Master!$D$25:$G$223,4,FALSE)</f>
        <v>Finansiranje</v>
      </c>
      <c r="C155" s="418"/>
      <c r="D155" s="418"/>
      <c r="E155" s="418"/>
      <c r="F155" s="418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51" t="str">
        <f>+VLOOKUP(LEFT($A156,LEN(A156)-1)*1,Master!$D$25:$G$223,4,FALSE)</f>
        <v>Pozajmice i krediti od domaćih izvora</v>
      </c>
      <c r="C156" s="452"/>
      <c r="D156" s="452"/>
      <c r="E156" s="452"/>
      <c r="F156" s="452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27" t="str">
        <f>+VLOOKUP(LEFT($A157,LEN(A157)-1)*1,Master!$D$25:$G$223,4,FALSE)</f>
        <v>Pozajmice i krediti od inostranih izvora</v>
      </c>
      <c r="C157" s="428"/>
      <c r="D157" s="428"/>
      <c r="E157" s="428"/>
      <c r="F157" s="428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27" t="str">
        <f>+VLOOKUP(LEFT($A158,LEN(A158)-1)*1,Master!$D$25:$G$223,4,FALSE)</f>
        <v>Primici od prodaje imovine</v>
      </c>
      <c r="C158" s="428"/>
      <c r="D158" s="428"/>
      <c r="E158" s="428"/>
      <c r="F158" s="428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Analitika - 2014</vt:lpstr>
      <vt:lpstr>Breakdown</vt:lpstr>
      <vt:lpstr>Analitika - 2017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Sheet1</vt:lpstr>
      <vt:lpstr>'2013'!_2013plan</vt:lpstr>
      <vt:lpstr>Dug!_2013plan</vt:lpstr>
      <vt:lpstr>'2014'!_2014plan</vt:lpstr>
      <vt:lpstr>'2015'!_2015plan</vt:lpstr>
      <vt:lpstr>'2016'!_2015plan</vt:lpstr>
      <vt:lpstr>'2017'!_2015plan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2017-03-01T13:10:49Z</cp:lastPrinted>
  <dcterms:created xsi:type="dcterms:W3CDTF">2014-09-15T13:41:17Z</dcterms:created>
  <dcterms:modified xsi:type="dcterms:W3CDTF">2017-03-31T12:37:55Z</dcterms:modified>
</cp:coreProperties>
</file>