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83AF032B-6D89-48F6-9431-D46A08A1E9B1}" xr6:coauthVersionLast="47" xr6:coauthVersionMax="47" xr10:uidLastSave="{00000000-0000-0000-0000-000000000000}"/>
  <workbookProtection workbookAlgorithmName="SHA-512" workbookHashValue="XceqJLTKAAV9I384mPsckja8+NJbjsv9hvDinzK59KOS709T8RS3P1RRtxIKudftwR9VKIihcuKb2FfkidRdjQ==" workbookSaltValue="3ovmbcv7QsI2A/7KwAvjlw==" workbookSpinCount="100000" lockStructure="1"/>
  <bookViews>
    <workbookView xWindow="-108" yWindow="-108" windowWidth="23256" windowHeight="12576" tabRatio="587" firstSheet="1" activeTab="2" xr2:uid="{00000000-000D-0000-FFFF-FFFF00000000}"/>
  </bookViews>
  <sheets>
    <sheet name="Analitika - 2014" sheetId="3" state="hidden" r:id="rId1"/>
    <sheet name="Breakdown" sheetId="1" r:id="rId2"/>
    <sheet name="Analytics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5" i="22" l="1"/>
  <c r="H5" i="22"/>
  <c r="I5" i="22"/>
  <c r="J5" i="22"/>
  <c r="K5" i="22"/>
  <c r="L5" i="22"/>
  <c r="M5" i="22"/>
  <c r="N5" i="22"/>
  <c r="O5" i="22"/>
  <c r="O12" i="11" l="1"/>
  <c r="O13" i="11"/>
  <c r="O14" i="11"/>
  <c r="O15" i="11"/>
  <c r="O16" i="11"/>
  <c r="O17" i="11"/>
  <c r="O18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6" i="11"/>
  <c r="O57" i="11"/>
  <c r="O58" i="11"/>
  <c r="O61" i="11"/>
  <c r="O62" i="11"/>
  <c r="O63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H12" i="11"/>
  <c r="H13" i="11"/>
  <c r="H14" i="11"/>
  <c r="H15" i="11"/>
  <c r="H16" i="11"/>
  <c r="H17" i="11"/>
  <c r="H18" i="11"/>
  <c r="H20" i="11"/>
  <c r="H21" i="11"/>
  <c r="H22" i="11"/>
  <c r="H23" i="11"/>
  <c r="H24" i="11"/>
  <c r="H25" i="11"/>
  <c r="H26" i="11"/>
  <c r="H27" i="11"/>
  <c r="H28" i="11"/>
  <c r="H31" i="11"/>
  <c r="H32" i="11"/>
  <c r="H33" i="11"/>
  <c r="H34" i="11"/>
  <c r="H35" i="11"/>
  <c r="H36" i="11"/>
  <c r="H37" i="11"/>
  <c r="H38" i="11"/>
  <c r="H39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6" i="11"/>
  <c r="H57" i="11"/>
  <c r="H58" i="11"/>
  <c r="H61" i="11"/>
  <c r="H62" i="11"/>
  <c r="H63" i="11"/>
  <c r="P19" i="22" l="1"/>
  <c r="N19" i="11" s="1"/>
  <c r="S121" i="22" l="1"/>
  <c r="M129" i="22" l="1"/>
  <c r="G5" i="19" l="1"/>
  <c r="H5" i="19"/>
  <c r="I5" i="19"/>
  <c r="J5" i="19"/>
  <c r="K5" i="19"/>
  <c r="L5" i="19"/>
  <c r="M5" i="19"/>
  <c r="N5" i="19"/>
  <c r="O5" i="19"/>
  <c r="P5" i="19"/>
  <c r="Q5" i="19"/>
  <c r="R5" i="19"/>
  <c r="H17" i="1" l="1"/>
  <c r="H21" i="1" s="1"/>
  <c r="G17" i="1"/>
  <c r="G21" i="1" s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55" i="11" s="1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40" i="11" s="1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30" i="11" s="1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19" i="11" s="1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11" i="11" s="1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N55" i="11" s="1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11" s="1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T34" i="22" s="1"/>
  <c r="S33" i="22"/>
  <c r="T33" i="22" s="1"/>
  <c r="S32" i="22"/>
  <c r="T32" i="22" s="1"/>
  <c r="R30" i="22"/>
  <c r="P30" i="22"/>
  <c r="N30" i="11" s="1"/>
  <c r="N30" i="22"/>
  <c r="L30" i="22"/>
  <c r="J30" i="22"/>
  <c r="H30" i="22"/>
  <c r="S31" i="22"/>
  <c r="T31" i="22" s="1"/>
  <c r="Q30" i="22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H40" i="11" l="1"/>
  <c r="P10" i="22"/>
  <c r="N10" i="11" s="1"/>
  <c r="N11" i="11"/>
  <c r="H19" i="11"/>
  <c r="H30" i="11"/>
  <c r="H11" i="11"/>
  <c r="H55" i="11"/>
  <c r="T26" i="22"/>
  <c r="G26" i="11"/>
  <c r="P103" i="22"/>
  <c r="O29" i="11" s="1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O10" i="11" s="1"/>
  <c r="I84" i="22"/>
  <c r="K84" i="22"/>
  <c r="M84" i="22"/>
  <c r="O84" i="22"/>
  <c r="Q84" i="22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4" i="11"/>
  <c r="G33" i="11"/>
  <c r="G32" i="11"/>
  <c r="G61" i="11"/>
  <c r="G62" i="11"/>
  <c r="G63" i="11"/>
  <c r="G27" i="11"/>
  <c r="G28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Q53" i="22" s="1"/>
  <c r="Q54" i="22" s="1"/>
  <c r="J29" i="22"/>
  <c r="N29" i="22"/>
  <c r="R29" i="22"/>
  <c r="S40" i="22"/>
  <c r="T40" i="22" s="1"/>
  <c r="S19" i="22"/>
  <c r="T19" i="22" s="1"/>
  <c r="S30" i="22"/>
  <c r="T30" i="22" s="1"/>
  <c r="H29" i="11" l="1"/>
  <c r="H10" i="11"/>
  <c r="P53" i="22"/>
  <c r="N53" i="11" s="1"/>
  <c r="N29" i="11"/>
  <c r="Q29" i="11" s="1"/>
  <c r="P127" i="22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L53" i="22"/>
  <c r="L59" i="22" s="1"/>
  <c r="K127" i="22"/>
  <c r="K53" i="22"/>
  <c r="K54" i="22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R54" i="22" s="1"/>
  <c r="I59" i="22"/>
  <c r="Q59" i="22"/>
  <c r="Q64" i="22" s="1"/>
  <c r="Q60" i="22" s="1"/>
  <c r="P128" i="22"/>
  <c r="O54" i="11" s="1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P59" i="22"/>
  <c r="O54" i="22"/>
  <c r="J53" i="22"/>
  <c r="A145" i="19"/>
  <c r="A144" i="19"/>
  <c r="A151" i="19"/>
  <c r="A157" i="19"/>
  <c r="A152" i="19"/>
  <c r="A153" i="19"/>
  <c r="H53" i="11" l="1"/>
  <c r="P133" i="22"/>
  <c r="O53" i="11"/>
  <c r="P54" i="22"/>
  <c r="N54" i="11" s="1"/>
  <c r="P64" i="22"/>
  <c r="N64" i="11" s="1"/>
  <c r="N59" i="11"/>
  <c r="P60" i="22"/>
  <c r="N60" i="11" s="1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H59" i="11" l="1"/>
  <c r="H54" i="11"/>
  <c r="P138" i="22"/>
  <c r="O59" i="11"/>
  <c r="O64" i="22"/>
  <c r="N64" i="22"/>
  <c r="G12" i="1"/>
  <c r="H12" i="1" s="1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138" i="22"/>
  <c r="H64" i="11" s="1"/>
  <c r="S133" i="22"/>
  <c r="Q54" i="11"/>
  <c r="S128" i="22"/>
  <c r="P134" i="22" l="1"/>
  <c r="O60" i="11" s="1"/>
  <c r="O64" i="11"/>
  <c r="O60" i="22"/>
  <c r="N60" i="22"/>
  <c r="Q59" i="11"/>
  <c r="M134" i="22"/>
  <c r="G54" i="11"/>
  <c r="M60" i="22"/>
  <c r="J60" i="22"/>
  <c r="T128" i="22"/>
  <c r="T133" i="22"/>
  <c r="I134" i="22"/>
  <c r="H60" i="22"/>
  <c r="I53" i="11"/>
  <c r="H20" i="1"/>
  <c r="S64" i="22"/>
  <c r="T64" i="22" s="1"/>
  <c r="J53" i="11"/>
  <c r="G60" i="22"/>
  <c r="G59" i="11"/>
  <c r="S138" i="22"/>
  <c r="G134" i="22"/>
  <c r="GC35" i="6"/>
  <c r="GC28" i="6"/>
  <c r="GC23" i="6"/>
  <c r="GC18" i="6"/>
  <c r="GC10" i="6"/>
  <c r="H60" i="11" l="1"/>
  <c r="I54" i="11"/>
  <c r="Q64" i="11"/>
  <c r="S60" i="22"/>
  <c r="T60" i="22" s="1"/>
  <c r="J54" i="11"/>
  <c r="T138" i="22"/>
  <c r="G64" i="11"/>
  <c r="J59" i="11"/>
  <c r="I59" i="11"/>
  <c r="S134" i="22"/>
  <c r="Q60" i="11"/>
  <c r="GB35" i="6"/>
  <c r="GB28" i="6"/>
  <c r="GB23" i="6"/>
  <c r="GB18" i="6"/>
  <c r="GB10" i="6"/>
  <c r="G60" i="11" l="1"/>
  <c r="J60" i="11" s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R48" i="11" s="1"/>
  <c r="Q48" i="19"/>
  <c r="R48" i="19"/>
  <c r="H48" i="19"/>
  <c r="G48" i="19"/>
  <c r="K48" i="11" s="1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S53" i="20"/>
  <c r="T53" i="20" s="1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R63" i="11" s="1"/>
  <c r="O63" i="19"/>
  <c r="N63" i="19"/>
  <c r="M63" i="19"/>
  <c r="L63" i="19"/>
  <c r="K63" i="19"/>
  <c r="J63" i="19"/>
  <c r="I63" i="19"/>
  <c r="H63" i="19"/>
  <c r="G63" i="19"/>
  <c r="R62" i="19"/>
  <c r="Q62" i="19"/>
  <c r="P62" i="19"/>
  <c r="R62" i="11" s="1"/>
  <c r="O62" i="19"/>
  <c r="N62" i="19"/>
  <c r="M62" i="19"/>
  <c r="L62" i="19"/>
  <c r="K62" i="19"/>
  <c r="J62" i="19"/>
  <c r="I62" i="19"/>
  <c r="H62" i="19"/>
  <c r="G62" i="19"/>
  <c r="R61" i="19"/>
  <c r="Q61" i="19"/>
  <c r="P61" i="19"/>
  <c r="R61" i="11" s="1"/>
  <c r="O61" i="19"/>
  <c r="N61" i="19"/>
  <c r="M61" i="19"/>
  <c r="L61" i="19"/>
  <c r="K61" i="19"/>
  <c r="J61" i="19"/>
  <c r="I61" i="19"/>
  <c r="H61" i="19"/>
  <c r="G61" i="19"/>
  <c r="R58" i="19"/>
  <c r="Q58" i="19"/>
  <c r="P58" i="19"/>
  <c r="R58" i="11" s="1"/>
  <c r="O58" i="19"/>
  <c r="N58" i="19"/>
  <c r="M58" i="19"/>
  <c r="L58" i="19"/>
  <c r="K58" i="19"/>
  <c r="J58" i="19"/>
  <c r="I58" i="19"/>
  <c r="H58" i="19"/>
  <c r="G58" i="19"/>
  <c r="R57" i="19"/>
  <c r="Q57" i="19"/>
  <c r="P57" i="19"/>
  <c r="R57" i="11" s="1"/>
  <c r="O57" i="19"/>
  <c r="N57" i="19"/>
  <c r="M57" i="19"/>
  <c r="L57" i="19"/>
  <c r="K57" i="19"/>
  <c r="J57" i="19"/>
  <c r="I57" i="19"/>
  <c r="H57" i="19"/>
  <c r="G57" i="19"/>
  <c r="R56" i="19"/>
  <c r="Q56" i="19"/>
  <c r="P56" i="19"/>
  <c r="R56" i="11" s="1"/>
  <c r="O56" i="19"/>
  <c r="N56" i="19"/>
  <c r="M56" i="19"/>
  <c r="L56" i="19"/>
  <c r="K56" i="19"/>
  <c r="J56" i="19"/>
  <c r="I56" i="19"/>
  <c r="H56" i="19"/>
  <c r="G56" i="19"/>
  <c r="R52" i="19"/>
  <c r="Q52" i="19"/>
  <c r="P52" i="19"/>
  <c r="R52" i="11" s="1"/>
  <c r="O52" i="19"/>
  <c r="N52" i="19"/>
  <c r="M52" i="19"/>
  <c r="L52" i="19"/>
  <c r="K52" i="19"/>
  <c r="J52" i="19"/>
  <c r="I52" i="19"/>
  <c r="H52" i="19"/>
  <c r="G52" i="19"/>
  <c r="R51" i="19"/>
  <c r="Q51" i="19"/>
  <c r="P51" i="19"/>
  <c r="R51" i="11" s="1"/>
  <c r="O51" i="19"/>
  <c r="N51" i="19"/>
  <c r="M51" i="19"/>
  <c r="L51" i="19"/>
  <c r="K51" i="19"/>
  <c r="J51" i="19"/>
  <c r="I51" i="19"/>
  <c r="H51" i="19"/>
  <c r="G51" i="19"/>
  <c r="R50" i="19"/>
  <c r="Q50" i="19"/>
  <c r="P50" i="19"/>
  <c r="R50" i="11" s="1"/>
  <c r="O50" i="19"/>
  <c r="N50" i="19"/>
  <c r="M50" i="19"/>
  <c r="L50" i="19"/>
  <c r="K50" i="19"/>
  <c r="J50" i="19"/>
  <c r="I50" i="19"/>
  <c r="H50" i="19"/>
  <c r="G50" i="19"/>
  <c r="R49" i="19"/>
  <c r="Q49" i="19"/>
  <c r="P49" i="19"/>
  <c r="R49" i="11" s="1"/>
  <c r="O49" i="19"/>
  <c r="N49" i="19"/>
  <c r="M49" i="19"/>
  <c r="L49" i="19"/>
  <c r="K49" i="19"/>
  <c r="J49" i="19"/>
  <c r="I49" i="19"/>
  <c r="H49" i="19"/>
  <c r="G49" i="19"/>
  <c r="R47" i="19"/>
  <c r="Q47" i="19"/>
  <c r="P47" i="19"/>
  <c r="R47" i="11" s="1"/>
  <c r="O47" i="19"/>
  <c r="N47" i="19"/>
  <c r="M47" i="19"/>
  <c r="L47" i="19"/>
  <c r="K47" i="19"/>
  <c r="J47" i="19"/>
  <c r="I47" i="19"/>
  <c r="H47" i="19"/>
  <c r="G47" i="19"/>
  <c r="R46" i="19"/>
  <c r="Q46" i="19"/>
  <c r="P46" i="19"/>
  <c r="R46" i="11" s="1"/>
  <c r="O46" i="19"/>
  <c r="N46" i="19"/>
  <c r="M46" i="19"/>
  <c r="L46" i="19"/>
  <c r="K46" i="19"/>
  <c r="J46" i="19"/>
  <c r="I46" i="19"/>
  <c r="H46" i="19"/>
  <c r="G46" i="19"/>
  <c r="R45" i="19"/>
  <c r="Q45" i="19"/>
  <c r="P45" i="19"/>
  <c r="R45" i="11" s="1"/>
  <c r="O45" i="19"/>
  <c r="N45" i="19"/>
  <c r="M45" i="19"/>
  <c r="L45" i="19"/>
  <c r="K45" i="19"/>
  <c r="J45" i="19"/>
  <c r="I45" i="19"/>
  <c r="H45" i="19"/>
  <c r="G45" i="19"/>
  <c r="R44" i="19"/>
  <c r="Q44" i="19"/>
  <c r="P44" i="19"/>
  <c r="R44" i="11" s="1"/>
  <c r="O44" i="19"/>
  <c r="N44" i="19"/>
  <c r="M44" i="19"/>
  <c r="L44" i="19"/>
  <c r="K44" i="19"/>
  <c r="J44" i="19"/>
  <c r="I44" i="19"/>
  <c r="H44" i="19"/>
  <c r="G44" i="19"/>
  <c r="R43" i="19"/>
  <c r="Q43" i="19"/>
  <c r="P43" i="19"/>
  <c r="R43" i="11" s="1"/>
  <c r="O43" i="19"/>
  <c r="N43" i="19"/>
  <c r="M43" i="19"/>
  <c r="L43" i="19"/>
  <c r="K43" i="19"/>
  <c r="J43" i="19"/>
  <c r="I43" i="19"/>
  <c r="H43" i="19"/>
  <c r="G43" i="19"/>
  <c r="R42" i="19"/>
  <c r="Q42" i="19"/>
  <c r="P42" i="19"/>
  <c r="R42" i="11" s="1"/>
  <c r="O42" i="19"/>
  <c r="N42" i="19"/>
  <c r="M42" i="19"/>
  <c r="L42" i="19"/>
  <c r="K42" i="19"/>
  <c r="J42" i="19"/>
  <c r="I42" i="19"/>
  <c r="H42" i="19"/>
  <c r="G42" i="19"/>
  <c r="R41" i="19"/>
  <c r="Q41" i="19"/>
  <c r="P41" i="19"/>
  <c r="R41" i="11" s="1"/>
  <c r="O41" i="19"/>
  <c r="N41" i="19"/>
  <c r="M41" i="19"/>
  <c r="L41" i="19"/>
  <c r="K41" i="19"/>
  <c r="J41" i="19"/>
  <c r="I41" i="19"/>
  <c r="H41" i="19"/>
  <c r="G41" i="19"/>
  <c r="R39" i="19"/>
  <c r="Q39" i="19"/>
  <c r="P39" i="19"/>
  <c r="R39" i="11" s="1"/>
  <c r="O39" i="19"/>
  <c r="N39" i="19"/>
  <c r="M39" i="19"/>
  <c r="L39" i="19"/>
  <c r="K39" i="19"/>
  <c r="J39" i="19"/>
  <c r="I39" i="19"/>
  <c r="H39" i="19"/>
  <c r="G39" i="19"/>
  <c r="R38" i="19"/>
  <c r="Q38" i="19"/>
  <c r="P38" i="19"/>
  <c r="R38" i="11" s="1"/>
  <c r="O38" i="19"/>
  <c r="N38" i="19"/>
  <c r="M38" i="19"/>
  <c r="L38" i="19"/>
  <c r="K38" i="19"/>
  <c r="J38" i="19"/>
  <c r="I38" i="19"/>
  <c r="H38" i="19"/>
  <c r="G38" i="19"/>
  <c r="R37" i="19"/>
  <c r="Q37" i="19"/>
  <c r="P37" i="19"/>
  <c r="R37" i="11" s="1"/>
  <c r="O37" i="19"/>
  <c r="N37" i="19"/>
  <c r="M37" i="19"/>
  <c r="L37" i="19"/>
  <c r="K37" i="19"/>
  <c r="J37" i="19"/>
  <c r="I37" i="19"/>
  <c r="H37" i="19"/>
  <c r="G37" i="19"/>
  <c r="R36" i="19"/>
  <c r="Q36" i="19"/>
  <c r="P36" i="19"/>
  <c r="R36" i="11" s="1"/>
  <c r="O36" i="19"/>
  <c r="N36" i="19"/>
  <c r="M36" i="19"/>
  <c r="L36" i="19"/>
  <c r="K36" i="19"/>
  <c r="J36" i="19"/>
  <c r="I36" i="19"/>
  <c r="H36" i="19"/>
  <c r="G36" i="19"/>
  <c r="R35" i="19"/>
  <c r="Q35" i="19"/>
  <c r="P35" i="19"/>
  <c r="R35" i="11" s="1"/>
  <c r="O35" i="19"/>
  <c r="N35" i="19"/>
  <c r="M35" i="19"/>
  <c r="L35" i="19"/>
  <c r="K35" i="19"/>
  <c r="J35" i="19"/>
  <c r="I35" i="19"/>
  <c r="H35" i="19"/>
  <c r="G35" i="19"/>
  <c r="R34" i="19"/>
  <c r="Q34" i="19"/>
  <c r="P34" i="19"/>
  <c r="R34" i="11" s="1"/>
  <c r="O34" i="19"/>
  <c r="N34" i="19"/>
  <c r="M34" i="19"/>
  <c r="L34" i="19"/>
  <c r="K34" i="19"/>
  <c r="J34" i="19"/>
  <c r="I34" i="19"/>
  <c r="H34" i="19"/>
  <c r="G34" i="19"/>
  <c r="R33" i="19"/>
  <c r="Q33" i="19"/>
  <c r="P33" i="19"/>
  <c r="R33" i="11" s="1"/>
  <c r="O33" i="19"/>
  <c r="N33" i="19"/>
  <c r="M33" i="19"/>
  <c r="L33" i="19"/>
  <c r="K33" i="19"/>
  <c r="J33" i="19"/>
  <c r="I33" i="19"/>
  <c r="H33" i="19"/>
  <c r="G33" i="19"/>
  <c r="R32" i="19"/>
  <c r="Q32" i="19"/>
  <c r="P32" i="19"/>
  <c r="R32" i="11" s="1"/>
  <c r="O32" i="19"/>
  <c r="N32" i="19"/>
  <c r="M32" i="19"/>
  <c r="L32" i="19"/>
  <c r="K32" i="19"/>
  <c r="J32" i="19"/>
  <c r="I32" i="19"/>
  <c r="H32" i="19"/>
  <c r="G32" i="19"/>
  <c r="R31" i="19"/>
  <c r="Q31" i="19"/>
  <c r="P31" i="19"/>
  <c r="R31" i="11" s="1"/>
  <c r="O31" i="19"/>
  <c r="N31" i="19"/>
  <c r="M31" i="19"/>
  <c r="L31" i="19"/>
  <c r="K31" i="19"/>
  <c r="J31" i="19"/>
  <c r="I31" i="19"/>
  <c r="H31" i="19"/>
  <c r="G31" i="19"/>
  <c r="R28" i="19"/>
  <c r="Q28" i="19"/>
  <c r="P28" i="19"/>
  <c r="R28" i="11" s="1"/>
  <c r="O28" i="19"/>
  <c r="N28" i="19"/>
  <c r="M28" i="19"/>
  <c r="L28" i="19"/>
  <c r="K28" i="19"/>
  <c r="J28" i="19"/>
  <c r="I28" i="19"/>
  <c r="H28" i="19"/>
  <c r="G28" i="19"/>
  <c r="R27" i="19"/>
  <c r="Q27" i="19"/>
  <c r="P27" i="19"/>
  <c r="R27" i="11" s="1"/>
  <c r="O27" i="19"/>
  <c r="N27" i="19"/>
  <c r="M27" i="19"/>
  <c r="L27" i="19"/>
  <c r="K27" i="19"/>
  <c r="J27" i="19"/>
  <c r="I27" i="19"/>
  <c r="H27" i="19"/>
  <c r="G27" i="19"/>
  <c r="R26" i="19"/>
  <c r="Q26" i="19"/>
  <c r="P26" i="19"/>
  <c r="R26" i="11" s="1"/>
  <c r="O26" i="19"/>
  <c r="N26" i="19"/>
  <c r="M26" i="19"/>
  <c r="L26" i="19"/>
  <c r="K26" i="19"/>
  <c r="J26" i="19"/>
  <c r="I26" i="19"/>
  <c r="H26" i="19"/>
  <c r="G26" i="19"/>
  <c r="R25" i="19"/>
  <c r="Q25" i="19"/>
  <c r="P25" i="19"/>
  <c r="R25" i="11" s="1"/>
  <c r="O25" i="19"/>
  <c r="N25" i="19"/>
  <c r="M25" i="19"/>
  <c r="L25" i="19"/>
  <c r="K25" i="19"/>
  <c r="J25" i="19"/>
  <c r="I25" i="19"/>
  <c r="H25" i="19"/>
  <c r="G25" i="19"/>
  <c r="R24" i="19"/>
  <c r="Q24" i="19"/>
  <c r="P24" i="19"/>
  <c r="R24" i="11" s="1"/>
  <c r="O24" i="19"/>
  <c r="N24" i="19"/>
  <c r="M24" i="19"/>
  <c r="L24" i="19"/>
  <c r="K24" i="19"/>
  <c r="J24" i="19"/>
  <c r="I24" i="19"/>
  <c r="H24" i="19"/>
  <c r="G24" i="19"/>
  <c r="R23" i="19"/>
  <c r="Q23" i="19"/>
  <c r="P23" i="19"/>
  <c r="R23" i="11" s="1"/>
  <c r="O23" i="19"/>
  <c r="N23" i="19"/>
  <c r="M23" i="19"/>
  <c r="L23" i="19"/>
  <c r="K23" i="19"/>
  <c r="J23" i="19"/>
  <c r="I23" i="19"/>
  <c r="H23" i="19"/>
  <c r="G23" i="19"/>
  <c r="R22" i="19"/>
  <c r="Q22" i="19"/>
  <c r="P22" i="19"/>
  <c r="R22" i="11" s="1"/>
  <c r="O22" i="19"/>
  <c r="N22" i="19"/>
  <c r="M22" i="19"/>
  <c r="L22" i="19"/>
  <c r="K22" i="19"/>
  <c r="J22" i="19"/>
  <c r="I22" i="19"/>
  <c r="H22" i="19"/>
  <c r="G22" i="19"/>
  <c r="R21" i="19"/>
  <c r="Q21" i="19"/>
  <c r="P21" i="19"/>
  <c r="R21" i="11" s="1"/>
  <c r="O21" i="19"/>
  <c r="N21" i="19"/>
  <c r="M21" i="19"/>
  <c r="L21" i="19"/>
  <c r="K21" i="19"/>
  <c r="J21" i="19"/>
  <c r="I21" i="19"/>
  <c r="H21" i="19"/>
  <c r="G21" i="19"/>
  <c r="R20" i="19"/>
  <c r="Q20" i="19"/>
  <c r="P20" i="19"/>
  <c r="R20" i="11" s="1"/>
  <c r="O20" i="19"/>
  <c r="N20" i="19"/>
  <c r="M20" i="19"/>
  <c r="L20" i="19"/>
  <c r="K20" i="19"/>
  <c r="J20" i="19"/>
  <c r="I20" i="19"/>
  <c r="H20" i="19"/>
  <c r="G20" i="19"/>
  <c r="R19" i="19"/>
  <c r="Q19" i="19"/>
  <c r="P19" i="19"/>
  <c r="R19" i="11" s="1"/>
  <c r="O19" i="19"/>
  <c r="N19" i="19"/>
  <c r="M19" i="19"/>
  <c r="L19" i="19"/>
  <c r="K19" i="19"/>
  <c r="J19" i="19"/>
  <c r="I19" i="19"/>
  <c r="H19" i="19"/>
  <c r="G19" i="19"/>
  <c r="R18" i="19"/>
  <c r="Q18" i="19"/>
  <c r="P18" i="19"/>
  <c r="R18" i="11" s="1"/>
  <c r="O18" i="19"/>
  <c r="N18" i="19"/>
  <c r="M18" i="19"/>
  <c r="L18" i="19"/>
  <c r="K18" i="19"/>
  <c r="J18" i="19"/>
  <c r="I18" i="19"/>
  <c r="H18" i="19"/>
  <c r="G18" i="19"/>
  <c r="R17" i="19"/>
  <c r="Q17" i="19"/>
  <c r="P17" i="19"/>
  <c r="R17" i="11" s="1"/>
  <c r="O17" i="19"/>
  <c r="N17" i="19"/>
  <c r="M17" i="19"/>
  <c r="L17" i="19"/>
  <c r="K17" i="19"/>
  <c r="J17" i="19"/>
  <c r="I17" i="19"/>
  <c r="H17" i="19"/>
  <c r="G17" i="19"/>
  <c r="R16" i="19"/>
  <c r="Q16" i="19"/>
  <c r="P16" i="19"/>
  <c r="R16" i="11" s="1"/>
  <c r="O16" i="19"/>
  <c r="N16" i="19"/>
  <c r="M16" i="19"/>
  <c r="L16" i="19"/>
  <c r="K16" i="19"/>
  <c r="J16" i="19"/>
  <c r="I16" i="19"/>
  <c r="H16" i="19"/>
  <c r="G16" i="19"/>
  <c r="R15" i="19"/>
  <c r="Q15" i="19"/>
  <c r="P15" i="19"/>
  <c r="R15" i="11" s="1"/>
  <c r="O15" i="19"/>
  <c r="N15" i="19"/>
  <c r="M15" i="19"/>
  <c r="L15" i="19"/>
  <c r="K15" i="19"/>
  <c r="J15" i="19"/>
  <c r="I15" i="19"/>
  <c r="H15" i="19"/>
  <c r="G15" i="19"/>
  <c r="R14" i="19"/>
  <c r="Q14" i="19"/>
  <c r="P14" i="19"/>
  <c r="R14" i="11" s="1"/>
  <c r="O14" i="19"/>
  <c r="N14" i="19"/>
  <c r="M14" i="19"/>
  <c r="L14" i="19"/>
  <c r="K14" i="19"/>
  <c r="J14" i="19"/>
  <c r="I14" i="19"/>
  <c r="H14" i="19"/>
  <c r="G14" i="19"/>
  <c r="R13" i="19"/>
  <c r="Q13" i="19"/>
  <c r="P13" i="19"/>
  <c r="R13" i="11" s="1"/>
  <c r="O13" i="19"/>
  <c r="N13" i="19"/>
  <c r="M13" i="19"/>
  <c r="L13" i="19"/>
  <c r="K13" i="19"/>
  <c r="J13" i="19"/>
  <c r="I13" i="19"/>
  <c r="H13" i="19"/>
  <c r="G13" i="19"/>
  <c r="R12" i="19"/>
  <c r="Q12" i="19"/>
  <c r="P12" i="19"/>
  <c r="R12" i="11" s="1"/>
  <c r="O12" i="19"/>
  <c r="N12" i="19"/>
  <c r="M12" i="19"/>
  <c r="L12" i="19"/>
  <c r="K12" i="19"/>
  <c r="J12" i="19"/>
  <c r="I12" i="19"/>
  <c r="H12" i="19"/>
  <c r="G12" i="19"/>
  <c r="K12" i="11" l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9" i="11"/>
  <c r="K50" i="11"/>
  <c r="K51" i="11"/>
  <c r="K52" i="11"/>
  <c r="K56" i="11"/>
  <c r="K57" i="11"/>
  <c r="K58" i="11"/>
  <c r="K61" i="11"/>
  <c r="K62" i="11"/>
  <c r="K63" i="11"/>
  <c r="S62" i="19"/>
  <c r="T62" i="19" s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R11" i="11" s="1"/>
  <c r="H40" i="19"/>
  <c r="L40" i="19"/>
  <c r="P40" i="19"/>
  <c r="R40" i="11" s="1"/>
  <c r="I11" i="19"/>
  <c r="M11" i="19"/>
  <c r="Q11" i="19"/>
  <c r="H30" i="19"/>
  <c r="P30" i="19"/>
  <c r="R30" i="11" s="1"/>
  <c r="K55" i="19"/>
  <c r="O55" i="19"/>
  <c r="S49" i="19"/>
  <c r="T49" i="19" s="1"/>
  <c r="S58" i="19"/>
  <c r="T58" i="19" s="1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R55" i="11" s="1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K11" i="11" l="1"/>
  <c r="K30" i="11"/>
  <c r="K40" i="11"/>
  <c r="K55" i="11"/>
  <c r="T40" i="1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R10" i="11" s="1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R29" i="11" s="1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K29" i="11" l="1"/>
  <c r="K10" i="11"/>
  <c r="L10" i="11" s="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1" s="1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K53" i="11" l="1"/>
  <c r="G54" i="19"/>
  <c r="T53" i="11"/>
  <c r="M10" i="11"/>
  <c r="L29" i="11"/>
  <c r="M29" i="11"/>
  <c r="R157" i="19"/>
  <c r="M152" i="19"/>
  <c r="R54" i="19"/>
  <c r="Q54" i="19"/>
  <c r="P153" i="19"/>
  <c r="P54" i="19"/>
  <c r="R54" i="11" s="1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R59" i="11" s="1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K59" i="11" l="1"/>
  <c r="K54" i="11"/>
  <c r="L53" i="11"/>
  <c r="M53" i="11"/>
  <c r="T59" i="11"/>
  <c r="T54" i="11"/>
  <c r="R153" i="19"/>
  <c r="R64" i="19"/>
  <c r="Q64" i="19"/>
  <c r="P64" i="19"/>
  <c r="R64" i="11" s="1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K64" i="11" l="1"/>
  <c r="T64" i="11"/>
  <c r="M54" i="11"/>
  <c r="L54" i="11"/>
  <c r="M59" i="11"/>
  <c r="L59" i="11"/>
  <c r="R60" i="19"/>
  <c r="Q60" i="19"/>
  <c r="P60" i="19"/>
  <c r="R60" i="11" s="1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K60" i="11" l="1"/>
  <c r="T60" i="1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DD320" i="6"/>
  <c r="CZ385" i="6"/>
  <c r="DP385" i="6"/>
  <c r="CT350" i="6"/>
  <c r="DR350" i="6"/>
  <c r="CS350" i="6"/>
  <c r="DA350" i="6"/>
  <c r="CR385" i="6" l="1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G253" i="2" l="1"/>
  <c r="B7" i="11" s="1"/>
  <c r="S60" i="1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<sst xmlns="http://schemas.openxmlformats.org/spreadsheetml/2006/main" count="1728" uniqueCount="828">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</sst>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 xr:uid="{00000000-0005-0000-0000-00004A000000}"/>
    <cellStyle name="Explanatory Text" xfId="16" builtinId="53" customBuiltin="1"/>
    <cellStyle name="F2" xfId="47" xr:uid="{00000000-0005-0000-0000-00004C000000}"/>
    <cellStyle name="F3" xfId="48" xr:uid="{00000000-0005-0000-0000-00004D000000}"/>
    <cellStyle name="F4" xfId="49" xr:uid="{00000000-0005-0000-0000-00004E000000}"/>
    <cellStyle name="F5" xfId="50" xr:uid="{00000000-0005-0000-0000-00004F000000}"/>
    <cellStyle name="F6" xfId="51" xr:uid="{00000000-0005-0000-0000-000050000000}"/>
    <cellStyle name="F7" xfId="52" xr:uid="{00000000-0005-0000-0000-000051000000}"/>
    <cellStyle name="F8" xfId="53" xr:uid="{00000000-0005-0000-0000-000052000000}"/>
    <cellStyle name="Fixed" xfId="54" xr:uid="{00000000-0005-0000-0000-000053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9000000}"/>
    <cellStyle name="HEADING2" xfId="56" xr:uid="{00000000-0005-0000-0000-00005A000000}"/>
    <cellStyle name="imf-one decimal" xfId="57" xr:uid="{00000000-0005-0000-0000-00005B000000}"/>
    <cellStyle name="imf-one decimal 2" xfId="114" xr:uid="{00000000-0005-0000-0000-00005C000000}"/>
    <cellStyle name="imf-zero decimal" xfId="58" xr:uid="{00000000-0005-0000-0000-00005D000000}"/>
    <cellStyle name="imf-zero decimal 2" xfId="115" xr:uid="{00000000-0005-0000-0000-00005E000000}"/>
    <cellStyle name="Input" xfId="10" builtinId="20" customBuiltin="1"/>
    <cellStyle name="Label" xfId="59" xr:uid="{00000000-0005-0000-0000-000060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4000000}"/>
    <cellStyle name="Normal - Style2" xfId="61" xr:uid="{00000000-0005-0000-0000-000065000000}"/>
    <cellStyle name="Normal - Style3" xfId="62" xr:uid="{00000000-0005-0000-0000-000066000000}"/>
    <cellStyle name="Normal 10" xfId="74" xr:uid="{00000000-0005-0000-0000-000067000000}"/>
    <cellStyle name="Normal 10 2" xfId="154" xr:uid="{00000000-0005-0000-0000-000068000000}"/>
    <cellStyle name="Normal 11" xfId="75" xr:uid="{00000000-0005-0000-0000-000069000000}"/>
    <cellStyle name="Normal 11 2" xfId="155" xr:uid="{00000000-0005-0000-0000-00006A000000}"/>
    <cellStyle name="Normal 12" xfId="76" xr:uid="{00000000-0005-0000-0000-00006B000000}"/>
    <cellStyle name="Normal 12 2" xfId="156" xr:uid="{00000000-0005-0000-0000-00006C000000}"/>
    <cellStyle name="Normal 13" xfId="77" xr:uid="{00000000-0005-0000-0000-00006D000000}"/>
    <cellStyle name="Normal 14" xfId="86" xr:uid="{00000000-0005-0000-0000-00006E000000}"/>
    <cellStyle name="Normal 14 2" xfId="157" xr:uid="{00000000-0005-0000-0000-00006F000000}"/>
    <cellStyle name="Normal 15" xfId="88" xr:uid="{00000000-0005-0000-0000-000070000000}"/>
    <cellStyle name="Normal 15 2" xfId="159" xr:uid="{00000000-0005-0000-0000-000071000000}"/>
    <cellStyle name="Normal 16" xfId="92" xr:uid="{00000000-0005-0000-0000-000072000000}"/>
    <cellStyle name="Normal 16 2" xfId="116" xr:uid="{00000000-0005-0000-0000-000073000000}"/>
    <cellStyle name="Normal 16 2 2" xfId="182" xr:uid="{00000000-0005-0000-0000-000074000000}"/>
    <cellStyle name="Normal 16 3" xfId="163" xr:uid="{00000000-0005-0000-0000-000075000000}"/>
    <cellStyle name="Normal 17" xfId="94" xr:uid="{00000000-0005-0000-0000-000076000000}"/>
    <cellStyle name="Normal 17 2" xfId="117" xr:uid="{00000000-0005-0000-0000-000077000000}"/>
    <cellStyle name="Normal 17 2 2" xfId="183" xr:uid="{00000000-0005-0000-0000-000078000000}"/>
    <cellStyle name="Normal 17 3" xfId="165" xr:uid="{00000000-0005-0000-0000-000079000000}"/>
    <cellStyle name="Normal 18" xfId="95" xr:uid="{00000000-0005-0000-0000-00007A000000}"/>
    <cellStyle name="Normal 18 2" xfId="166" xr:uid="{00000000-0005-0000-0000-00007B000000}"/>
    <cellStyle name="Normal 19" xfId="90" xr:uid="{00000000-0005-0000-0000-00007C000000}"/>
    <cellStyle name="Normal 19 2" xfId="118" xr:uid="{00000000-0005-0000-0000-00007D000000}"/>
    <cellStyle name="Normal 19 2 2" xfId="184" xr:uid="{00000000-0005-0000-0000-00007E000000}"/>
    <cellStyle name="Normal 19 3" xfId="161" xr:uid="{00000000-0005-0000-0000-00007F000000}"/>
    <cellStyle name="Normal 2" xfId="63" xr:uid="{00000000-0005-0000-0000-000080000000}"/>
    <cellStyle name="Normal 2 2" xfId="2" xr:uid="{00000000-0005-0000-0000-000081000000}"/>
    <cellStyle name="Normal 2 3" xfId="133" xr:uid="{00000000-0005-0000-0000-000082000000}"/>
    <cellStyle name="Normal 20" xfId="89" xr:uid="{00000000-0005-0000-0000-000083000000}"/>
    <cellStyle name="Normal 20 2" xfId="160" xr:uid="{00000000-0005-0000-0000-000084000000}"/>
    <cellStyle name="Normal 21" xfId="91" xr:uid="{00000000-0005-0000-0000-000085000000}"/>
    <cellStyle name="Normal 21 2" xfId="162" xr:uid="{00000000-0005-0000-0000-000086000000}"/>
    <cellStyle name="Normal 22" xfId="93" xr:uid="{00000000-0005-0000-0000-000087000000}"/>
    <cellStyle name="Normal 22 2" xfId="164" xr:uid="{00000000-0005-0000-0000-000088000000}"/>
    <cellStyle name="Normal 23" xfId="96" xr:uid="{00000000-0005-0000-0000-000089000000}"/>
    <cellStyle name="Normal 23 2" xfId="167" xr:uid="{00000000-0005-0000-0000-00008A000000}"/>
    <cellStyle name="Normal 24" xfId="97" xr:uid="{00000000-0005-0000-0000-00008B000000}"/>
    <cellStyle name="Normal 24 2" xfId="168" xr:uid="{00000000-0005-0000-0000-00008C000000}"/>
    <cellStyle name="Normal 25" xfId="82" xr:uid="{00000000-0005-0000-0000-00008D000000}"/>
    <cellStyle name="Normal 26" xfId="124" xr:uid="{00000000-0005-0000-0000-00008E000000}"/>
    <cellStyle name="Normal 27" xfId="81" xr:uid="{00000000-0005-0000-0000-00008F000000}"/>
    <cellStyle name="Normal 28" xfId="85" xr:uid="{00000000-0005-0000-0000-000090000000}"/>
    <cellStyle name="Normal 29" xfId="129" xr:uid="{00000000-0005-0000-0000-000091000000}"/>
    <cellStyle name="Normal 3" xfId="67" xr:uid="{00000000-0005-0000-0000-000092000000}"/>
    <cellStyle name="Normal 30" xfId="125" xr:uid="{00000000-0005-0000-0000-000093000000}"/>
    <cellStyle name="Normal 31" xfId="80" xr:uid="{00000000-0005-0000-0000-000094000000}"/>
    <cellStyle name="Normal 32" xfId="128" xr:uid="{00000000-0005-0000-0000-000095000000}"/>
    <cellStyle name="Normal 33" xfId="127" xr:uid="{00000000-0005-0000-0000-000096000000}"/>
    <cellStyle name="Normal 34" xfId="126" xr:uid="{00000000-0005-0000-0000-000097000000}"/>
    <cellStyle name="Normal 35" xfId="83" xr:uid="{00000000-0005-0000-0000-000098000000}"/>
    <cellStyle name="Normal 36" xfId="84" xr:uid="{00000000-0005-0000-0000-000099000000}"/>
    <cellStyle name="Normal 37" xfId="132" xr:uid="{00000000-0005-0000-0000-00009A000000}"/>
    <cellStyle name="Normal 38" xfId="134" xr:uid="{00000000-0005-0000-0000-00009B000000}"/>
    <cellStyle name="Normal 39" xfId="135" xr:uid="{00000000-0005-0000-0000-00009C000000}"/>
    <cellStyle name="Normal 4" xfId="68" xr:uid="{00000000-0005-0000-0000-00009D000000}"/>
    <cellStyle name="Normal 4 2" xfId="119" xr:uid="{00000000-0005-0000-0000-00009E000000}"/>
    <cellStyle name="Normal 4 3" xfId="148" xr:uid="{00000000-0005-0000-0000-00009F000000}"/>
    <cellStyle name="Normal 5" xfId="69" xr:uid="{00000000-0005-0000-0000-0000A0000000}"/>
    <cellStyle name="Normal 5 2" xfId="123" xr:uid="{00000000-0005-0000-0000-0000A1000000}"/>
    <cellStyle name="Normal 5 3" xfId="149" xr:uid="{00000000-0005-0000-0000-0000A2000000}"/>
    <cellStyle name="Normal 6" xfId="70" xr:uid="{00000000-0005-0000-0000-0000A3000000}"/>
    <cellStyle name="Normal 6 2" xfId="150" xr:uid="{00000000-0005-0000-0000-0000A4000000}"/>
    <cellStyle name="Normal 7" xfId="71" xr:uid="{00000000-0005-0000-0000-0000A5000000}"/>
    <cellStyle name="Normal 7 2" xfId="151" xr:uid="{00000000-0005-0000-0000-0000A6000000}"/>
    <cellStyle name="Normal 8" xfId="72" xr:uid="{00000000-0005-0000-0000-0000A7000000}"/>
    <cellStyle name="Normal 8 2" xfId="152" xr:uid="{00000000-0005-0000-0000-0000A8000000}"/>
    <cellStyle name="Normal 9" xfId="73" xr:uid="{00000000-0005-0000-0000-0000A9000000}"/>
    <cellStyle name="Normal 9 2" xfId="153" xr:uid="{00000000-0005-0000-0000-0000AA000000}"/>
    <cellStyle name="Note 2" xfId="87" xr:uid="{00000000-0005-0000-0000-0000AB000000}"/>
    <cellStyle name="Note 2 2" xfId="158" xr:uid="{00000000-0005-0000-0000-0000AC000000}"/>
    <cellStyle name="Note 3" xfId="98" xr:uid="{00000000-0005-0000-0000-0000AD000000}"/>
    <cellStyle name="Note 3 2" xfId="169" xr:uid="{00000000-0005-0000-0000-0000AE000000}"/>
    <cellStyle name="Obično_KnjigaZIKS i Min pomorstva i saobracaja" xfId="64" xr:uid="{00000000-0005-0000-0000-0000AF000000}"/>
    <cellStyle name="Output" xfId="11" builtinId="21" customBuiltin="1"/>
    <cellStyle name="Percent" xfId="1" builtinId="5"/>
    <cellStyle name="percentage difference" xfId="65" xr:uid="{00000000-0005-0000-0000-0000B2000000}"/>
    <cellStyle name="percentage difference 2" xfId="120" xr:uid="{00000000-0005-0000-0000-0000B3000000}"/>
    <cellStyle name="Publication" xfId="66" xr:uid="{00000000-0005-0000-0000-0000B4000000}"/>
    <cellStyle name="Standard_Tabellenteil in EURO" xfId="121" xr:uid="{00000000-0005-0000-0000-0000B5000000}"/>
    <cellStyle name="Title 2" xfId="79" xr:uid="{00000000-0005-0000-0000-0000B6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firstButton="1" fmlaLink="Master!$B$2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fmlaLink="Master!$B$2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fmlaLink="Master!$B$2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fmlaLink="Master!$B$2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Historical Data, since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Public Debt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22860</xdr:colOff>
          <xdr:row>0</xdr:row>
          <xdr:rowOff>30480</xdr:rowOff>
        </xdr:from>
        <xdr:to>
          <xdr:col>1</xdr:col>
          <xdr:colOff>632460</xdr:colOff>
          <xdr:row>1</xdr:row>
          <xdr:rowOff>45720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30480</xdr:rowOff>
        </xdr:from>
        <xdr:to>
          <xdr:col>2</xdr:col>
          <xdr:colOff>579120</xdr:colOff>
          <xdr:row>1</xdr:row>
          <xdr:rowOff>45720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revenues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- October 2021 amounted to 1.504,6 mill. € or 30,8% of GDP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are higher by 2,3 mill. € or 0,2% than the planned.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Compared to the same period of the previous year, revenues were higher by 201,2 mill. € or 15,4%.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expenditures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- October 2021 amounted to 1.566,4 mill. € or 32,1% of GDP and were lower by 120,9 mill. € or 7,2% compared to the same period of the previous year. Compared to the plan, expenditures were lower by 116,8 mill. € or 6,9%. In the period January - October 2021, the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deficit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amounted to 61,8 mill. € or 1,3% of the estimated GDP,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119,2 mill. € or 65,8% less than planned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322,2 mill. € ili 83,9%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less than recorded in the same period in 2020.</a:t>
          </a:r>
          <a:endParaRPr lang="sr-Latn-ME">
            <a:effectLst/>
          </a:endParaRP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Methodological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on the items "Gross salaries and contributions at the expense of the employer" and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"Rights in the field of pension and disability insurance" were obtained on the basis of accrual adjustment, while the other items are shown by cash.</a:t>
          </a:r>
          <a:endParaRPr lang="sr-Latn-ME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plan of budget expenditures was prepared in accordance with the Decision on temporary financing of the budget for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January, February, March, April May and June 2021, and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Law on Budget for 2021 for the period July - December.</a:t>
          </a:r>
          <a:endParaRPr lang="sr-Latn-ME">
            <a:effectLst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Breakdown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1</xdr:col>
          <xdr:colOff>350520</xdr:colOff>
          <xdr:row>1</xdr:row>
          <xdr:rowOff>45720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0</xdr:row>
          <xdr:rowOff>30480</xdr:rowOff>
        </xdr:from>
        <xdr:to>
          <xdr:col>2</xdr:col>
          <xdr:colOff>480060</xdr:colOff>
          <xdr:row>1</xdr:row>
          <xdr:rowOff>45720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22860</xdr:colOff>
          <xdr:row>0</xdr:row>
          <xdr:rowOff>30480</xdr:rowOff>
        </xdr:from>
        <xdr:to>
          <xdr:col>1</xdr:col>
          <xdr:colOff>632460</xdr:colOff>
          <xdr:row>1</xdr:row>
          <xdr:rowOff>45720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30480</xdr:rowOff>
        </xdr:from>
        <xdr:to>
          <xdr:col>2</xdr:col>
          <xdr:colOff>579120</xdr:colOff>
          <xdr:row>1</xdr:row>
          <xdr:rowOff>45720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2</xdr:col>
          <xdr:colOff>0</xdr:colOff>
          <xdr:row>2</xdr:row>
          <xdr:rowOff>7620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0</xdr:row>
          <xdr:rowOff>30480</xdr:rowOff>
        </xdr:from>
        <xdr:to>
          <xdr:col>2</xdr:col>
          <xdr:colOff>480060</xdr:colOff>
          <xdr:row>2</xdr:row>
          <xdr:rowOff>7620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2</xdr:col>
          <xdr:colOff>0</xdr:colOff>
          <xdr:row>2</xdr:row>
          <xdr:rowOff>7620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0</xdr:row>
          <xdr:rowOff>30480</xdr:rowOff>
        </xdr:from>
        <xdr:to>
          <xdr:col>2</xdr:col>
          <xdr:colOff>480060</xdr:colOff>
          <xdr:row>2</xdr:row>
          <xdr:rowOff>7620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2</xdr:col>
          <xdr:colOff>0</xdr:colOff>
          <xdr:row>2</xdr:row>
          <xdr:rowOff>7620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0</xdr:row>
          <xdr:rowOff>30480</xdr:rowOff>
        </xdr:from>
        <xdr:to>
          <xdr:col>2</xdr:col>
          <xdr:colOff>480060</xdr:colOff>
          <xdr:row>2</xdr:row>
          <xdr:rowOff>7620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2</xdr:col>
          <xdr:colOff>0</xdr:colOff>
          <xdr:row>2</xdr:row>
          <xdr:rowOff>7620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0</xdr:row>
          <xdr:rowOff>30480</xdr:rowOff>
        </xdr:from>
        <xdr:to>
          <xdr:col>2</xdr:col>
          <xdr:colOff>480060</xdr:colOff>
          <xdr:row>2</xdr:row>
          <xdr:rowOff>7620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r-Latn-M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09375" defaultRowHeight="14.4"/>
  <cols>
    <col min="1" max="1" width="5" style="5" bestFit="1" customWidth="1"/>
    <col min="2" max="2" width="11.6640625" style="5" customWidth="1"/>
    <col min="3" max="6" width="9.109375" style="5"/>
    <col min="7" max="13" width="12.44140625" style="5" customWidth="1"/>
    <col min="14" max="18" width="12.109375" style="5" customWidth="1"/>
    <col min="19" max="16384" width="9.109375" style="5"/>
  </cols>
  <sheetData>
    <row r="1" spans="1:20" s="1" customFormat="1"/>
    <row r="2" spans="1:20" s="1" customFormat="1">
      <c r="C2" s="2"/>
      <c r="E2" s="3" t="str">
        <f>+Master!G6</f>
        <v>Montenegro</v>
      </c>
      <c r="I2" s="4"/>
    </row>
    <row r="3" spans="1:20" s="1" customFormat="1">
      <c r="E3" s="4" t="str">
        <f>+Master!G7</f>
        <v>Ministry of Finance and social welfare</v>
      </c>
    </row>
    <row r="4" spans="1:20" s="1" customFormat="1">
      <c r="E4" s="4" t="str">
        <f>+Master!G8</f>
        <v>Directorate for State Budget</v>
      </c>
    </row>
    <row r="5" spans="1:20" s="1" customFormat="1"/>
    <row r="6" spans="1:20" ht="1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2021-10</v>
      </c>
      <c r="O6" s="143" t="str">
        <f>+CONCATENATE(N6,"p")</f>
        <v>2021-10p</v>
      </c>
      <c r="P6" s="130"/>
      <c r="Q6" s="130"/>
      <c r="R6" s="143" t="str">
        <f>+IF(Master!B3-10&gt;=0,CONCATENATE(Master!B4-1,"-",Master!B3),CONCATENATE(Master!B4-1,"-0",Master!B3))</f>
        <v>2020-10</v>
      </c>
      <c r="S6" s="130"/>
      <c r="T6" s="130"/>
    </row>
    <row r="7" spans="1:20">
      <c r="A7" s="144"/>
      <c r="B7" s="506" t="s">
        <v>692</v>
      </c>
      <c r="C7" s="507"/>
      <c r="D7" s="507"/>
      <c r="E7" s="507"/>
      <c r="F7" s="507"/>
      <c r="G7" s="515" t="s">
        <v>691</v>
      </c>
      <c r="H7" s="516"/>
      <c r="I7" s="516"/>
      <c r="J7" s="516"/>
      <c r="K7" s="516"/>
      <c r="L7" s="516"/>
      <c r="M7" s="517"/>
      <c r="N7" s="518" t="str">
        <f>+Master!G242</f>
        <v>December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145" t="str">
        <f>+Master!G25</f>
        <v>Execution</v>
      </c>
      <c r="H8" s="145" t="str">
        <f>+Master!G24</f>
        <v>Plan</v>
      </c>
      <c r="I8" s="502" t="str">
        <f>+Master!G260</f>
        <v>Deviation</v>
      </c>
      <c r="J8" s="502"/>
      <c r="K8" s="145" t="str">
        <f>+CONCATENATE(Master!G245," ",Master!B4-1)</f>
        <v>Jan - Oct 2020</v>
      </c>
      <c r="L8" s="502" t="str">
        <f>+I8</f>
        <v>Deviation</v>
      </c>
      <c r="M8" s="514"/>
      <c r="N8" s="146" t="str">
        <f>+G8</f>
        <v>Execution</v>
      </c>
      <c r="O8" s="145" t="str">
        <f>+H8</f>
        <v>Plan</v>
      </c>
      <c r="P8" s="502" t="str">
        <f>+I8</f>
        <v>Deviation</v>
      </c>
      <c r="Q8" s="502"/>
      <c r="R8" s="145" t="str">
        <f>+CONCATENATE(Master!G244," ",Master!B4-1)</f>
        <v>October 2020</v>
      </c>
      <c r="S8" s="502" t="str">
        <f>+P8</f>
        <v>Deviation</v>
      </c>
      <c r="T8" s="503"/>
    </row>
    <row r="9" spans="1:20" ht="1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36" t="e">
        <f>+VLOOKUP($A18,Master!$D$29:$G$225,4,FALSE)</f>
        <v>#N/A</v>
      </c>
      <c r="C18" s="537"/>
      <c r="D18" s="537"/>
      <c r="E18" s="537"/>
      <c r="F18" s="537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36" t="str">
        <f>+VLOOKUP($A19,Master!$D$29:$G$225,4,FALSE)</f>
        <v>Other Republic Taxes</v>
      </c>
      <c r="C19" s="537"/>
      <c r="D19" s="537"/>
      <c r="E19" s="537"/>
      <c r="F19" s="537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46" t="str">
        <f>+VLOOKUP($A20,Master!$D$29:$G$225,4,FALSE)</f>
        <v>Contributions</v>
      </c>
      <c r="C20" s="547"/>
      <c r="D20" s="547"/>
      <c r="E20" s="547"/>
      <c r="F20" s="547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36" t="str">
        <f>+VLOOKUP($A21,Master!$D$29:$G$225,4,FALSE)</f>
        <v>Contributions for Pension and Disability Insurance</v>
      </c>
      <c r="C21" s="537"/>
      <c r="D21" s="537"/>
      <c r="E21" s="537"/>
      <c r="F21" s="537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36" t="str">
        <f>+VLOOKUP($A22,Master!$D$29:$G$225,4,FALSE)</f>
        <v>Contributions for Health Insurance</v>
      </c>
      <c r="C22" s="537"/>
      <c r="D22" s="537"/>
      <c r="E22" s="537"/>
      <c r="F22" s="537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36" t="str">
        <f>+VLOOKUP($A23,Master!$D$29:$G$225,4,FALSE)</f>
        <v>Contributions for  Unemployment Insurance</v>
      </c>
      <c r="C23" s="537"/>
      <c r="D23" s="537"/>
      <c r="E23" s="537"/>
      <c r="F23" s="537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36" t="str">
        <f>+VLOOKUP($A24,Master!$D$29:$G$225,4,FALSE)</f>
        <v>Other contributions</v>
      </c>
      <c r="C24" s="537"/>
      <c r="D24" s="537"/>
      <c r="E24" s="537"/>
      <c r="F24" s="537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38" t="str">
        <f>+VLOOKUP($A25,Master!$D$29:$G$225,4,FALSE)</f>
        <v>Duties</v>
      </c>
      <c r="C25" s="539"/>
      <c r="D25" s="539"/>
      <c r="E25" s="539"/>
      <c r="F25" s="539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38" t="str">
        <f>+VLOOKUP($A26,Master!$D$29:$G$225,4,FALSE)</f>
        <v>Fees</v>
      </c>
      <c r="C26" s="539"/>
      <c r="D26" s="539"/>
      <c r="E26" s="539"/>
      <c r="F26" s="539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38" t="str">
        <f>+VLOOKUP($A27,Master!$D$29:$G$225,4,FALSE)</f>
        <v>Other revenues</v>
      </c>
      <c r="C27" s="539"/>
      <c r="D27" s="539"/>
      <c r="E27" s="539"/>
      <c r="F27" s="539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38" t="str">
        <f>+VLOOKUP($A28,Master!$D$29:$G$225,4,FALSE)</f>
        <v>Receipts from Repayment of Loans and Funds Carried over from Previous Year</v>
      </c>
      <c r="C28" s="539"/>
      <c r="D28" s="539"/>
      <c r="E28" s="539"/>
      <c r="F28" s="539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" thickBot="1">
      <c r="A29" s="150">
        <v>74</v>
      </c>
      <c r="B29" s="540" t="str">
        <f>+VLOOKUP($A29,Master!$D$29:$G$225,4,FALSE)</f>
        <v>Grants and Transfers</v>
      </c>
      <c r="C29" s="541"/>
      <c r="D29" s="541"/>
      <c r="E29" s="541"/>
      <c r="F29" s="541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" thickBot="1">
      <c r="A30" s="150">
        <v>4</v>
      </c>
      <c r="B30" s="526" t="str">
        <f>+VLOOKUP($A30,Master!$D$29:$G$225,4,FALSE)</f>
        <v>Total Expenditures</v>
      </c>
      <c r="C30" s="527"/>
      <c r="D30" s="527"/>
      <c r="E30" s="527"/>
      <c r="F30" s="527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" thickBot="1">
      <c r="A31" s="150">
        <v>41</v>
      </c>
      <c r="B31" s="542" t="str">
        <f>+VLOOKUP($A31,Master!$D$29:$G$225,4,FALSE)</f>
        <v>Current Expenditures</v>
      </c>
      <c r="C31" s="543"/>
      <c r="D31" s="543"/>
      <c r="E31" s="543"/>
      <c r="F31" s="543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44" t="str">
        <f>+VLOOKUP($A32,Master!$D$29:$G$225,4,FALSE)</f>
        <v>Current Budgetary Consumption</v>
      </c>
      <c r="C32" s="545"/>
      <c r="D32" s="545"/>
      <c r="E32" s="545"/>
      <c r="F32" s="545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36" t="str">
        <f>+VLOOKUP($A33,Master!$D$29:$G$225,4,FALSE)</f>
        <v>Gross Salaries and Contributions</v>
      </c>
      <c r="C33" s="537"/>
      <c r="D33" s="537"/>
      <c r="E33" s="537"/>
      <c r="F33" s="537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36" t="str">
        <f>+VLOOKUP($A34,Master!$D$29:$G$225,4,FALSE)</f>
        <v>Other Personal Income</v>
      </c>
      <c r="C34" s="537"/>
      <c r="D34" s="537"/>
      <c r="E34" s="537"/>
      <c r="F34" s="537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36" t="str">
        <f>+VLOOKUP($A35,Master!$D$29:$G$225,4,FALSE)</f>
        <v>Expenditures for Supplies</v>
      </c>
      <c r="C35" s="537"/>
      <c r="D35" s="537"/>
      <c r="E35" s="537"/>
      <c r="F35" s="537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36" t="str">
        <f>+VLOOKUP($A36,Master!$D$29:$G$225,4,FALSE)</f>
        <v>Expenditures for Services</v>
      </c>
      <c r="C36" s="537"/>
      <c r="D36" s="537"/>
      <c r="E36" s="537"/>
      <c r="F36" s="537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36" t="str">
        <f>+VLOOKUP($A37,Master!$D$29:$G$225,4,FALSE)</f>
        <v>Current Maintenance</v>
      </c>
      <c r="C37" s="537"/>
      <c r="D37" s="537"/>
      <c r="E37" s="537"/>
      <c r="F37" s="537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36" t="str">
        <f>+VLOOKUP($A38,Master!$D$29:$G$225,4,FALSE)</f>
        <v>Interests</v>
      </c>
      <c r="C38" s="537"/>
      <c r="D38" s="537"/>
      <c r="E38" s="537"/>
      <c r="F38" s="537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36" t="str">
        <f>+VLOOKUP($A39,Master!$D$29:$G$225,4,FALSE)</f>
        <v>Rent</v>
      </c>
      <c r="C39" s="537"/>
      <c r="D39" s="537"/>
      <c r="E39" s="537"/>
      <c r="F39" s="537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36" t="str">
        <f>+VLOOKUP($A40,Master!$D$29:$G$225,4,FALSE)</f>
        <v>Subsidies</v>
      </c>
      <c r="C40" s="537"/>
      <c r="D40" s="537"/>
      <c r="E40" s="537"/>
      <c r="F40" s="537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36" t="str">
        <f>+VLOOKUP($A41,Master!$D$29:$G$225,4,FALSE)</f>
        <v>Other expenditures</v>
      </c>
      <c r="C41" s="537"/>
      <c r="D41" s="537"/>
      <c r="E41" s="537"/>
      <c r="F41" s="537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36" t="e">
        <f>+VLOOKUP($A42,Master!$D$29:$G$225,4,FALSE)</f>
        <v>#N/A</v>
      </c>
      <c r="C42" s="537"/>
      <c r="D42" s="537"/>
      <c r="E42" s="537"/>
      <c r="F42" s="537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2" t="str">
        <f>+VLOOKUP($A43,Master!$D$29:$G$225,4,FALSE)</f>
        <v>Social Security Transfers</v>
      </c>
      <c r="C43" s="533"/>
      <c r="D43" s="533"/>
      <c r="E43" s="533"/>
      <c r="F43" s="533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36" t="str">
        <f>+VLOOKUP($A44,Master!$D$29:$G$225,4,FALSE)</f>
        <v>Social Security</v>
      </c>
      <c r="C44" s="537"/>
      <c r="D44" s="537"/>
      <c r="E44" s="537"/>
      <c r="F44" s="537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36" t="str">
        <f>+VLOOKUP($A45,Master!$D$29:$G$225,4,FALSE)</f>
        <v>Funds for redundant labor</v>
      </c>
      <c r="C45" s="537"/>
      <c r="D45" s="537"/>
      <c r="E45" s="537"/>
      <c r="F45" s="537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36" t="str">
        <f>+VLOOKUP($A46,Master!$D$29:$G$225,4,FALSE)</f>
        <v>Pension and Disability Insurance</v>
      </c>
      <c r="C46" s="537"/>
      <c r="D46" s="537"/>
      <c r="E46" s="537"/>
      <c r="F46" s="537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36" t="str">
        <f>+VLOOKUP($A47,Master!$D$29:$G$225,4,FALSE)</f>
        <v>Other Health Care Transfers</v>
      </c>
      <c r="C47" s="537"/>
      <c r="D47" s="537"/>
      <c r="E47" s="537"/>
      <c r="F47" s="537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36" t="str">
        <f>+VLOOKUP($A48,Master!$D$29:$G$225,4,FALSE)</f>
        <v>Other Health Care Insurance</v>
      </c>
      <c r="C48" s="537"/>
      <c r="D48" s="537"/>
      <c r="E48" s="537"/>
      <c r="F48" s="537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4" t="str">
        <f>+VLOOKUP($A49,Master!$D$29:$G$225,4,FALSE)</f>
        <v xml:space="preserve">Transfers to Institutions, Individuals, NGO and Public Sector </v>
      </c>
      <c r="C49" s="535"/>
      <c r="D49" s="535"/>
      <c r="E49" s="535"/>
      <c r="F49" s="535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4" t="str">
        <f>+VLOOKUP($A50,Master!$D$29:$G$225,4,FALSE)</f>
        <v>Capital Expenditure</v>
      </c>
      <c r="C50" s="535"/>
      <c r="D50" s="535"/>
      <c r="E50" s="535"/>
      <c r="F50" s="535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4" t="str">
        <f>+VLOOKUP($A51,Master!$D$29:$G$225,4,FALSE)</f>
        <v>Credits and Borrowings</v>
      </c>
      <c r="C51" s="505"/>
      <c r="D51" s="505"/>
      <c r="E51" s="505"/>
      <c r="F51" s="505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4" t="str">
        <f>+VLOOKUP($A52,Master!$D$29:$G$225,4,FALSE)</f>
        <v>Reserves</v>
      </c>
      <c r="C52" s="505"/>
      <c r="D52" s="505"/>
      <c r="E52" s="505"/>
      <c r="F52" s="505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" thickBot="1">
      <c r="A53" s="150">
        <v>462</v>
      </c>
      <c r="B53" s="522" t="str">
        <f>+VLOOKUP($A53,Master!$D$29:$G$225,4,FALSE)</f>
        <v>Repayment of Guarantees</v>
      </c>
      <c r="C53" s="523"/>
      <c r="D53" s="523"/>
      <c r="E53" s="523"/>
      <c r="F53" s="523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" thickBot="1">
      <c r="A54" s="144">
        <v>4630</v>
      </c>
      <c r="B54" s="522" t="str">
        <f>+VLOOKUP($A54,Master!$D$29:$G$225,4,FALSE)</f>
        <v>Repayments of liabilities form the previous period</v>
      </c>
      <c r="C54" s="523"/>
      <c r="D54" s="523"/>
      <c r="E54" s="523"/>
      <c r="F54" s="523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" thickBot="1">
      <c r="A55" s="144">
        <v>1005</v>
      </c>
      <c r="B55" s="522" t="str">
        <f>+VLOOKUP($A55,Master!$D$29:$G$227,4,FALSE)</f>
        <v>Net increase of liabilities</v>
      </c>
      <c r="C55" s="523"/>
      <c r="D55" s="523"/>
      <c r="E55" s="523"/>
      <c r="F55" s="523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" thickBot="1">
      <c r="A56" s="144">
        <v>1000</v>
      </c>
      <c r="B56" s="528" t="str">
        <f>+VLOOKUP($A56,Master!$D$29:$G$225,4,FALSE)</f>
        <v>Surplus / deficit</v>
      </c>
      <c r="C56" s="529"/>
      <c r="D56" s="529"/>
      <c r="E56" s="529"/>
      <c r="F56" s="529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" thickBot="1">
      <c r="A57" s="144">
        <v>1001</v>
      </c>
      <c r="B57" s="530" t="str">
        <f>+VLOOKUP($A57,Master!$D$29:$G$225,4,FALSE)</f>
        <v>Primary surplus/deficit</v>
      </c>
      <c r="C57" s="531"/>
      <c r="D57" s="531"/>
      <c r="E57" s="531"/>
      <c r="F57" s="531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2" t="str">
        <f>+VLOOKUP($A58,Master!$D$29:$G$225,4,FALSE)</f>
        <v>Repayment of Debt</v>
      </c>
      <c r="C58" s="533"/>
      <c r="D58" s="533"/>
      <c r="E58" s="533"/>
      <c r="F58" s="533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0" t="str">
        <f>+VLOOKUP($A59,Master!$D$29:$G$225,4,FALSE)</f>
        <v>Repayment of Domestic Debt</v>
      </c>
      <c r="C59" s="521"/>
      <c r="D59" s="521"/>
      <c r="E59" s="521"/>
      <c r="F59" s="521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4" t="str">
        <f>+VLOOKUP($A60,Master!$D$29:$G$225,4,FALSE)</f>
        <v>Repayment of Foreign Debt</v>
      </c>
      <c r="C60" s="505"/>
      <c r="D60" s="505"/>
      <c r="E60" s="505"/>
      <c r="F60" s="505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" thickBot="1">
      <c r="A61" s="144" t="s">
        <v>684</v>
      </c>
      <c r="B61" s="254" t="str">
        <f>+B54</f>
        <v>Repayments of liabilities form the previous period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" thickBot="1">
      <c r="A62" s="144">
        <v>1002</v>
      </c>
      <c r="B62" s="524" t="str">
        <f>+VLOOKUP($A62,Master!$D$29:$G$225,4,FALSE)</f>
        <v>Financing needs</v>
      </c>
      <c r="C62" s="525"/>
      <c r="D62" s="525"/>
      <c r="E62" s="525"/>
      <c r="F62" s="525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" thickBot="1">
      <c r="A63" s="144">
        <v>1003</v>
      </c>
      <c r="B63" s="526" t="str">
        <f>+VLOOKUP($A63,Master!$D$29:$G$225,4,FALSE)</f>
        <v>Financing</v>
      </c>
      <c r="C63" s="527"/>
      <c r="D63" s="527"/>
      <c r="E63" s="527"/>
      <c r="F63" s="527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0" t="str">
        <f>+VLOOKUP($A64,Master!$D$29:$G$225,4,FALSE)</f>
        <v>Domestic Loans and Borrowings</v>
      </c>
      <c r="C64" s="521"/>
      <c r="D64" s="521"/>
      <c r="E64" s="521"/>
      <c r="F64" s="521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4" t="str">
        <f>+VLOOKUP($A65,Master!$D$29:$G$225,4,FALSE)</f>
        <v>Foreign Loans and Borrowings</v>
      </c>
      <c r="C65" s="505"/>
      <c r="D65" s="505"/>
      <c r="E65" s="505"/>
      <c r="F65" s="505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4" t="str">
        <f>+VLOOKUP($A66,Master!$D$29:$G$225,4,FALSE)</f>
        <v>Revenues from Selling Assets</v>
      </c>
      <c r="C66" s="505"/>
      <c r="D66" s="505"/>
      <c r="E66" s="505"/>
      <c r="F66" s="505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" thickBot="1">
      <c r="A67" s="144">
        <v>1004</v>
      </c>
      <c r="B67" s="223" t="str">
        <f>+VLOOKUP($A67,Master!$D$29:$G$225,4,FALSE)</f>
        <v>Increase / decrease of deposits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1</xdr:col>
                    <xdr:colOff>632460</xdr:colOff>
                    <xdr:row>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30480</xdr:rowOff>
                  </from>
                  <to>
                    <xdr:col>2</xdr:col>
                    <xdr:colOff>579120</xdr:colOff>
                    <xdr:row>1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D12" sqref="D12"/>
    </sheetView>
  </sheetViews>
  <sheetFormatPr defaultColWidth="9.109375" defaultRowHeight="14.4"/>
  <cols>
    <col min="1" max="3" width="9.109375" style="130"/>
    <col min="4" max="4" width="10" style="130" bestFit="1" customWidth="1"/>
    <col min="5" max="7" width="9.109375" style="130"/>
    <col min="8" max="8" width="11" style="130" bestFit="1" customWidth="1"/>
    <col min="9" max="16384" width="9.109375" style="130"/>
  </cols>
  <sheetData>
    <row r="1" spans="3:11" s="126" customFormat="1"/>
    <row r="2" spans="3:11" s="126" customFormat="1">
      <c r="C2" s="127"/>
      <c r="E2" s="128" t="str">
        <f>+Master!G6</f>
        <v>Montenegro</v>
      </c>
      <c r="I2" s="129"/>
    </row>
    <row r="3" spans="3:11" s="126" customFormat="1">
      <c r="E3" s="129" t="str">
        <f>+Master!G7</f>
        <v>Ministry of Finance and social welfare</v>
      </c>
    </row>
    <row r="4" spans="3:11" s="126" customFormat="1">
      <c r="E4" s="129" t="str">
        <f>+Master!G8</f>
        <v>Directorate for State Budget</v>
      </c>
    </row>
    <row r="5" spans="3:11" s="126" customFormat="1"/>
    <row r="7" spans="3:11" ht="1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Revenues for October</v>
      </c>
      <c r="E11" s="135"/>
      <c r="F11" s="135"/>
      <c r="G11" s="137" t="str">
        <f>+Master!G273</f>
        <v>Revenues for period January - October</v>
      </c>
      <c r="H11" s="135"/>
      <c r="I11" s="135"/>
      <c r="J11" s="135"/>
      <c r="K11" s="136"/>
    </row>
    <row r="12" spans="3:11">
      <c r="C12" s="134"/>
      <c r="D12" s="138">
        <f>+'Analytics - 2021'!N10</f>
        <v>160001779.85000002</v>
      </c>
      <c r="E12" s="456">
        <f>+D12/'2021'!T7</f>
        <v>3.277851798701166E-2</v>
      </c>
      <c r="F12" s="135"/>
      <c r="G12" s="138">
        <f>+'Analytics - 2021'!G10</f>
        <v>1504568778.75</v>
      </c>
      <c r="H12" s="456">
        <f>+G12/'2021'!T7</f>
        <v>0.30823116357322844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GDP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Expenditures for October</v>
      </c>
      <c r="E15" s="135"/>
      <c r="F15" s="135"/>
      <c r="G15" s="137" t="str">
        <f>+Master!G274</f>
        <v>Expenditures for period January - October</v>
      </c>
      <c r="H15" s="135"/>
      <c r="I15" s="135"/>
      <c r="J15" s="135"/>
      <c r="K15" s="136"/>
    </row>
    <row r="16" spans="3:11">
      <c r="C16" s="134"/>
      <c r="D16" s="138">
        <f>+'Analytics - 2021'!N29</f>
        <v>157170072.89000002</v>
      </c>
      <c r="E16" s="456">
        <f>+D16/'2021'!T7</f>
        <v>3.2198404705713647E-2</v>
      </c>
      <c r="F16" s="135"/>
      <c r="G16" s="138">
        <f>+'Analytics - 2021'!G29</f>
        <v>1566375797.3800001</v>
      </c>
      <c r="H16" s="456">
        <f>+G16/'2021'!T7</f>
        <v>0.32089316316964744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GDP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Deficit for October</v>
      </c>
      <c r="E19" s="135"/>
      <c r="F19" s="135"/>
      <c r="G19" s="137" t="str">
        <f>+Master!G275</f>
        <v>Surplus/Deficit for period January - October</v>
      </c>
      <c r="H19" s="135"/>
      <c r="I19" s="135"/>
      <c r="J19" s="135"/>
      <c r="K19" s="136"/>
    </row>
    <row r="20" spans="3:12">
      <c r="C20" s="134"/>
      <c r="D20" s="138">
        <f>+'Analytics - 2021'!N53</f>
        <v>2831706.9600000083</v>
      </c>
      <c r="E20" s="456">
        <f>+D20/'2021'!T7</f>
        <v>5.8011328129801661E-4</v>
      </c>
      <c r="F20" s="135"/>
      <c r="G20" s="138">
        <f>+'Analytics - 2021'!G53</f>
        <v>-61807018.629999965</v>
      </c>
      <c r="H20" s="456">
        <f>+G20/'2021'!T7</f>
        <v>-1.266199959641898E-2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GDP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AfPH8XV7uAOa2K8+Jkj+7F2Dq0snEPZfG9BJCK8C1oo9Lh7HkPjp+82kVBpk/C/eneXJyrWc1GgYI6xwOfq/mw==" saltValue="sj6fkcwW1bnxxJRuP8WAz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1</xdr:col>
                    <xdr:colOff>350520</xdr:colOff>
                    <xdr:row>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144780</xdr:colOff>
                    <xdr:row>0</xdr:row>
                    <xdr:rowOff>30480</xdr:rowOff>
                  </from>
                  <to>
                    <xdr:col>2</xdr:col>
                    <xdr:colOff>480060</xdr:colOff>
                    <xdr:row>1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W69"/>
  <sheetViews>
    <sheetView tabSelected="1" zoomScale="115" zoomScaleNormal="115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09375" defaultRowHeight="14.4"/>
  <cols>
    <col min="1" max="1" width="5" style="5" bestFit="1" customWidth="1"/>
    <col min="2" max="2" width="11.6640625" style="5" customWidth="1"/>
    <col min="3" max="4" width="9.109375" style="5"/>
    <col min="5" max="6" width="9.109375" style="5" customWidth="1"/>
    <col min="7" max="7" width="15.6640625" style="360" customWidth="1"/>
    <col min="8" max="8" width="12.44140625" style="5" customWidth="1"/>
    <col min="9" max="9" width="12.5546875" style="5" customWidth="1"/>
    <col min="10" max="10" width="12.6640625" style="5" customWidth="1"/>
    <col min="11" max="13" width="12.44140625" style="5" customWidth="1"/>
    <col min="14" max="14" width="12.109375" style="5" customWidth="1"/>
    <col min="15" max="15" width="11.44140625" style="5" customWidth="1"/>
    <col min="16" max="17" width="12.109375" style="5" customWidth="1"/>
    <col min="18" max="18" width="13.44140625" style="5" customWidth="1"/>
    <col min="19" max="25" width="9.109375" style="5"/>
    <col min="26" max="26" width="11.33203125" style="5" bestFit="1" customWidth="1"/>
    <col min="27" max="16384" width="9.109375" style="5"/>
  </cols>
  <sheetData>
    <row r="1" spans="1:20" s="1" customFormat="1">
      <c r="G1" s="356"/>
    </row>
    <row r="2" spans="1:20" s="1" customFormat="1">
      <c r="C2" s="2"/>
      <c r="E2" s="3" t="str">
        <f>+Master!G6</f>
        <v>Montenegro</v>
      </c>
      <c r="G2" s="356"/>
      <c r="I2" s="4"/>
      <c r="P2" s="364"/>
    </row>
    <row r="3" spans="1:20" s="1" customFormat="1">
      <c r="B3" s="163"/>
      <c r="E3" s="4" t="str">
        <f>+Master!G7</f>
        <v>Ministry of Finance and social welfare</v>
      </c>
      <c r="G3" s="356"/>
    </row>
    <row r="4" spans="1:20" s="1" customFormat="1">
      <c r="E4" s="4" t="str">
        <f>+Master!G8</f>
        <v>Directorate for State Budget</v>
      </c>
      <c r="G4" s="356"/>
      <c r="H4" s="364"/>
      <c r="I4" s="364"/>
      <c r="J4" s="364"/>
    </row>
    <row r="5" spans="1:20" s="1" customFormat="1">
      <c r="G5" s="356"/>
      <c r="N5" s="485"/>
      <c r="P5" s="485"/>
    </row>
    <row r="6" spans="1:20" ht="1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2021-10</v>
      </c>
      <c r="O6" s="143" t="str">
        <f>+CONCATENATE(N6,"p")</f>
        <v>2021-10p</v>
      </c>
      <c r="P6" s="130"/>
      <c r="Q6" s="130"/>
      <c r="R6" s="143" t="str">
        <f>+IF(Master!B3-10&gt;=0,CONCATENATE(Master!B4-1,"-",Master!B3),CONCATENATE(Master!B4-1,"-0",Master!B3))</f>
        <v>2020-10</v>
      </c>
      <c r="S6" s="130"/>
      <c r="T6" s="130"/>
    </row>
    <row r="7" spans="1:20">
      <c r="A7" s="144"/>
      <c r="B7" s="506" t="str">
        <f>+Master!G253</f>
        <v>Analytics for period Jan - Oct</v>
      </c>
      <c r="C7" s="507"/>
      <c r="D7" s="507"/>
      <c r="E7" s="507"/>
      <c r="F7" s="507"/>
      <c r="G7" s="515" t="str">
        <f>+Master!G245</f>
        <v>Jan - Oct</v>
      </c>
      <c r="H7" s="516"/>
      <c r="I7" s="516"/>
      <c r="J7" s="516"/>
      <c r="K7" s="516"/>
      <c r="L7" s="516"/>
      <c r="M7" s="517"/>
      <c r="N7" s="518" t="str">
        <f>+Master!G244</f>
        <v>October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358" t="str">
        <f>+Master!G25</f>
        <v>Execution</v>
      </c>
      <c r="H8" s="145" t="str">
        <f>+Master!G24</f>
        <v>Plan</v>
      </c>
      <c r="I8" s="502" t="str">
        <f>+Master!G260</f>
        <v>Deviation</v>
      </c>
      <c r="J8" s="502"/>
      <c r="K8" s="145" t="str">
        <f>+CONCATENATE(Master!G245," ",Master!B4-1)</f>
        <v>Jan - Oct 2020</v>
      </c>
      <c r="L8" s="502" t="str">
        <f>+I8</f>
        <v>Deviation</v>
      </c>
      <c r="M8" s="514"/>
      <c r="N8" s="146" t="str">
        <f>+G8</f>
        <v>Execution</v>
      </c>
      <c r="O8" s="145" t="str">
        <f>+H8</f>
        <v>Plan</v>
      </c>
      <c r="P8" s="502" t="str">
        <f>+I8</f>
        <v>Deviation</v>
      </c>
      <c r="Q8" s="502"/>
      <c r="R8" s="145" t="str">
        <f>+CONCATENATE(Master!G244," ",Master!B4-1)</f>
        <v>October 2020</v>
      </c>
      <c r="S8" s="502" t="str">
        <f>+P8</f>
        <v>Deviation</v>
      </c>
      <c r="T8" s="503"/>
    </row>
    <row r="9" spans="1:20" ht="15" thickBot="1">
      <c r="A9" s="144"/>
      <c r="B9" s="511"/>
      <c r="C9" s="512"/>
      <c r="D9" s="512"/>
      <c r="E9" s="512"/>
      <c r="F9" s="513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" thickBot="1">
      <c r="A10" s="150">
        <v>7</v>
      </c>
      <c r="B10" s="526" t="str">
        <f>+VLOOKUP($A10,Master!$D$29:$G$225,4,FALSE)</f>
        <v>Total Revenues</v>
      </c>
      <c r="C10" s="527"/>
      <c r="D10" s="527"/>
      <c r="E10" s="527"/>
      <c r="F10" s="527"/>
      <c r="G10" s="151">
        <f>'2021'!S10</f>
        <v>1504568778.75</v>
      </c>
      <c r="H10" s="151">
        <f>SUM('2021'!G84:P84)</f>
        <v>1502224477.8016841</v>
      </c>
      <c r="I10" s="152">
        <f>+G10-H10</f>
        <v>2344300.9483158588</v>
      </c>
      <c r="J10" s="154">
        <f>IF(+IF(ISERROR(G10/H10),"…",G10/H10-1)&gt;200%,"...",IF(ISERROR(G10/H10),"…",G10/H10-1))</f>
        <v>1.5605530218403274E-3</v>
      </c>
      <c r="K10" s="151">
        <f>SUM('2020'!G10:P10)</f>
        <v>1303320044.5500002</v>
      </c>
      <c r="L10" s="152">
        <f>+G10-K10</f>
        <v>201248734.19999981</v>
      </c>
      <c r="M10" s="154">
        <f>IF(+IF(ISERROR(G10/K10),"…",G10/K10-1)&gt;200%,"...",IF(ISERROR(G10/K10),"…",G10/K10-1))</f>
        <v>0.15441236789194424</v>
      </c>
      <c r="N10" s="151">
        <f>'2021'!P10</f>
        <v>160001779.85000002</v>
      </c>
      <c r="O10" s="151">
        <f>'2021'!P84</f>
        <v>164838737.91263062</v>
      </c>
      <c r="P10" s="152">
        <f>+N10-O10</f>
        <v>-4836958.0626305938</v>
      </c>
      <c r="Q10" s="154">
        <f>IF(+IF(ISERROR(N10/O10),"…",N10/O10-1)&gt;200%,"...",IF(ISERROR(N10/O10),"…",N10/O10-1))</f>
        <v>-2.9343576175609454E-2</v>
      </c>
      <c r="R10" s="151">
        <f>'2020'!P10</f>
        <v>137379460.73000002</v>
      </c>
      <c r="S10" s="152">
        <f>+N10-R10</f>
        <v>22622319.120000005</v>
      </c>
      <c r="T10" s="154">
        <f>IF(+IF(ISERROR(N10/R10),"…",N10/R10-1)&gt;200%,"...",IF(ISERROR(N10/R10),"…",N10/R10-1))</f>
        <v>0.16467031534256038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277">
        <f>'2021'!S11</f>
        <v>965880317.05000007</v>
      </c>
      <c r="H11" s="277">
        <f>SUM('2021'!G85:P85)</f>
        <v>915987556.06104743</v>
      </c>
      <c r="I11" s="158">
        <f t="shared" ref="I11:I57" si="0">+G11-H11</f>
        <v>49892760.988952637</v>
      </c>
      <c r="J11" s="160">
        <f t="shared" ref="J11:J64" si="1">IF(+IF(ISERROR(G11/H11-1),"…",G11/H11-1)&gt;200%,"...",IF(ISERROR(G11/H11-1),"…",G11/H11-1))</f>
        <v>5.4468819645872468E-2</v>
      </c>
      <c r="K11" s="277">
        <f>SUM('2020'!G11:P11)</f>
        <v>804958699.65999997</v>
      </c>
      <c r="L11" s="158">
        <f>+G11-K11</f>
        <v>160921617.3900001</v>
      </c>
      <c r="M11" s="160">
        <f t="shared" ref="M11:M64" si="2">IF(+IF(ISERROR(G11/K11),"…",G11/K11-1)&gt;200%,"...",IF(ISERROR(G11/K11),"…",G11/K11-1))</f>
        <v>0.19991288678285057</v>
      </c>
      <c r="N11" s="277">
        <f>'2021'!P11</f>
        <v>104570246.49000001</v>
      </c>
      <c r="O11" s="277">
        <f>'2021'!P85</f>
        <v>100712657.78451934</v>
      </c>
      <c r="P11" s="158">
        <f>+N11-O11</f>
        <v>3857588.705480665</v>
      </c>
      <c r="Q11" s="160">
        <f t="shared" ref="Q11:Q64" si="3">IF(+IF(ISERROR(N11/O11),"…",N11/O11-1)&gt;200%,"...",IF(ISERROR(N11/O11),"…",N11/O11-1))</f>
        <v>3.8302918325660684E-2</v>
      </c>
      <c r="R11" s="277">
        <f>'2020'!P11</f>
        <v>81734836.820000008</v>
      </c>
      <c r="S11" s="158">
        <f t="shared" ref="S11:S57" si="4">+N11-R11</f>
        <v>22835409.670000002</v>
      </c>
      <c r="T11" s="160">
        <f t="shared" ref="T11:T64" si="5">IF(+IF(ISERROR(N11/R11),"…",N11/R11-1)&gt;200%,"...",IF(ISERROR(N11/R11),"…",N11/R11-1))</f>
        <v>0.27938404918198012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f>'2021'!S12</f>
        <v>96556587.929999992</v>
      </c>
      <c r="H12" s="163">
        <f>SUM('2021'!G86:P86)</f>
        <v>116635114.86499225</v>
      </c>
      <c r="I12" s="164">
        <f t="shared" si="0"/>
        <v>-20078526.934992254</v>
      </c>
      <c r="J12" s="166">
        <f t="shared" si="1"/>
        <v>-0.17214821589736162</v>
      </c>
      <c r="K12" s="163">
        <f>SUM('2020'!G12:P12)</f>
        <v>91575954.730000004</v>
      </c>
      <c r="L12" s="164">
        <f>+G12-K12</f>
        <v>4980633.1999999881</v>
      </c>
      <c r="M12" s="166">
        <f t="shared" si="2"/>
        <v>5.4388001901642724E-2</v>
      </c>
      <c r="N12" s="163">
        <f>'2021'!P12</f>
        <v>10714688.65</v>
      </c>
      <c r="O12" s="163">
        <f>'2021'!P86</f>
        <v>15303489.942616684</v>
      </c>
      <c r="P12" s="164">
        <f t="shared" ref="P12:P57" si="6">+N12-O12</f>
        <v>-4588801.292616684</v>
      </c>
      <c r="Q12" s="166">
        <f t="shared" si="3"/>
        <v>-0.29985325633716609</v>
      </c>
      <c r="R12" s="163">
        <f>'2020'!P12</f>
        <v>8848138.8900000006</v>
      </c>
      <c r="S12" s="164">
        <f t="shared" si="4"/>
        <v>1866549.7599999998</v>
      </c>
      <c r="T12" s="166">
        <f t="shared" si="5"/>
        <v>0.21095393994205258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f>'2021'!S13</f>
        <v>70745076.549999997</v>
      </c>
      <c r="H13" s="163">
        <f>SUM('2021'!G87:P87)</f>
        <v>55416950.507921278</v>
      </c>
      <c r="I13" s="164">
        <f t="shared" si="0"/>
        <v>15328126.042078719</v>
      </c>
      <c r="J13" s="166">
        <f t="shared" si="1"/>
        <v>0.27659634645337849</v>
      </c>
      <c r="K13" s="163">
        <f>SUM('2020'!G13:P13)</f>
        <v>75826728.379999995</v>
      </c>
      <c r="L13" s="164">
        <f t="shared" ref="L13:L57" si="7">+G13-K13</f>
        <v>-5081651.8299999982</v>
      </c>
      <c r="M13" s="166">
        <f t="shared" si="2"/>
        <v>-6.7016630396259158E-2</v>
      </c>
      <c r="N13" s="163">
        <f>'2021'!P13</f>
        <v>812369.36</v>
      </c>
      <c r="O13" s="163">
        <f>'2021'!P87</f>
        <v>614331.28399014915</v>
      </c>
      <c r="P13" s="164">
        <f t="shared" si="6"/>
        <v>198038.07600985083</v>
      </c>
      <c r="Q13" s="166">
        <f t="shared" si="3"/>
        <v>0.32236365161736802</v>
      </c>
      <c r="R13" s="163">
        <f>'2020'!P13</f>
        <v>2191915.17</v>
      </c>
      <c r="S13" s="164">
        <f t="shared" si="4"/>
        <v>-1379545.81</v>
      </c>
      <c r="T13" s="166">
        <f t="shared" si="5"/>
        <v>-0.62937919718854807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f>'2021'!S14</f>
        <v>1494672.2</v>
      </c>
      <c r="H14" s="163">
        <f>SUM('2021'!G88:P88)</f>
        <v>1259631.3969985202</v>
      </c>
      <c r="I14" s="164">
        <f t="shared" si="0"/>
        <v>235040.80300147971</v>
      </c>
      <c r="J14" s="166">
        <f t="shared" si="1"/>
        <v>0.18659490670170698</v>
      </c>
      <c r="K14" s="163">
        <f>SUM('2020'!G14:P14)</f>
        <v>1296669.07</v>
      </c>
      <c r="L14" s="164">
        <f t="shared" si="7"/>
        <v>198003.12999999989</v>
      </c>
      <c r="M14" s="166">
        <f t="shared" si="2"/>
        <v>0.15270135964606601</v>
      </c>
      <c r="N14" s="163">
        <f>'2021'!P14</f>
        <v>188590.96</v>
      </c>
      <c r="O14" s="163">
        <f>'2021'!P88</f>
        <v>131599.3995438811</v>
      </c>
      <c r="P14" s="164">
        <f t="shared" si="6"/>
        <v>56991.560456118896</v>
      </c>
      <c r="Q14" s="166">
        <f t="shared" si="3"/>
        <v>0.43306854479313461</v>
      </c>
      <c r="R14" s="163">
        <f>'2020'!P14</f>
        <v>204159.6</v>
      </c>
      <c r="S14" s="164">
        <f t="shared" si="4"/>
        <v>-15568.640000000014</v>
      </c>
      <c r="T14" s="166">
        <f t="shared" si="5"/>
        <v>-7.6257202698281179E-2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f>'2021'!S15</f>
        <v>559729750.62</v>
      </c>
      <c r="H15" s="163">
        <f>SUM('2021'!G89:P89)</f>
        <v>512996182.21265602</v>
      </c>
      <c r="I15" s="164">
        <f t="shared" si="0"/>
        <v>46733568.407343984</v>
      </c>
      <c r="J15" s="166">
        <f t="shared" si="1"/>
        <v>9.1099251861432418E-2</v>
      </c>
      <c r="K15" s="163">
        <f>SUM('2020'!G15:P15)</f>
        <v>439081869.86000001</v>
      </c>
      <c r="L15" s="164">
        <f t="shared" si="7"/>
        <v>120647880.75999999</v>
      </c>
      <c r="M15" s="166">
        <f t="shared" si="2"/>
        <v>0.27477308684703439</v>
      </c>
      <c r="N15" s="163">
        <f>'2021'!P15</f>
        <v>66173641.18</v>
      </c>
      <c r="O15" s="163">
        <f>'2021'!P89</f>
        <v>58148605.034415752</v>
      </c>
      <c r="P15" s="164">
        <f t="shared" si="6"/>
        <v>8025036.145584248</v>
      </c>
      <c r="Q15" s="166">
        <f t="shared" si="3"/>
        <v>0.13800909137604522</v>
      </c>
      <c r="R15" s="163">
        <f>'2020'!P15</f>
        <v>50214319.770000003</v>
      </c>
      <c r="S15" s="164">
        <f t="shared" si="4"/>
        <v>15959321.409999996</v>
      </c>
      <c r="T15" s="166">
        <f t="shared" si="5"/>
        <v>0.31782410840372899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f>'2021'!S16</f>
        <v>204720162.66999996</v>
      </c>
      <c r="H16" s="163">
        <f>SUM('2021'!G90:P90)</f>
        <v>199653315.93336102</v>
      </c>
      <c r="I16" s="164">
        <f t="shared" si="0"/>
        <v>5066846.7366389334</v>
      </c>
      <c r="J16" s="166">
        <f t="shared" si="1"/>
        <v>2.5378224814107897E-2</v>
      </c>
      <c r="K16" s="163">
        <f>SUM('2020'!G16:P16)</f>
        <v>169984605.98000002</v>
      </c>
      <c r="L16" s="164">
        <f t="shared" si="7"/>
        <v>34735556.689999938</v>
      </c>
      <c r="M16" s="166">
        <f t="shared" si="2"/>
        <v>0.20434530815153251</v>
      </c>
      <c r="N16" s="163">
        <f>'2021'!P16</f>
        <v>23175011.010000002</v>
      </c>
      <c r="O16" s="163">
        <f>'2021'!P90</f>
        <v>23446216.413521621</v>
      </c>
      <c r="P16" s="164">
        <f t="shared" si="6"/>
        <v>-271205.40352161974</v>
      </c>
      <c r="Q16" s="166">
        <f t="shared" si="3"/>
        <v>-1.1567128731491794E-2</v>
      </c>
      <c r="R16" s="163">
        <f>'2020'!P16</f>
        <v>17308311.120000001</v>
      </c>
      <c r="S16" s="164">
        <f t="shared" si="4"/>
        <v>5866699.8900000006</v>
      </c>
      <c r="T16" s="166">
        <f t="shared" si="5"/>
        <v>0.33895276375179928</v>
      </c>
    </row>
    <row r="17" spans="1:20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f>'2021'!S17</f>
        <v>23356645.169999998</v>
      </c>
      <c r="H17" s="163">
        <f>SUM('2021'!G91:P91)</f>
        <v>20961552.730931498</v>
      </c>
      <c r="I17" s="164">
        <f t="shared" si="0"/>
        <v>2395092.4390685</v>
      </c>
      <c r="J17" s="166">
        <f t="shared" si="1"/>
        <v>0.11426121288878699</v>
      </c>
      <c r="K17" s="163">
        <f>SUM('2020'!G17:P17)</f>
        <v>18916815.209999997</v>
      </c>
      <c r="L17" s="164">
        <f t="shared" si="7"/>
        <v>4439829.9600000009</v>
      </c>
      <c r="M17" s="166">
        <f t="shared" si="2"/>
        <v>0.23470282448247271</v>
      </c>
      <c r="N17" s="163">
        <f>'2021'!P17</f>
        <v>2522288.0299999998</v>
      </c>
      <c r="O17" s="163">
        <f>'2021'!P91</f>
        <v>2135387.3745562532</v>
      </c>
      <c r="P17" s="164">
        <f t="shared" si="6"/>
        <v>386900.6554437466</v>
      </c>
      <c r="Q17" s="166">
        <f t="shared" si="3"/>
        <v>0.18118523133262743</v>
      </c>
      <c r="R17" s="163">
        <f>'2020'!P17</f>
        <v>2059336.2</v>
      </c>
      <c r="S17" s="164">
        <f t="shared" si="4"/>
        <v>462951.82999999984</v>
      </c>
      <c r="T17" s="166">
        <f t="shared" si="5"/>
        <v>0.22480633808117378</v>
      </c>
    </row>
    <row r="18" spans="1:20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f>'2021'!S18</f>
        <v>9277421.910000002</v>
      </c>
      <c r="H18" s="163">
        <f>SUM('2021'!G92:P92)</f>
        <v>9064808.4141868036</v>
      </c>
      <c r="I18" s="164">
        <f t="shared" si="0"/>
        <v>212613.49581319839</v>
      </c>
      <c r="J18" s="166">
        <f t="shared" si="1"/>
        <v>2.345482508824448E-2</v>
      </c>
      <c r="K18" s="163">
        <f>SUM('2020'!G18:P18)</f>
        <v>8276056.4300000006</v>
      </c>
      <c r="L18" s="164">
        <f t="shared" si="7"/>
        <v>1001365.4800000014</v>
      </c>
      <c r="M18" s="166">
        <f t="shared" si="2"/>
        <v>0.12099548721902575</v>
      </c>
      <c r="N18" s="163">
        <f>'2021'!P18</f>
        <v>983657.3</v>
      </c>
      <c r="O18" s="163">
        <f>'2021'!P92</f>
        <v>933028.33587500721</v>
      </c>
      <c r="P18" s="164">
        <f t="shared" si="6"/>
        <v>50628.964124992839</v>
      </c>
      <c r="Q18" s="166">
        <f t="shared" si="3"/>
        <v>5.4263050947442215E-2</v>
      </c>
      <c r="R18" s="163">
        <f>'2020'!P18</f>
        <v>908656.07</v>
      </c>
      <c r="S18" s="164">
        <f t="shared" si="4"/>
        <v>75001.230000000098</v>
      </c>
      <c r="T18" s="166">
        <f t="shared" si="5"/>
        <v>8.2540834179427369E-2</v>
      </c>
    </row>
    <row r="19" spans="1:20">
      <c r="A19" s="150">
        <v>712</v>
      </c>
      <c r="B19" s="538" t="str">
        <f>+VLOOKUP($A19,Master!$D$29:$G$225,4,FALSE)</f>
        <v>Contributions</v>
      </c>
      <c r="C19" s="539"/>
      <c r="D19" s="539"/>
      <c r="E19" s="539"/>
      <c r="F19" s="539"/>
      <c r="G19" s="169">
        <f>'2021'!S19</f>
        <v>420920220.75999999</v>
      </c>
      <c r="H19" s="169">
        <f>SUM('2021'!G93:P93)</f>
        <v>441438229.29473579</v>
      </c>
      <c r="I19" s="170">
        <f t="shared" si="0"/>
        <v>-20518008.534735799</v>
      </c>
      <c r="J19" s="172">
        <f t="shared" si="1"/>
        <v>-4.6479908565047467E-2</v>
      </c>
      <c r="K19" s="169">
        <f>SUM('2020'!G19:P19)</f>
        <v>406606992.83999997</v>
      </c>
      <c r="L19" s="170">
        <f t="shared" si="7"/>
        <v>14313227.920000017</v>
      </c>
      <c r="M19" s="172">
        <f t="shared" si="2"/>
        <v>3.5201627547099879E-2</v>
      </c>
      <c r="N19" s="169">
        <f>'2021'!P19</f>
        <v>44583829.93</v>
      </c>
      <c r="O19" s="169">
        <f>'2021'!P93</f>
        <v>49480561.795459472</v>
      </c>
      <c r="P19" s="170">
        <f t="shared" si="6"/>
        <v>-4896731.8654594719</v>
      </c>
      <c r="Q19" s="172">
        <f t="shared" si="3"/>
        <v>-9.8962737846457038E-2</v>
      </c>
      <c r="R19" s="169">
        <f>'2020'!P19</f>
        <v>46766265.019999996</v>
      </c>
      <c r="S19" s="170">
        <f t="shared" si="4"/>
        <v>-2182435.0899999961</v>
      </c>
      <c r="T19" s="172">
        <f t="shared" si="5"/>
        <v>-4.666686743246784E-2</v>
      </c>
    </row>
    <row r="20" spans="1:20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f>'2021'!S20</f>
        <v>260090610.43000004</v>
      </c>
      <c r="H20" s="163">
        <f>SUM('2021'!G94:P94)</f>
        <v>272045930.01077873</v>
      </c>
      <c r="I20" s="164">
        <f t="shared" si="0"/>
        <v>-11955319.580778688</v>
      </c>
      <c r="J20" s="166">
        <f t="shared" si="1"/>
        <v>-4.3945960082200086E-2</v>
      </c>
      <c r="K20" s="163">
        <f>SUM('2020'!G20:P20)</f>
        <v>253102356.31999999</v>
      </c>
      <c r="L20" s="164">
        <f t="shared" si="7"/>
        <v>6988254.1100000441</v>
      </c>
      <c r="M20" s="166">
        <f t="shared" si="2"/>
        <v>2.7610387400600622E-2</v>
      </c>
      <c r="N20" s="163">
        <f>'2021'!P20</f>
        <v>27909453.050000001</v>
      </c>
      <c r="O20" s="163">
        <f>'2021'!P94</f>
        <v>31360173.411481265</v>
      </c>
      <c r="P20" s="164">
        <f t="shared" si="6"/>
        <v>-3450720.3614812642</v>
      </c>
      <c r="Q20" s="166">
        <f t="shared" si="3"/>
        <v>-0.11003511735103866</v>
      </c>
      <c r="R20" s="163">
        <f>'2020'!P20</f>
        <v>29441670.030000001</v>
      </c>
      <c r="S20" s="164">
        <f t="shared" si="4"/>
        <v>-1532216.9800000004</v>
      </c>
      <c r="T20" s="166">
        <f t="shared" si="5"/>
        <v>-5.2042461532879281E-2</v>
      </c>
    </row>
    <row r="21" spans="1:20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f>'2021'!S21</f>
        <v>137750908.23000002</v>
      </c>
      <c r="H21" s="163">
        <f>SUM('2021'!G95:P95)</f>
        <v>144967169.85551497</v>
      </c>
      <c r="I21" s="164">
        <f t="shared" si="0"/>
        <v>-7216261.6255149543</v>
      </c>
      <c r="J21" s="166">
        <f t="shared" si="1"/>
        <v>-4.9778592164744673E-2</v>
      </c>
      <c r="K21" s="163">
        <f>SUM('2020'!G21:P21)</f>
        <v>131464469.16999999</v>
      </c>
      <c r="L21" s="164">
        <f t="shared" si="7"/>
        <v>6286439.0600000322</v>
      </c>
      <c r="M21" s="166">
        <f t="shared" si="2"/>
        <v>4.7818540626904049E-2</v>
      </c>
      <c r="N21" s="163">
        <f>'2021'!P21</f>
        <v>14237401.24</v>
      </c>
      <c r="O21" s="163">
        <f>'2021'!P95</f>
        <v>15377602.736057095</v>
      </c>
      <c r="P21" s="164">
        <f t="shared" si="6"/>
        <v>-1140201.496057095</v>
      </c>
      <c r="Q21" s="166">
        <f t="shared" si="3"/>
        <v>-7.4146895041291017E-2</v>
      </c>
      <c r="R21" s="163">
        <f>'2020'!P21</f>
        <v>14861911.289999999</v>
      </c>
      <c r="S21" s="164">
        <f t="shared" si="4"/>
        <v>-624510.04999999888</v>
      </c>
      <c r="T21" s="166">
        <f t="shared" si="5"/>
        <v>-4.2020843605775515E-2</v>
      </c>
    </row>
    <row r="22" spans="1:20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f>'2021'!S22</f>
        <v>12486542.950000001</v>
      </c>
      <c r="H22" s="163">
        <f>SUM('2021'!G96:P96)</f>
        <v>13233599.763036609</v>
      </c>
      <c r="I22" s="164">
        <f t="shared" si="0"/>
        <v>-747056.81303660758</v>
      </c>
      <c r="J22" s="166">
        <f t="shared" si="1"/>
        <v>-5.6451519345722345E-2</v>
      </c>
      <c r="K22" s="163">
        <f>SUM('2020'!G22:P22)</f>
        <v>11876948.100000003</v>
      </c>
      <c r="L22" s="164">
        <f t="shared" si="7"/>
        <v>609594.84999999776</v>
      </c>
      <c r="M22" s="166">
        <f t="shared" si="2"/>
        <v>5.1325883119755167E-2</v>
      </c>
      <c r="N22" s="163">
        <f>'2021'!P22</f>
        <v>1312625.81</v>
      </c>
      <c r="O22" s="163">
        <f>'2021'!P96</f>
        <v>1497447.2037642428</v>
      </c>
      <c r="P22" s="164">
        <f t="shared" si="6"/>
        <v>-184821.39376424276</v>
      </c>
      <c r="Q22" s="166">
        <f t="shared" si="3"/>
        <v>-0.12342431392548847</v>
      </c>
      <c r="R22" s="163">
        <f>'2020'!P22</f>
        <v>1260451.97</v>
      </c>
      <c r="S22" s="164">
        <f t="shared" si="4"/>
        <v>52173.840000000084</v>
      </c>
      <c r="T22" s="166">
        <f t="shared" si="5"/>
        <v>4.1392961605669187E-2</v>
      </c>
    </row>
    <row r="23" spans="1:20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f>'2021'!S23</f>
        <v>10592159.15</v>
      </c>
      <c r="H23" s="163">
        <f>SUM('2021'!G97:P97)</f>
        <v>11191529.665405519</v>
      </c>
      <c r="I23" s="164">
        <f t="shared" si="0"/>
        <v>-599370.51540551893</v>
      </c>
      <c r="J23" s="166">
        <f t="shared" si="1"/>
        <v>-5.3555727708809231E-2</v>
      </c>
      <c r="K23" s="163">
        <f>SUM('2020'!G23:P23)</f>
        <v>10163219.25</v>
      </c>
      <c r="L23" s="164">
        <f t="shared" si="7"/>
        <v>428939.90000000037</v>
      </c>
      <c r="M23" s="166">
        <f t="shared" si="2"/>
        <v>4.2205121177524507E-2</v>
      </c>
      <c r="N23" s="163">
        <f>'2021'!P23</f>
        <v>1124349.83</v>
      </c>
      <c r="O23" s="163">
        <f>'2021'!P97</f>
        <v>1245338.4441568626</v>
      </c>
      <c r="P23" s="164">
        <f t="shared" si="6"/>
        <v>-120988.61415686249</v>
      </c>
      <c r="Q23" s="166">
        <f t="shared" si="3"/>
        <v>-9.715319937687783E-2</v>
      </c>
      <c r="R23" s="163">
        <f>'2020'!P23</f>
        <v>1202231.73</v>
      </c>
      <c r="S23" s="164">
        <f t="shared" si="4"/>
        <v>-77881.899999999907</v>
      </c>
      <c r="T23" s="166">
        <f t="shared" si="5"/>
        <v>-6.4781105053682064E-2</v>
      </c>
    </row>
    <row r="24" spans="1:20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f>'2021'!S24</f>
        <v>10344216.34</v>
      </c>
      <c r="H24" s="175">
        <f>SUM('2021'!G98:P98)</f>
        <v>10883777.139626171</v>
      </c>
      <c r="I24" s="176">
        <f t="shared" si="0"/>
        <v>-539560.79962617159</v>
      </c>
      <c r="J24" s="178">
        <f t="shared" si="1"/>
        <v>-4.9574774704060465E-2</v>
      </c>
      <c r="K24" s="175">
        <f>SUM('2020'!G24:P24)</f>
        <v>8465896.75</v>
      </c>
      <c r="L24" s="176">
        <f t="shared" si="7"/>
        <v>1878319.5899999999</v>
      </c>
      <c r="M24" s="178">
        <f t="shared" si="2"/>
        <v>0.2218689461337926</v>
      </c>
      <c r="N24" s="175">
        <f>'2021'!P24</f>
        <v>999355.85</v>
      </c>
      <c r="O24" s="175">
        <f>'2021'!P98</f>
        <v>1104261.3910324392</v>
      </c>
      <c r="P24" s="176">
        <f t="shared" si="6"/>
        <v>-104905.54103243921</v>
      </c>
      <c r="Q24" s="178">
        <f t="shared" si="3"/>
        <v>-9.5000641953402742E-2</v>
      </c>
      <c r="R24" s="175">
        <f>'2020'!P24</f>
        <v>1020237.03</v>
      </c>
      <c r="S24" s="176">
        <f t="shared" si="4"/>
        <v>-20881.180000000051</v>
      </c>
      <c r="T24" s="178">
        <f t="shared" si="5"/>
        <v>-2.0466988930993857E-2</v>
      </c>
    </row>
    <row r="25" spans="1:20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f>'2021'!S25</f>
        <v>33621575.920000002</v>
      </c>
      <c r="H25" s="175">
        <f>SUM('2021'!G99:P99)</f>
        <v>30071485.767296463</v>
      </c>
      <c r="I25" s="176">
        <f t="shared" si="0"/>
        <v>3550090.1527035385</v>
      </c>
      <c r="J25" s="178">
        <f t="shared" si="1"/>
        <v>0.11805502994349393</v>
      </c>
      <c r="K25" s="175">
        <f>SUM('2020'!G25:P25)</f>
        <v>22247308.93</v>
      </c>
      <c r="L25" s="176">
        <f t="shared" si="7"/>
        <v>11374266.990000002</v>
      </c>
      <c r="M25" s="178">
        <f t="shared" si="2"/>
        <v>0.51126484671869932</v>
      </c>
      <c r="N25" s="175">
        <f>'2021'!P25</f>
        <v>4441066.2300000004</v>
      </c>
      <c r="O25" s="175">
        <f>'2021'!P99</f>
        <v>5162825.284848745</v>
      </c>
      <c r="P25" s="176">
        <f t="shared" si="6"/>
        <v>-721759.05484874453</v>
      </c>
      <c r="Q25" s="178">
        <f t="shared" si="3"/>
        <v>-0.13979924073101568</v>
      </c>
      <c r="R25" s="175">
        <f>'2020'!P25</f>
        <v>3223177.49</v>
      </c>
      <c r="S25" s="176">
        <f t="shared" si="4"/>
        <v>1217888.7400000002</v>
      </c>
      <c r="T25" s="178">
        <f t="shared" si="5"/>
        <v>0.37785345168813533</v>
      </c>
    </row>
    <row r="26" spans="1:20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f>'2021'!S26</f>
        <v>48341720.810000002</v>
      </c>
      <c r="H26" s="175">
        <f>SUM('2021'!G100:P100)</f>
        <v>60982903.812088005</v>
      </c>
      <c r="I26" s="176">
        <f t="shared" si="0"/>
        <v>-12641183.002088003</v>
      </c>
      <c r="J26" s="178">
        <f t="shared" si="1"/>
        <v>-0.20729060461011162</v>
      </c>
      <c r="K26" s="175">
        <f>SUM('2020'!G26:P26)</f>
        <v>33245188.069999997</v>
      </c>
      <c r="L26" s="176">
        <f t="shared" si="7"/>
        <v>15096532.740000006</v>
      </c>
      <c r="M26" s="178">
        <f t="shared" si="2"/>
        <v>0.45409677659856307</v>
      </c>
      <c r="N26" s="175">
        <f>'2021'!P26</f>
        <v>1567023.5799999998</v>
      </c>
      <c r="O26" s="175">
        <f>'2021'!P100</f>
        <v>2075658.7152176728</v>
      </c>
      <c r="P26" s="176">
        <f t="shared" si="6"/>
        <v>-508635.13521767291</v>
      </c>
      <c r="Q26" s="178">
        <f t="shared" si="3"/>
        <v>-0.24504757525339749</v>
      </c>
      <c r="R26" s="175">
        <f>'2020'!P26</f>
        <v>2887676.87</v>
      </c>
      <c r="S26" s="176">
        <f t="shared" si="4"/>
        <v>-1320653.2900000003</v>
      </c>
      <c r="T26" s="178">
        <f t="shared" si="5"/>
        <v>-0.45734109093722808</v>
      </c>
    </row>
    <row r="27" spans="1:20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f>'2021'!S27</f>
        <v>6642251.8499999996</v>
      </c>
      <c r="H27" s="175">
        <f>SUM('2021'!G101:P101)</f>
        <v>5642786.9925953979</v>
      </c>
      <c r="I27" s="176">
        <f t="shared" si="0"/>
        <v>999464.85740460176</v>
      </c>
      <c r="J27" s="178">
        <f t="shared" si="1"/>
        <v>0.17712255640982444</v>
      </c>
      <c r="K27" s="175">
        <f>SUM('2020'!G27:P27)</f>
        <v>5291715.1499999994</v>
      </c>
      <c r="L27" s="176">
        <f t="shared" si="7"/>
        <v>1350536.7000000002</v>
      </c>
      <c r="M27" s="178">
        <f t="shared" si="2"/>
        <v>0.25521719550607336</v>
      </c>
      <c r="N27" s="175">
        <f>'2021'!P27</f>
        <v>739287.02</v>
      </c>
      <c r="O27" s="175">
        <f>'2021'!P101</f>
        <v>257220.12073081633</v>
      </c>
      <c r="P27" s="176">
        <f t="shared" si="6"/>
        <v>482066.89926918369</v>
      </c>
      <c r="Q27" s="178">
        <f t="shared" si="3"/>
        <v>1.8741414858974892</v>
      </c>
      <c r="R27" s="175">
        <f>'2020'!P27</f>
        <v>338814.6</v>
      </c>
      <c r="S27" s="176">
        <f t="shared" si="4"/>
        <v>400472.42000000004</v>
      </c>
      <c r="T27" s="178">
        <f t="shared" si="5"/>
        <v>1.181981000818737</v>
      </c>
    </row>
    <row r="28" spans="1:20" ht="15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f>'2021'!S28</f>
        <v>18818476.02</v>
      </c>
      <c r="H28" s="175">
        <f>SUM('2021'!G102:P102)</f>
        <v>37217738.734294817</v>
      </c>
      <c r="I28" s="176">
        <f t="shared" si="0"/>
        <v>-18399262.714294817</v>
      </c>
      <c r="J28" s="178">
        <f t="shared" si="1"/>
        <v>-0.49436809811716353</v>
      </c>
      <c r="K28" s="175">
        <f>SUM('2020'!G28:P28)</f>
        <v>22504243.149999999</v>
      </c>
      <c r="L28" s="176">
        <f t="shared" si="7"/>
        <v>-3685767.129999999</v>
      </c>
      <c r="M28" s="178">
        <f t="shared" si="2"/>
        <v>-0.16378098589820822</v>
      </c>
      <c r="N28" s="175">
        <f>'2021'!P28</f>
        <v>3100970.75</v>
      </c>
      <c r="O28" s="175">
        <f>'2021'!P102</f>
        <v>6045552.820822116</v>
      </c>
      <c r="P28" s="176">
        <f t="shared" si="6"/>
        <v>-2944582.070822116</v>
      </c>
      <c r="Q28" s="178">
        <f t="shared" si="3"/>
        <v>-0.4870658082219339</v>
      </c>
      <c r="R28" s="175">
        <f>'2020'!P28</f>
        <v>1408452.9</v>
      </c>
      <c r="S28" s="176">
        <f t="shared" si="4"/>
        <v>1692517.85</v>
      </c>
      <c r="T28" s="178">
        <f t="shared" si="5"/>
        <v>1.201685800071838</v>
      </c>
    </row>
    <row r="29" spans="1:20" ht="15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>'2021'!S29</f>
        <v>1566375797.3800001</v>
      </c>
      <c r="H29" s="151">
        <f>SUM('2021'!G103:P103)</f>
        <v>1683195225.4779024</v>
      </c>
      <c r="I29" s="152">
        <f t="shared" si="0"/>
        <v>-116819428.0979023</v>
      </c>
      <c r="J29" s="154">
        <f t="shared" si="1"/>
        <v>-6.9403374207370527E-2</v>
      </c>
      <c r="K29" s="151">
        <f>SUM('2020'!G29:P29)</f>
        <v>1687310478.2199998</v>
      </c>
      <c r="L29" s="152">
        <f t="shared" si="7"/>
        <v>-120934680.83999968</v>
      </c>
      <c r="M29" s="154">
        <f t="shared" si="2"/>
        <v>-7.1673045595957996E-2</v>
      </c>
      <c r="N29" s="151">
        <f>'2021'!P29</f>
        <v>157170072.89000002</v>
      </c>
      <c r="O29" s="151">
        <f>'2021'!P103</f>
        <v>172498104.50796145</v>
      </c>
      <c r="P29" s="152">
        <f t="shared" si="6"/>
        <v>-15328031.617961437</v>
      </c>
      <c r="Q29" s="154">
        <f t="shared" si="3"/>
        <v>-8.8859130723108803E-2</v>
      </c>
      <c r="R29" s="151">
        <f>'2020'!P29</f>
        <v>188455616.74000001</v>
      </c>
      <c r="S29" s="152">
        <f t="shared" si="4"/>
        <v>-31285543.849999994</v>
      </c>
      <c r="T29" s="154">
        <f t="shared" si="5"/>
        <v>-0.16601014281873394</v>
      </c>
    </row>
    <row r="30" spans="1:20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313">
        <f>'2021'!S30</f>
        <v>676873500.18000007</v>
      </c>
      <c r="H30" s="313">
        <f>SUM('2021'!G104:P104)</f>
        <v>722660481.85343587</v>
      </c>
      <c r="I30" s="188">
        <f t="shared" si="0"/>
        <v>-45786981.673435807</v>
      </c>
      <c r="J30" s="190">
        <f t="shared" si="1"/>
        <v>-6.3358911720209354E-2</v>
      </c>
      <c r="K30" s="313">
        <f>SUM('2020'!G30:P30)</f>
        <v>691686158.22000003</v>
      </c>
      <c r="L30" s="188">
        <f t="shared" si="7"/>
        <v>-14812658.039999962</v>
      </c>
      <c r="M30" s="190">
        <f t="shared" si="2"/>
        <v>-2.1415287647390757E-2</v>
      </c>
      <c r="N30" s="313">
        <f>'2021'!P30</f>
        <v>65379918.100000001</v>
      </c>
      <c r="O30" s="313">
        <f>'2021'!P104</f>
        <v>74936880.690194771</v>
      </c>
      <c r="P30" s="188">
        <f t="shared" si="6"/>
        <v>-9556962.5901947692</v>
      </c>
      <c r="Q30" s="190">
        <f t="shared" si="3"/>
        <v>-0.12753349888828858</v>
      </c>
      <c r="R30" s="313">
        <f>'2020'!P30</f>
        <v>80306872.579999998</v>
      </c>
      <c r="S30" s="188">
        <f t="shared" si="4"/>
        <v>-14926954.479999997</v>
      </c>
      <c r="T30" s="190">
        <f t="shared" si="5"/>
        <v>-0.1858739358219943</v>
      </c>
    </row>
    <row r="31" spans="1:20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f>'2021'!S31</f>
        <v>445224108.47000003</v>
      </c>
      <c r="H31" s="163">
        <f>SUM('2021'!G105:P105)</f>
        <v>439238134.10306668</v>
      </c>
      <c r="I31" s="164">
        <f t="shared" si="0"/>
        <v>5985974.3669333458</v>
      </c>
      <c r="J31" s="166">
        <f t="shared" si="1"/>
        <v>1.3628084408374042E-2</v>
      </c>
      <c r="K31" s="163">
        <f>SUM('2020'!G31:P31)</f>
        <v>413398111.27999997</v>
      </c>
      <c r="L31" s="164">
        <f t="shared" si="7"/>
        <v>31825997.190000057</v>
      </c>
      <c r="M31" s="166">
        <f t="shared" si="2"/>
        <v>7.6986314938540801E-2</v>
      </c>
      <c r="N31" s="163">
        <f>'2021'!P31</f>
        <v>44272621.719999999</v>
      </c>
      <c r="O31" s="163">
        <f>'2021'!P105</f>
        <v>41853667.688466668</v>
      </c>
      <c r="P31" s="164">
        <f>+N31-O31</f>
        <v>2418954.0315333307</v>
      </c>
      <c r="Q31" s="166">
        <f>IF(+IF(ISERROR(N31/O31),"…",N31/O31-1)&gt;200%,"...",IF(ISERROR(N31/O31),"…",N31/O31-1))</f>
        <v>5.7795509094652253E-2</v>
      </c>
      <c r="R31" s="163">
        <f>'2020'!P31</f>
        <v>42400898.109999999</v>
      </c>
      <c r="S31" s="164">
        <f t="shared" si="4"/>
        <v>1871723.6099999994</v>
      </c>
      <c r="T31" s="166">
        <f t="shared" si="5"/>
        <v>4.4143489723831308E-2</v>
      </c>
    </row>
    <row r="32" spans="1:20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f>'2021'!S32</f>
        <v>7831222.7399999993</v>
      </c>
      <c r="H32" s="163">
        <f>SUM('2021'!G106:P106)</f>
        <v>10515638.307999998</v>
      </c>
      <c r="I32" s="164">
        <f t="shared" si="0"/>
        <v>-2684415.567999999</v>
      </c>
      <c r="J32" s="166">
        <f t="shared" si="1"/>
        <v>-0.25527842337043605</v>
      </c>
      <c r="K32" s="163">
        <f>SUM('2020'!G32:P32)</f>
        <v>9518610.7599999998</v>
      </c>
      <c r="L32" s="164">
        <f t="shared" si="7"/>
        <v>-1687388.0200000005</v>
      </c>
      <c r="M32" s="166">
        <f t="shared" si="2"/>
        <v>-0.17727250988042298</v>
      </c>
      <c r="N32" s="163">
        <f>'2021'!P32</f>
        <v>879406.09</v>
      </c>
      <c r="O32" s="163">
        <f>'2021'!P106</f>
        <v>992187.80600000045</v>
      </c>
      <c r="P32" s="164">
        <f t="shared" si="6"/>
        <v>-112781.71600000048</v>
      </c>
      <c r="Q32" s="166">
        <f t="shared" si="3"/>
        <v>-0.11366972595105695</v>
      </c>
      <c r="R32" s="163">
        <f>'2020'!P32</f>
        <v>1092201.97</v>
      </c>
      <c r="S32" s="164">
        <f t="shared" si="4"/>
        <v>-212795.88</v>
      </c>
      <c r="T32" s="166">
        <f t="shared" si="5"/>
        <v>-0.19483198698130899</v>
      </c>
    </row>
    <row r="33" spans="1:20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f>'2021'!S33</f>
        <v>23264579.600000001</v>
      </c>
      <c r="H33" s="163">
        <f>SUM('2021'!G107:P107)</f>
        <v>27883865.278433334</v>
      </c>
      <c r="I33" s="164">
        <f t="shared" si="0"/>
        <v>-4619285.6784333326</v>
      </c>
      <c r="J33" s="166">
        <f t="shared" si="1"/>
        <v>-0.16566159792796376</v>
      </c>
      <c r="K33" s="163">
        <f>SUM('2020'!G33:P33)</f>
        <v>28079355.600000001</v>
      </c>
      <c r="L33" s="164">
        <f t="shared" si="7"/>
        <v>-4814776</v>
      </c>
      <c r="M33" s="166">
        <f t="shared" si="2"/>
        <v>-0.17147031679031832</v>
      </c>
      <c r="N33" s="163">
        <f>'2021'!P33</f>
        <v>3818905.14</v>
      </c>
      <c r="O33" s="163">
        <f>'2021'!P107</f>
        <v>2038155.2507833347</v>
      </c>
      <c r="P33" s="164">
        <f t="shared" si="6"/>
        <v>1780749.8892166654</v>
      </c>
      <c r="Q33" s="166">
        <f t="shared" si="3"/>
        <v>0.87370669556809299</v>
      </c>
      <c r="R33" s="163">
        <f>'2020'!P33</f>
        <v>4831223.7</v>
      </c>
      <c r="S33" s="164">
        <f t="shared" si="4"/>
        <v>-1012318.56</v>
      </c>
      <c r="T33" s="166">
        <f t="shared" si="5"/>
        <v>-0.20953667701207879</v>
      </c>
    </row>
    <row r="34" spans="1:20">
      <c r="A34" s="150">
        <v>414</v>
      </c>
      <c r="B34" s="536" t="str">
        <f>+VLOOKUP($A34,Master!$D$29:$G$225,4,FALSE)</f>
        <v>Expenditures for Services</v>
      </c>
      <c r="C34" s="537"/>
      <c r="D34" s="537"/>
      <c r="E34" s="537"/>
      <c r="F34" s="537"/>
      <c r="G34" s="163">
        <f>'2021'!S34</f>
        <v>41977383.32</v>
      </c>
      <c r="H34" s="163">
        <f>SUM('2021'!G108:P108)</f>
        <v>53866454.040566668</v>
      </c>
      <c r="I34" s="164">
        <f t="shared" si="0"/>
        <v>-11889070.720566668</v>
      </c>
      <c r="J34" s="166">
        <f t="shared" si="1"/>
        <v>-0.22071381776147814</v>
      </c>
      <c r="K34" s="163">
        <f>SUM('2020'!G34:P34)</f>
        <v>58258613.659999996</v>
      </c>
      <c r="L34" s="164">
        <f t="shared" si="7"/>
        <v>-16281230.339999996</v>
      </c>
      <c r="M34" s="166">
        <f t="shared" si="2"/>
        <v>-0.27946477468581765</v>
      </c>
      <c r="N34" s="163">
        <f>'2021'!P34</f>
        <v>4361907.71</v>
      </c>
      <c r="O34" s="163">
        <f>'2021'!P108</f>
        <v>4439703.7447166666</v>
      </c>
      <c r="P34" s="164">
        <f t="shared" si="6"/>
        <v>-77796.034716666676</v>
      </c>
      <c r="Q34" s="166">
        <f t="shared" si="3"/>
        <v>-1.7522798634761472E-2</v>
      </c>
      <c r="R34" s="163">
        <f>'2020'!P34</f>
        <v>6553727.0800000001</v>
      </c>
      <c r="S34" s="164">
        <f t="shared" si="4"/>
        <v>-2191819.37</v>
      </c>
      <c r="T34" s="166">
        <f t="shared" si="5"/>
        <v>-0.33443860924400903</v>
      </c>
    </row>
    <row r="35" spans="1:20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f>'2021'!S35</f>
        <v>15035076.700000001</v>
      </c>
      <c r="H35" s="163">
        <f>SUM('2021'!G109:P109)</f>
        <v>19184207.722433336</v>
      </c>
      <c r="I35" s="164">
        <f t="shared" si="0"/>
        <v>-4149131.022433335</v>
      </c>
      <c r="J35" s="166">
        <f t="shared" si="1"/>
        <v>-0.21627846625021097</v>
      </c>
      <c r="K35" s="163">
        <f>SUM('2020'!G35:P35)</f>
        <v>17754899.540000003</v>
      </c>
      <c r="L35" s="164">
        <f t="shared" si="7"/>
        <v>-2719822.8400000017</v>
      </c>
      <c r="M35" s="166">
        <f t="shared" si="2"/>
        <v>-0.15318717145498428</v>
      </c>
      <c r="N35" s="163">
        <f>'2021'!P35</f>
        <v>1624347.31</v>
      </c>
      <c r="O35" s="163">
        <f>'2021'!P109</f>
        <v>2078633.2887833335</v>
      </c>
      <c r="P35" s="164">
        <f t="shared" si="6"/>
        <v>-454285.97878333344</v>
      </c>
      <c r="Q35" s="166">
        <f t="shared" si="3"/>
        <v>-0.21855032402047037</v>
      </c>
      <c r="R35" s="163">
        <f>'2020'!P35</f>
        <v>1995447.62</v>
      </c>
      <c r="S35" s="164">
        <f t="shared" si="4"/>
        <v>-371100.31000000006</v>
      </c>
      <c r="T35" s="166">
        <f t="shared" si="5"/>
        <v>-0.18597346594344588</v>
      </c>
    </row>
    <row r="36" spans="1:20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f>'2021'!S36</f>
        <v>80068933.26000002</v>
      </c>
      <c r="H36" s="163">
        <f>SUM('2021'!G110:P110)</f>
        <v>84007270.796369135</v>
      </c>
      <c r="I36" s="164">
        <f t="shared" si="0"/>
        <v>-3938337.5363691151</v>
      </c>
      <c r="J36" s="166">
        <f t="shared" si="1"/>
        <v>-4.6880912795221219E-2</v>
      </c>
      <c r="K36" s="163">
        <f>SUM('2020'!G36:P36)</f>
        <v>91922413.310000017</v>
      </c>
      <c r="L36" s="164">
        <f t="shared" si="7"/>
        <v>-11853480.049999997</v>
      </c>
      <c r="M36" s="166">
        <f t="shared" si="2"/>
        <v>-0.12895092310104184</v>
      </c>
      <c r="N36" s="163">
        <f>'2021'!P36</f>
        <v>1257915.1499999999</v>
      </c>
      <c r="O36" s="163">
        <f>'2021'!P110</f>
        <v>13988709.663728101</v>
      </c>
      <c r="P36" s="164">
        <f t="shared" si="6"/>
        <v>-12730794.513728101</v>
      </c>
      <c r="Q36" s="166">
        <f t="shared" si="3"/>
        <v>-0.91007639873592494</v>
      </c>
      <c r="R36" s="163">
        <f>'2020'!P36</f>
        <v>14223016.369999999</v>
      </c>
      <c r="S36" s="164">
        <f t="shared" si="4"/>
        <v>-12965101.219999999</v>
      </c>
      <c r="T36" s="166">
        <f t="shared" si="5"/>
        <v>-0.91155777949793637</v>
      </c>
    </row>
    <row r="37" spans="1:20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f>'2021'!S37</f>
        <v>7852616.0600000015</v>
      </c>
      <c r="H37" s="163">
        <f>SUM('2021'!G111:P111)</f>
        <v>8879906.1209000014</v>
      </c>
      <c r="I37" s="164">
        <f t="shared" si="0"/>
        <v>-1027290.0608999999</v>
      </c>
      <c r="J37" s="166">
        <f t="shared" si="1"/>
        <v>-0.11568704070892599</v>
      </c>
      <c r="K37" s="163">
        <f>SUM('2020'!G37:P37)</f>
        <v>8604976.7200000007</v>
      </c>
      <c r="L37" s="164">
        <f t="shared" si="7"/>
        <v>-752360.65999999922</v>
      </c>
      <c r="M37" s="166">
        <f t="shared" si="2"/>
        <v>-8.7433201097608437E-2</v>
      </c>
      <c r="N37" s="163">
        <f>'2021'!P37</f>
        <v>956228.2</v>
      </c>
      <c r="O37" s="163">
        <f>'2021'!P111</f>
        <v>997721.26954999997</v>
      </c>
      <c r="P37" s="164">
        <f t="shared" si="6"/>
        <v>-41493.069550000015</v>
      </c>
      <c r="Q37" s="166">
        <f t="shared" si="3"/>
        <v>-4.1587837020568452E-2</v>
      </c>
      <c r="R37" s="163">
        <f>'2020'!P37</f>
        <v>1062864.68</v>
      </c>
      <c r="S37" s="164">
        <f t="shared" si="4"/>
        <v>-106636.47999999998</v>
      </c>
      <c r="T37" s="166">
        <f t="shared" si="5"/>
        <v>-0.10032931003032297</v>
      </c>
    </row>
    <row r="38" spans="1:20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f>'2021'!S38</f>
        <v>30556837.870000001</v>
      </c>
      <c r="H38" s="163">
        <f>SUM('2021'!G112:P112)</f>
        <v>41492955.414933339</v>
      </c>
      <c r="I38" s="164">
        <f t="shared" si="0"/>
        <v>-10936117.544933338</v>
      </c>
      <c r="J38" s="166">
        <f t="shared" si="1"/>
        <v>-0.26356564471176291</v>
      </c>
      <c r="K38" s="163">
        <f>SUM('2020'!G38:P38)</f>
        <v>26247495.200000003</v>
      </c>
      <c r="L38" s="164">
        <f t="shared" si="7"/>
        <v>4309342.6699999981</v>
      </c>
      <c r="M38" s="166">
        <f t="shared" si="2"/>
        <v>0.16418110136467412</v>
      </c>
      <c r="N38" s="163">
        <f>'2021'!P38</f>
        <v>5211144.05</v>
      </c>
      <c r="O38" s="163">
        <f>'2021'!P112</f>
        <v>4639246.2625333332</v>
      </c>
      <c r="P38" s="164">
        <f t="shared" si="6"/>
        <v>571897.78746666666</v>
      </c>
      <c r="Q38" s="166">
        <f t="shared" si="3"/>
        <v>0.12327385853286721</v>
      </c>
      <c r="R38" s="163">
        <f>'2020'!P38</f>
        <v>3866974.49</v>
      </c>
      <c r="S38" s="164">
        <f t="shared" si="4"/>
        <v>1344169.5599999996</v>
      </c>
      <c r="T38" s="166">
        <f t="shared" si="5"/>
        <v>0.34760238617452055</v>
      </c>
    </row>
    <row r="39" spans="1:20">
      <c r="A39" s="150">
        <v>419</v>
      </c>
      <c r="B39" s="536" t="str">
        <f>+VLOOKUP($A39,Master!$D$29:$G$225,4,FALSE)</f>
        <v>Other expenditures</v>
      </c>
      <c r="C39" s="537"/>
      <c r="D39" s="537"/>
      <c r="E39" s="537"/>
      <c r="F39" s="537"/>
      <c r="G39" s="163">
        <f>'2021'!S39</f>
        <v>25062742.16</v>
      </c>
      <c r="H39" s="163">
        <f>SUM('2021'!G113:P113)</f>
        <v>37592050.068733327</v>
      </c>
      <c r="I39" s="164">
        <f t="shared" si="0"/>
        <v>-12529307.908733327</v>
      </c>
      <c r="J39" s="166">
        <f t="shared" si="1"/>
        <v>-0.3332967445463797</v>
      </c>
      <c r="K39" s="163">
        <f>SUM('2020'!G39:P39)</f>
        <v>37901682.150000006</v>
      </c>
      <c r="L39" s="164">
        <f t="shared" si="7"/>
        <v>-12838939.990000006</v>
      </c>
      <c r="M39" s="166">
        <f t="shared" si="2"/>
        <v>-0.33874327633239365</v>
      </c>
      <c r="N39" s="163">
        <f>'2021'!P39</f>
        <v>2997442.73</v>
      </c>
      <c r="O39" s="163">
        <f>'2021'!P113</f>
        <v>3908855.7156333341</v>
      </c>
      <c r="P39" s="164">
        <f t="shared" si="6"/>
        <v>-911412.98563333414</v>
      </c>
      <c r="Q39" s="166">
        <f t="shared" si="3"/>
        <v>-0.23316618773831155</v>
      </c>
      <c r="R39" s="163">
        <f>'2020'!P39</f>
        <v>4280518.5599999996</v>
      </c>
      <c r="S39" s="164">
        <f t="shared" si="4"/>
        <v>-1283075.8299999996</v>
      </c>
      <c r="T39" s="166">
        <f t="shared" si="5"/>
        <v>-0.29974775532803666</v>
      </c>
    </row>
    <row r="40" spans="1:20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'2021'!S40</f>
        <v>469652516.46999985</v>
      </c>
      <c r="H40" s="193">
        <f>SUM('2021'!G114:P114)</f>
        <v>475939624.45356661</v>
      </c>
      <c r="I40" s="194">
        <f t="shared" si="0"/>
        <v>-6287107.983566761</v>
      </c>
      <c r="J40" s="196">
        <f t="shared" si="1"/>
        <v>-1.3209885583250314E-2</v>
      </c>
      <c r="K40" s="193">
        <f>SUM('2020'!G40:P40)</f>
        <v>462388107.04999995</v>
      </c>
      <c r="L40" s="194">
        <f t="shared" si="7"/>
        <v>7264409.4199998975</v>
      </c>
      <c r="M40" s="196">
        <f t="shared" si="2"/>
        <v>1.5710632062633012E-2</v>
      </c>
      <c r="N40" s="193">
        <f>'2021'!P40</f>
        <v>47321393.019999996</v>
      </c>
      <c r="O40" s="193">
        <f>'2021'!P114</f>
        <v>48529569.028216675</v>
      </c>
      <c r="P40" s="194">
        <f t="shared" si="6"/>
        <v>-1208176.0082166791</v>
      </c>
      <c r="Q40" s="196">
        <f t="shared" si="3"/>
        <v>-2.4895667371663821E-2</v>
      </c>
      <c r="R40" s="193">
        <f>'2020'!P40</f>
        <v>47234342.939999998</v>
      </c>
      <c r="S40" s="194">
        <f t="shared" si="4"/>
        <v>87050.079999998212</v>
      </c>
      <c r="T40" s="196">
        <f t="shared" si="5"/>
        <v>1.8429404238897718E-3</v>
      </c>
    </row>
    <row r="41" spans="1:20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f>'2021'!S41</f>
        <v>68461213.930000007</v>
      </c>
      <c r="H41" s="163">
        <f>SUM('2021'!G115:P115)</f>
        <v>68185440.640000001</v>
      </c>
      <c r="I41" s="164">
        <f t="shared" si="0"/>
        <v>275773.29000000656</v>
      </c>
      <c r="J41" s="166">
        <f t="shared" si="1"/>
        <v>4.0444600403186648E-3</v>
      </c>
      <c r="K41" s="163">
        <f>SUM('2020'!G41:P41)</f>
        <v>66693290.530000001</v>
      </c>
      <c r="L41" s="164">
        <f t="shared" si="7"/>
        <v>1767923.400000006</v>
      </c>
      <c r="M41" s="166">
        <f t="shared" si="2"/>
        <v>2.650826471374601E-2</v>
      </c>
      <c r="N41" s="163">
        <f>'2021'!P41</f>
        <v>7587918.79</v>
      </c>
      <c r="O41" s="163">
        <f>'2021'!P115</f>
        <v>7000000</v>
      </c>
      <c r="P41" s="164">
        <f t="shared" si="6"/>
        <v>587918.79</v>
      </c>
      <c r="Q41" s="166">
        <f t="shared" si="3"/>
        <v>8.398839857142848E-2</v>
      </c>
      <c r="R41" s="163">
        <f>'2020'!P41</f>
        <v>7095987.1799999997</v>
      </c>
      <c r="S41" s="164">
        <f t="shared" si="4"/>
        <v>491931.61000000034</v>
      </c>
      <c r="T41" s="166">
        <f t="shared" si="5"/>
        <v>6.9325323950204742E-2</v>
      </c>
    </row>
    <row r="42" spans="1:20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f>'2021'!S42</f>
        <v>18168651.289999999</v>
      </c>
      <c r="H42" s="163">
        <f>SUM('2021'!G116:P116)</f>
        <v>15897146.924000002</v>
      </c>
      <c r="I42" s="164">
        <f t="shared" si="0"/>
        <v>2271504.3659999967</v>
      </c>
      <c r="J42" s="166">
        <f t="shared" si="1"/>
        <v>0.14288754937344739</v>
      </c>
      <c r="K42" s="163">
        <f>SUM('2020'!G42:P42)</f>
        <v>14998467.48</v>
      </c>
      <c r="L42" s="164">
        <f t="shared" si="7"/>
        <v>3170183.8099999987</v>
      </c>
      <c r="M42" s="166">
        <f t="shared" si="2"/>
        <v>0.21136718229561402</v>
      </c>
      <c r="N42" s="163">
        <f>'2021'!P42</f>
        <v>1580041.11</v>
      </c>
      <c r="O42" s="163">
        <f>'2021'!P116</f>
        <v>1331215.5080000004</v>
      </c>
      <c r="P42" s="164">
        <f t="shared" si="6"/>
        <v>248825.60199999972</v>
      </c>
      <c r="Q42" s="166">
        <f t="shared" si="3"/>
        <v>0.18691609322808445</v>
      </c>
      <c r="R42" s="163">
        <f>'2020'!P42</f>
        <v>2312719.52</v>
      </c>
      <c r="S42" s="164">
        <f t="shared" si="4"/>
        <v>-732678.40999999992</v>
      </c>
      <c r="T42" s="166">
        <f t="shared" si="5"/>
        <v>-0.31680383360970632</v>
      </c>
    </row>
    <row r="43" spans="1:20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f>'2021'!S43</f>
        <v>359333320.55000001</v>
      </c>
      <c r="H43" s="163">
        <f>SUM('2021'!G117:P117)</f>
        <v>369207350.74129993</v>
      </c>
      <c r="I43" s="164">
        <f t="shared" si="0"/>
        <v>-9874030.1912999153</v>
      </c>
      <c r="J43" s="166">
        <f t="shared" si="1"/>
        <v>-2.6743861332865326E-2</v>
      </c>
      <c r="K43" s="163">
        <f>SUM('2020'!G43:P43)</f>
        <v>355991931.89000005</v>
      </c>
      <c r="L43" s="164">
        <f t="shared" si="7"/>
        <v>3341388.6599999666</v>
      </c>
      <c r="M43" s="166">
        <f t="shared" si="2"/>
        <v>9.3861359224074459E-3</v>
      </c>
      <c r="N43" s="163">
        <f>'2021'!P43</f>
        <v>35842810.990000002</v>
      </c>
      <c r="O43" s="163">
        <f>'2021'!P117</f>
        <v>38123196.594350003</v>
      </c>
      <c r="P43" s="164">
        <f t="shared" si="6"/>
        <v>-2280385.6043500006</v>
      </c>
      <c r="Q43" s="166">
        <f t="shared" si="3"/>
        <v>-5.9816222354448723E-2</v>
      </c>
      <c r="R43" s="163">
        <f>'2020'!P43</f>
        <v>35477154.850000001</v>
      </c>
      <c r="S43" s="164">
        <f t="shared" si="4"/>
        <v>365656.1400000006</v>
      </c>
      <c r="T43" s="166">
        <f t="shared" si="5"/>
        <v>1.0306805648480521E-2</v>
      </c>
    </row>
    <row r="44" spans="1:20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f>'2021'!S44</f>
        <v>14567092.789999999</v>
      </c>
      <c r="H44" s="163">
        <f>SUM('2021'!G118:P118)</f>
        <v>13228743.205799999</v>
      </c>
      <c r="I44" s="164">
        <f t="shared" si="0"/>
        <v>1338349.5842000004</v>
      </c>
      <c r="J44" s="166">
        <f t="shared" si="1"/>
        <v>0.10116982115226292</v>
      </c>
      <c r="K44" s="163">
        <f>SUM('2020'!G44:P44)</f>
        <v>16821742.689999998</v>
      </c>
      <c r="L44" s="164">
        <f t="shared" si="7"/>
        <v>-2254649.8999999985</v>
      </c>
      <c r="M44" s="166">
        <f t="shared" si="2"/>
        <v>-0.13403188608635164</v>
      </c>
      <c r="N44" s="163">
        <f>'2021'!P44</f>
        <v>978865.16</v>
      </c>
      <c r="O44" s="163">
        <f>'2021'!P118</f>
        <v>1035628.3971000001</v>
      </c>
      <c r="P44" s="164">
        <f t="shared" si="6"/>
        <v>-56763.237100000028</v>
      </c>
      <c r="Q44" s="166">
        <f t="shared" si="3"/>
        <v>-5.4810429357625035E-2</v>
      </c>
      <c r="R44" s="163">
        <f>'2020'!P44</f>
        <v>1553753.79</v>
      </c>
      <c r="S44" s="164">
        <f t="shared" si="4"/>
        <v>-574888.63</v>
      </c>
      <c r="T44" s="166">
        <f t="shared" si="5"/>
        <v>-0.36999982474700832</v>
      </c>
    </row>
    <row r="45" spans="1:20">
      <c r="A45" s="150">
        <v>425</v>
      </c>
      <c r="B45" s="536" t="str">
        <f>+VLOOKUP($A45,Master!$D$29:$G$225,4,FALSE)</f>
        <v>Other Health Care Insurance</v>
      </c>
      <c r="C45" s="537"/>
      <c r="D45" s="537"/>
      <c r="E45" s="537"/>
      <c r="F45" s="537"/>
      <c r="G45" s="163">
        <f>'2021'!S45</f>
        <v>9122237.9100000001</v>
      </c>
      <c r="H45" s="163">
        <f>SUM('2021'!G119:P119)</f>
        <v>9420942.9424666669</v>
      </c>
      <c r="I45" s="164">
        <f t="shared" si="0"/>
        <v>-298705.03246666677</v>
      </c>
      <c r="J45" s="166">
        <f t="shared" si="1"/>
        <v>-3.1706489922595504E-2</v>
      </c>
      <c r="K45" s="163">
        <f>SUM('2020'!G45:P45)</f>
        <v>7882674.459999999</v>
      </c>
      <c r="L45" s="164">
        <f t="shared" si="7"/>
        <v>1239563.4500000011</v>
      </c>
      <c r="M45" s="166">
        <f t="shared" si="2"/>
        <v>0.15725163537959941</v>
      </c>
      <c r="N45" s="163">
        <f>'2021'!P45</f>
        <v>1331756.97</v>
      </c>
      <c r="O45" s="163">
        <f>'2021'!P119</f>
        <v>1039528.5287666667</v>
      </c>
      <c r="P45" s="164">
        <f t="shared" si="6"/>
        <v>292228.44123333332</v>
      </c>
      <c r="Q45" s="166">
        <f t="shared" si="3"/>
        <v>0.28111632643698914</v>
      </c>
      <c r="R45" s="163">
        <f>'2020'!P45</f>
        <v>794727.6</v>
      </c>
      <c r="S45" s="164">
        <f t="shared" si="4"/>
        <v>537029.37</v>
      </c>
      <c r="T45" s="166">
        <f t="shared" si="5"/>
        <v>0.6757401781440584</v>
      </c>
    </row>
    <row r="46" spans="1:20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f>'2021'!S46</f>
        <v>200624724.06</v>
      </c>
      <c r="H46" s="175">
        <f>SUM('2021'!G120:P120)</f>
        <v>218127664.7312333</v>
      </c>
      <c r="I46" s="176">
        <f t="shared" si="0"/>
        <v>-17502940.671233296</v>
      </c>
      <c r="J46" s="178">
        <f t="shared" si="1"/>
        <v>-8.0241727672643481E-2</v>
      </c>
      <c r="K46" s="175">
        <f>SUM('2020'!G46:P46)</f>
        <v>239566480.17999998</v>
      </c>
      <c r="L46" s="176">
        <f t="shared" si="7"/>
        <v>-38941756.119999975</v>
      </c>
      <c r="M46" s="178">
        <f t="shared" si="2"/>
        <v>-0.16255093822282984</v>
      </c>
      <c r="N46" s="175">
        <f>'2021'!P46</f>
        <v>20455248.059999999</v>
      </c>
      <c r="O46" s="175">
        <f>'2021'!P120</f>
        <v>20959047.32438333</v>
      </c>
      <c r="P46" s="176">
        <f t="shared" si="6"/>
        <v>-503799.26438333094</v>
      </c>
      <c r="Q46" s="178">
        <f t="shared" si="3"/>
        <v>-2.4037316991847302E-2</v>
      </c>
      <c r="R46" s="175">
        <f>'2020'!P46</f>
        <v>21288409.039999999</v>
      </c>
      <c r="S46" s="176">
        <f t="shared" si="4"/>
        <v>-833160.98000000045</v>
      </c>
      <c r="T46" s="178">
        <f t="shared" si="5"/>
        <v>-3.913683631475362E-2</v>
      </c>
    </row>
    <row r="47" spans="1:20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f>'2021'!S47</f>
        <v>128208722</v>
      </c>
      <c r="H47" s="175">
        <f>SUM('2021'!G121:P121)</f>
        <v>187408491.5848</v>
      </c>
      <c r="I47" s="176">
        <f t="shared" si="0"/>
        <v>-59199769.584800005</v>
      </c>
      <c r="J47" s="178">
        <f t="shared" si="1"/>
        <v>-0.31588627112989087</v>
      </c>
      <c r="K47" s="175">
        <f>SUM('2020'!G47:P47)</f>
        <v>177554830.61999997</v>
      </c>
      <c r="L47" s="176">
        <f t="shared" si="7"/>
        <v>-49346108.619999975</v>
      </c>
      <c r="M47" s="178">
        <f t="shared" si="2"/>
        <v>-0.27792039477433161</v>
      </c>
      <c r="N47" s="175">
        <f>'2021'!P47</f>
        <v>20452763.75</v>
      </c>
      <c r="O47" s="175">
        <f>'2021'!P121</f>
        <v>24073116.957600009</v>
      </c>
      <c r="P47" s="176">
        <f t="shared" si="6"/>
        <v>-3620353.2076000087</v>
      </c>
      <c r="Q47" s="178">
        <f t="shared" si="3"/>
        <v>-0.15038988154199306</v>
      </c>
      <c r="R47" s="175">
        <f>'2020'!P47</f>
        <v>28780272.41</v>
      </c>
      <c r="S47" s="176">
        <f t="shared" si="4"/>
        <v>-8327508.6600000001</v>
      </c>
      <c r="T47" s="178">
        <f t="shared" si="5"/>
        <v>-0.28934780537749605</v>
      </c>
    </row>
    <row r="48" spans="1:20">
      <c r="A48" s="150">
        <v>451</v>
      </c>
      <c r="B48" s="504" t="str">
        <f>+VLOOKUP($A48,Master!$D$29:$G$225,4,FALSE)</f>
        <v>Credits and Borrowings</v>
      </c>
      <c r="C48" s="505"/>
      <c r="D48" s="505"/>
      <c r="E48" s="505"/>
      <c r="F48" s="505"/>
      <c r="G48" s="163">
        <f>'2021'!S48</f>
        <v>1149478</v>
      </c>
      <c r="H48" s="163">
        <f>SUM('2021'!G122:P122)</f>
        <v>1376427.8898666664</v>
      </c>
      <c r="I48" s="164">
        <f>G48-H48</f>
        <v>-226949.8898666664</v>
      </c>
      <c r="J48" s="282">
        <f t="shared" si="1"/>
        <v>-0.16488323982497255</v>
      </c>
      <c r="K48" s="163">
        <f>SUM('2020'!G48:P48)</f>
        <v>1432745</v>
      </c>
      <c r="L48" s="279">
        <f t="shared" si="7"/>
        <v>-283267</v>
      </c>
      <c r="M48" s="282">
        <f t="shared" si="2"/>
        <v>-0.19770929230253809</v>
      </c>
      <c r="N48" s="163">
        <f>'2021'!P48</f>
        <v>320698</v>
      </c>
      <c r="O48" s="163">
        <f>'2021'!P122</f>
        <v>88786.555066666639</v>
      </c>
      <c r="P48" s="164">
        <f t="shared" si="6"/>
        <v>231911.44493333338</v>
      </c>
      <c r="Q48" s="282" t="str">
        <f t="shared" si="3"/>
        <v>...</v>
      </c>
      <c r="R48" s="163">
        <f>'2020'!P48</f>
        <v>280082</v>
      </c>
      <c r="S48" s="279">
        <f t="shared" si="4"/>
        <v>40616</v>
      </c>
      <c r="T48" s="282">
        <f t="shared" si="5"/>
        <v>0.14501467427396264</v>
      </c>
    </row>
    <row r="49" spans="1:23">
      <c r="A49" s="150">
        <v>47</v>
      </c>
      <c r="B49" s="504" t="str">
        <f>+VLOOKUP($A49,Master!$D$29:$G$225,4,FALSE)</f>
        <v>Reserves</v>
      </c>
      <c r="C49" s="505"/>
      <c r="D49" s="505"/>
      <c r="E49" s="505"/>
      <c r="F49" s="505"/>
      <c r="G49" s="163">
        <f>'2021'!S49</f>
        <v>60191268.329999998</v>
      </c>
      <c r="H49" s="163">
        <f>SUM('2021'!G123:P123)</f>
        <v>65130125.07333333</v>
      </c>
      <c r="I49" s="164">
        <f t="shared" ref="I49:I50" si="8">G49-H49</f>
        <v>-4938856.7433333322</v>
      </c>
      <c r="J49" s="283">
        <f t="shared" si="1"/>
        <v>-7.5830604313632421E-2</v>
      </c>
      <c r="K49" s="163">
        <f>SUM('2020'!G49:P49)</f>
        <v>100876821.03</v>
      </c>
      <c r="L49" s="280">
        <f t="shared" si="7"/>
        <v>-40685552.700000003</v>
      </c>
      <c r="M49" s="283">
        <f t="shared" si="2"/>
        <v>-0.40331913996279112</v>
      </c>
      <c r="N49" s="163">
        <f>'2021'!P49</f>
        <v>2434932.13</v>
      </c>
      <c r="O49" s="163">
        <f>'2021'!P123</f>
        <v>3041462.9633333324</v>
      </c>
      <c r="P49" s="164">
        <f t="shared" si="6"/>
        <v>-606530.83333333256</v>
      </c>
      <c r="Q49" s="283">
        <f t="shared" si="3"/>
        <v>-0.1994207526593047</v>
      </c>
      <c r="R49" s="163">
        <f>'2020'!P49</f>
        <v>9782266.6999999993</v>
      </c>
      <c r="S49" s="280">
        <f t="shared" si="4"/>
        <v>-7347334.5699999994</v>
      </c>
      <c r="T49" s="283">
        <f t="shared" si="5"/>
        <v>-0.75108712482762297</v>
      </c>
      <c r="W49" s="345"/>
    </row>
    <row r="50" spans="1:23" ht="15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63">
        <f>'2021'!S50</f>
        <v>7711252.0800000001</v>
      </c>
      <c r="H50" s="163">
        <f>SUM('2021'!G124:P124)</f>
        <v>3860000</v>
      </c>
      <c r="I50" s="164">
        <f t="shared" si="8"/>
        <v>3851252.08</v>
      </c>
      <c r="J50" s="284">
        <f t="shared" si="1"/>
        <v>0.9977336994818653</v>
      </c>
      <c r="K50" s="163">
        <f>SUM('2020'!G50:P50)</f>
        <v>0</v>
      </c>
      <c r="L50" s="280">
        <f t="shared" si="7"/>
        <v>7711252.0800000001</v>
      </c>
      <c r="M50" s="284" t="str">
        <f t="shared" si="2"/>
        <v>...</v>
      </c>
      <c r="N50" s="163">
        <f>'2021'!P50</f>
        <v>0</v>
      </c>
      <c r="O50" s="163">
        <f>'2021'!P124</f>
        <v>0</v>
      </c>
      <c r="P50" s="164">
        <f t="shared" si="6"/>
        <v>0</v>
      </c>
      <c r="Q50" s="284" t="str">
        <f t="shared" si="3"/>
        <v>...</v>
      </c>
      <c r="R50" s="163">
        <f>'2020'!P50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22" t="str">
        <f>+VLOOKUP($A51,Master!$D$29:$G$225,4,FALSE)</f>
        <v>Repayments of liabilities form the previous period</v>
      </c>
      <c r="C51" s="523"/>
      <c r="D51" s="523"/>
      <c r="E51" s="523"/>
      <c r="F51" s="523"/>
      <c r="G51" s="314">
        <f>'2021'!S51</f>
        <v>21964336.259999998</v>
      </c>
      <c r="H51" s="314">
        <f>SUM('2021'!G125:P125)</f>
        <v>8692409.8916666657</v>
      </c>
      <c r="I51" s="281">
        <f>G51-H51</f>
        <v>13271926.368333332</v>
      </c>
      <c r="J51" s="285">
        <f t="shared" si="1"/>
        <v>1.5268408339851769</v>
      </c>
      <c r="K51" s="314">
        <f>SUM('2020'!G51:P51)</f>
        <v>13805336.120000001</v>
      </c>
      <c r="L51" s="287">
        <f t="shared" si="7"/>
        <v>8159000.1399999969</v>
      </c>
      <c r="M51" s="285">
        <f t="shared" si="2"/>
        <v>0.59100336776153739</v>
      </c>
      <c r="N51" s="314">
        <f>'2021'!P51</f>
        <v>805119.83</v>
      </c>
      <c r="O51" s="314">
        <f>'2021'!P125</f>
        <v>869240.98916666664</v>
      </c>
      <c r="P51" s="281">
        <f>N51-O51</f>
        <v>-64121.159166666679</v>
      </c>
      <c r="Q51" s="285">
        <f t="shared" si="3"/>
        <v>-7.3766837926199313E-2</v>
      </c>
      <c r="R51" s="314">
        <f>'2020'!P51</f>
        <v>783371.07</v>
      </c>
      <c r="S51" s="287">
        <f>+N51-R51</f>
        <v>21748.760000000009</v>
      </c>
      <c r="T51" s="285">
        <f t="shared" si="5"/>
        <v>2.7763036998545321E-2</v>
      </c>
    </row>
    <row r="52" spans="1:23" ht="15" thickBot="1">
      <c r="A52" s="144">
        <v>1005</v>
      </c>
      <c r="B52" s="522" t="str">
        <f>+VLOOKUP($A52,Master!$D$29:$G$227,4,FALSE)</f>
        <v>Net increase of liabilities</v>
      </c>
      <c r="C52" s="523"/>
      <c r="D52" s="523"/>
      <c r="E52" s="523"/>
      <c r="F52" s="523"/>
      <c r="G52" s="163">
        <f>'2021'!S52</f>
        <v>0</v>
      </c>
      <c r="H52" s="163">
        <f>SUM('2021'!G126:P126)</f>
        <v>0</v>
      </c>
      <c r="I52" s="281">
        <f>G52-H52</f>
        <v>0</v>
      </c>
      <c r="J52" s="285" t="str">
        <f t="shared" si="1"/>
        <v>...</v>
      </c>
      <c r="K52" s="163">
        <f>SUM('2020'!G52:P52)</f>
        <v>0</v>
      </c>
      <c r="L52" s="287">
        <f t="shared" si="7"/>
        <v>0</v>
      </c>
      <c r="M52" s="285" t="str">
        <f t="shared" si="2"/>
        <v>...</v>
      </c>
      <c r="N52" s="163">
        <f>'2021'!P52</f>
        <v>0</v>
      </c>
      <c r="O52" s="163">
        <f>'2021'!P126</f>
        <v>0</v>
      </c>
      <c r="P52" s="281">
        <f>N52-O52</f>
        <v>0</v>
      </c>
      <c r="Q52" s="285" t="str">
        <f t="shared" si="3"/>
        <v>...</v>
      </c>
      <c r="R52" s="163">
        <f>'2020'!P52</f>
        <v>0</v>
      </c>
      <c r="S52" s="287">
        <f>+N52-R52</f>
        <v>0</v>
      </c>
      <c r="T52" s="285" t="str">
        <f t="shared" si="5"/>
        <v>...</v>
      </c>
    </row>
    <row r="53" spans="1:23" ht="1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>'2021'!S53</f>
        <v>-61807018.629999965</v>
      </c>
      <c r="H53" s="151">
        <f>SUM('2021'!G127:P127)</f>
        <v>-180970747.67621848</v>
      </c>
      <c r="I53" s="321">
        <f>+G53-H53</f>
        <v>119163729.04621851</v>
      </c>
      <c r="J53" s="286">
        <f t="shared" si="1"/>
        <v>-0.65846956249204869</v>
      </c>
      <c r="K53" s="151">
        <f>SUM('2020'!G53:P53)</f>
        <v>-383990433.67000002</v>
      </c>
      <c r="L53" s="288">
        <f t="shared" si="7"/>
        <v>322183415.04000008</v>
      </c>
      <c r="M53" s="286">
        <f t="shared" si="2"/>
        <v>-0.83904021243634241</v>
      </c>
      <c r="N53" s="151">
        <f>'2021'!P53</f>
        <v>2831706.9600000083</v>
      </c>
      <c r="O53" s="151">
        <f>'2021'!P127</f>
        <v>-7659366.5953308344</v>
      </c>
      <c r="P53" s="321">
        <f>N53-O53</f>
        <v>10491073.555330843</v>
      </c>
      <c r="Q53" s="286">
        <f t="shared" si="3"/>
        <v>-1.3697051087391774</v>
      </c>
      <c r="R53" s="151">
        <f>'2020'!P53</f>
        <v>-51076156.00999999</v>
      </c>
      <c r="S53" s="288">
        <f t="shared" si="4"/>
        <v>53907862.969999999</v>
      </c>
      <c r="T53" s="286">
        <f t="shared" si="5"/>
        <v>-1.0554408785078815</v>
      </c>
    </row>
    <row r="54" spans="1:23" ht="1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151">
        <f>'2021'!S54</f>
        <v>18261914.630000062</v>
      </c>
      <c r="H54" s="151">
        <f>SUM('2021'!G128:P128)</f>
        <v>-96963476.879849315</v>
      </c>
      <c r="I54" s="206">
        <f t="shared" si="0"/>
        <v>115225391.50984937</v>
      </c>
      <c r="J54" s="208">
        <f t="shared" si="1"/>
        <v>-1.1883380755068118</v>
      </c>
      <c r="K54" s="151">
        <f>SUM('2020'!G54:P54)</f>
        <v>-292068020.36000001</v>
      </c>
      <c r="L54" s="206">
        <f t="shared" si="7"/>
        <v>310329934.99000007</v>
      </c>
      <c r="M54" s="208">
        <f t="shared" si="2"/>
        <v>-1.0625262382628904</v>
      </c>
      <c r="N54" s="151">
        <f>'2021'!P54</f>
        <v>4089622.1100000083</v>
      </c>
      <c r="O54" s="151">
        <f>'2021'!P128</f>
        <v>6329343.0683972668</v>
      </c>
      <c r="P54" s="206">
        <f t="shared" si="6"/>
        <v>-2239720.9583972585</v>
      </c>
      <c r="Q54" s="208">
        <f t="shared" si="3"/>
        <v>-0.35386309988161324</v>
      </c>
      <c r="R54" s="151">
        <f>'2020'!P54</f>
        <v>-36853139.639999993</v>
      </c>
      <c r="S54" s="206">
        <f t="shared" si="4"/>
        <v>40942761.75</v>
      </c>
      <c r="T54" s="208">
        <f t="shared" si="5"/>
        <v>-1.1109707924467085</v>
      </c>
    </row>
    <row r="55" spans="1:23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492">
        <f>'2021'!S55</f>
        <v>407788371.56999999</v>
      </c>
      <c r="H55" s="492">
        <f>SUM('2021'!G129:P129)</f>
        <v>421291763.31499755</v>
      </c>
      <c r="I55" s="493">
        <f t="shared" si="0"/>
        <v>-13503391.744997561</v>
      </c>
      <c r="J55" s="494">
        <f t="shared" si="1"/>
        <v>-3.2052351649944688E-2</v>
      </c>
      <c r="K55" s="492">
        <f>SUM('2020'!G55:P55)</f>
        <v>546228882.21999991</v>
      </c>
      <c r="L55" s="493">
        <f t="shared" si="7"/>
        <v>-138440510.64999992</v>
      </c>
      <c r="M55" s="494">
        <f t="shared" si="2"/>
        <v>-0.25344780394501631</v>
      </c>
      <c r="N55" s="492">
        <f>'2021'!P55</f>
        <v>7558722.7800000003</v>
      </c>
      <c r="O55" s="492">
        <f>'2021'!P129</f>
        <v>7500624.1296504997</v>
      </c>
      <c r="P55" s="493">
        <f t="shared" si="6"/>
        <v>58098.650349500589</v>
      </c>
      <c r="Q55" s="494">
        <f t="shared" si="3"/>
        <v>7.7458421253016052E-3</v>
      </c>
      <c r="R55" s="492">
        <f>'2020'!P55</f>
        <v>22451086.93</v>
      </c>
      <c r="S55" s="493">
        <f t="shared" si="4"/>
        <v>-14892364.149999999</v>
      </c>
      <c r="T55" s="494">
        <f t="shared" si="5"/>
        <v>-0.66332486246357425</v>
      </c>
    </row>
    <row r="56" spans="1:23">
      <c r="A56" s="144">
        <v>4611</v>
      </c>
      <c r="B56" s="504" t="str">
        <f>+VLOOKUP($A56,Master!$D$29:$G$225,4,FALSE)</f>
        <v>Repayment of Domestic Debt</v>
      </c>
      <c r="C56" s="505"/>
      <c r="D56" s="505"/>
      <c r="E56" s="505"/>
      <c r="F56" s="505"/>
      <c r="G56" s="163">
        <f>'2021'!S56</f>
        <v>74212315.400000006</v>
      </c>
      <c r="H56" s="163">
        <f>SUM('2021'!G130:P130)</f>
        <v>79615661.590000018</v>
      </c>
      <c r="I56" s="212">
        <f t="shared" si="0"/>
        <v>-5403346.1900000125</v>
      </c>
      <c r="J56" s="214">
        <f t="shared" si="1"/>
        <v>-6.7867880290009341E-2</v>
      </c>
      <c r="K56" s="163">
        <f>SUM('2020'!G56:P56)</f>
        <v>144408149.72</v>
      </c>
      <c r="L56" s="212">
        <f t="shared" si="7"/>
        <v>-70195834.319999993</v>
      </c>
      <c r="M56" s="214">
        <f t="shared" si="2"/>
        <v>-0.48609330190924904</v>
      </c>
      <c r="N56" s="163">
        <f>'2021'!P56</f>
        <v>3875503.62</v>
      </c>
      <c r="O56" s="163">
        <f>'2021'!P130</f>
        <v>3875503.62</v>
      </c>
      <c r="P56" s="212">
        <f t="shared" si="6"/>
        <v>0</v>
      </c>
      <c r="Q56" s="214">
        <f t="shared" si="3"/>
        <v>0</v>
      </c>
      <c r="R56" s="163">
        <f>'2020'!P56</f>
        <v>18541765.760000002</v>
      </c>
      <c r="S56" s="212">
        <f t="shared" si="4"/>
        <v>-14666262.140000001</v>
      </c>
      <c r="T56" s="214">
        <f t="shared" si="5"/>
        <v>-0.79098519147725443</v>
      </c>
    </row>
    <row r="57" spans="1:23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163">
        <f>'2021'!S57</f>
        <v>333576056.17000002</v>
      </c>
      <c r="H57" s="163">
        <f>SUM('2021'!G131:P131)</f>
        <v>341676101.72499758</v>
      </c>
      <c r="I57" s="212">
        <f t="shared" si="0"/>
        <v>-8100045.5549975634</v>
      </c>
      <c r="J57" s="214">
        <f t="shared" si="1"/>
        <v>-2.3706795746332276E-2</v>
      </c>
      <c r="K57" s="163">
        <f>SUM('2020'!G57:P57)</f>
        <v>401820732.5</v>
      </c>
      <c r="L57" s="212">
        <f t="shared" si="7"/>
        <v>-68244676.329999983</v>
      </c>
      <c r="M57" s="214">
        <f t="shared" si="2"/>
        <v>-0.16983861411381995</v>
      </c>
      <c r="N57" s="163">
        <f>'2021'!P57</f>
        <v>3683219.16</v>
      </c>
      <c r="O57" s="163">
        <f>'2021'!P131</f>
        <v>3625120.5096505</v>
      </c>
      <c r="P57" s="212">
        <f t="shared" si="6"/>
        <v>58098.650349500123</v>
      </c>
      <c r="Q57" s="214">
        <f t="shared" si="3"/>
        <v>1.6026681097865536E-2</v>
      </c>
      <c r="R57" s="163">
        <f>'2020'!P57</f>
        <v>3909321.17</v>
      </c>
      <c r="S57" s="212">
        <f t="shared" si="4"/>
        <v>-226102.00999999978</v>
      </c>
      <c r="T57" s="214">
        <f t="shared" si="5"/>
        <v>-5.7836642262881655E-2</v>
      </c>
    </row>
    <row r="58" spans="1:23" ht="15" thickBot="1">
      <c r="A58" s="144">
        <v>4418</v>
      </c>
      <c r="B58" s="532" t="str">
        <f>+VLOOKUP($A58,Master!$D$29:$G$225,4,FALSE)</f>
        <v>Capital Expenditure for Securities</v>
      </c>
      <c r="C58" s="533"/>
      <c r="D58" s="533"/>
      <c r="E58" s="533"/>
      <c r="F58" s="533"/>
      <c r="G58" s="336">
        <f>'2021'!S58</f>
        <v>506343.98</v>
      </c>
      <c r="H58" s="336">
        <f>SUM('2021'!G132:P132)</f>
        <v>536784</v>
      </c>
      <c r="I58" s="337">
        <f t="shared" ref="I58:I64" si="9">+G58-H58</f>
        <v>-30440.020000000019</v>
      </c>
      <c r="J58" s="338">
        <f t="shared" si="1"/>
        <v>-5.6708135860979447E-2</v>
      </c>
      <c r="K58" s="336">
        <f>SUM('2020'!G58:P58)</f>
        <v>940769.61</v>
      </c>
      <c r="L58" s="337">
        <f t="shared" ref="L58:L64" si="10">+G58-K58</f>
        <v>-434425.63</v>
      </c>
      <c r="M58" s="338">
        <f t="shared" si="2"/>
        <v>-0.46177685310221706</v>
      </c>
      <c r="N58" s="336">
        <f>'2021'!P58</f>
        <v>506343.98</v>
      </c>
      <c r="O58" s="336">
        <f>'2021'!P132</f>
        <v>0</v>
      </c>
      <c r="P58" s="337">
        <f t="shared" ref="P58:P64" si="11">+N58-O58</f>
        <v>506343.98</v>
      </c>
      <c r="Q58" s="338" t="str">
        <f t="shared" si="3"/>
        <v>...</v>
      </c>
      <c r="R58" s="336">
        <f>'2020'!P58</f>
        <v>0</v>
      </c>
      <c r="S58" s="337">
        <f t="shared" ref="S58:S64" si="12">+N58-R58</f>
        <v>506343.98</v>
      </c>
      <c r="T58" s="338" t="str">
        <f t="shared" si="5"/>
        <v>...</v>
      </c>
    </row>
    <row r="59" spans="1:23" ht="15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320">
        <f>'2021'!S59</f>
        <v>-470101734.18000001</v>
      </c>
      <c r="H59" s="320">
        <f>SUM('2021'!G133:P133)</f>
        <v>-602799294.99121594</v>
      </c>
      <c r="I59" s="322">
        <f t="shared" si="9"/>
        <v>132697560.81121594</v>
      </c>
      <c r="J59" s="323">
        <f t="shared" si="1"/>
        <v>-0.22013556073112128</v>
      </c>
      <c r="K59" s="320">
        <f>SUM('2020'!G59:P59)</f>
        <v>-931160085.5</v>
      </c>
      <c r="L59" s="322">
        <f t="shared" si="10"/>
        <v>461058351.31999999</v>
      </c>
      <c r="M59" s="323">
        <f t="shared" si="2"/>
        <v>-0.49514402356757803</v>
      </c>
      <c r="N59" s="320">
        <f>'2021'!P59</f>
        <v>-5233359.7999999914</v>
      </c>
      <c r="O59" s="320">
        <f>'2021'!P133</f>
        <v>-15159990.724981334</v>
      </c>
      <c r="P59" s="322">
        <f t="shared" si="11"/>
        <v>9926630.9249813426</v>
      </c>
      <c r="Q59" s="323">
        <f t="shared" si="3"/>
        <v>-0.65479135871922278</v>
      </c>
      <c r="R59" s="320">
        <f>'2020'!P59</f>
        <v>-73527242.939999998</v>
      </c>
      <c r="S59" s="322">
        <f t="shared" si="12"/>
        <v>68293883.140000001</v>
      </c>
      <c r="T59" s="323">
        <f t="shared" si="5"/>
        <v>-0.92882420731768034</v>
      </c>
    </row>
    <row r="60" spans="1:23" ht="15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'2021'!S60</f>
        <v>470101734.18000001</v>
      </c>
      <c r="H60" s="151">
        <f>SUM('2021'!G134:P134)</f>
        <v>602799294.99121594</v>
      </c>
      <c r="I60" s="321">
        <f t="shared" si="9"/>
        <v>-132697560.81121594</v>
      </c>
      <c r="J60" s="324">
        <f t="shared" si="1"/>
        <v>-0.22013556073112128</v>
      </c>
      <c r="K60" s="151">
        <f>SUM('2020'!G60:P60)</f>
        <v>931160085.5</v>
      </c>
      <c r="L60" s="321">
        <f t="shared" si="10"/>
        <v>-461058351.31999999</v>
      </c>
      <c r="M60" s="324">
        <f t="shared" si="2"/>
        <v>-0.49514402356757803</v>
      </c>
      <c r="N60" s="151">
        <f>'2021'!P60</f>
        <v>5233359.7999999914</v>
      </c>
      <c r="O60" s="151">
        <f>'2021'!P134</f>
        <v>15159990.724981334</v>
      </c>
      <c r="P60" s="321">
        <f t="shared" si="11"/>
        <v>-9926630.9249813426</v>
      </c>
      <c r="Q60" s="324">
        <f t="shared" si="3"/>
        <v>-0.65479135871922278</v>
      </c>
      <c r="R60" s="151">
        <f>'2020'!P60</f>
        <v>73527242.939999998</v>
      </c>
      <c r="S60" s="321">
        <f t="shared" si="12"/>
        <v>-68293883.140000001</v>
      </c>
      <c r="T60" s="324">
        <f t="shared" si="5"/>
        <v>-0.92882420731768034</v>
      </c>
    </row>
    <row r="61" spans="1:23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484">
        <f>'2021'!S61</f>
        <v>0</v>
      </c>
      <c r="H61" s="484">
        <f>SUM('2021'!G135:P135)</f>
        <v>0</v>
      </c>
      <c r="I61" s="212">
        <f t="shared" si="9"/>
        <v>0</v>
      </c>
      <c r="J61" s="214" t="str">
        <f t="shared" si="1"/>
        <v>...</v>
      </c>
      <c r="K61" s="163">
        <f>SUM('2020'!G61:P61)</f>
        <v>139532059.13</v>
      </c>
      <c r="L61" s="212">
        <f t="shared" si="10"/>
        <v>-139532059.13</v>
      </c>
      <c r="M61" s="214">
        <f t="shared" si="2"/>
        <v>-1</v>
      </c>
      <c r="N61" s="163">
        <f>'2021'!P61</f>
        <v>0</v>
      </c>
      <c r="O61" s="163">
        <f>'2021'!P135</f>
        <v>0</v>
      </c>
      <c r="P61" s="212">
        <f t="shared" si="11"/>
        <v>0</v>
      </c>
      <c r="Q61" s="214" t="str">
        <f t="shared" si="3"/>
        <v>...</v>
      </c>
      <c r="R61" s="163">
        <f>'2020'!P61</f>
        <v>15000000</v>
      </c>
      <c r="S61" s="212">
        <f t="shared" si="12"/>
        <v>-15000000</v>
      </c>
      <c r="T61" s="214">
        <f t="shared" si="5"/>
        <v>-1</v>
      </c>
    </row>
    <row r="62" spans="1:23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163">
        <f>'2021'!S62</f>
        <v>90766307.720000014</v>
      </c>
      <c r="H62" s="163">
        <f>SUM('2021'!G136:P136)</f>
        <v>127200000</v>
      </c>
      <c r="I62" s="212">
        <f t="shared" si="9"/>
        <v>-36433692.279999986</v>
      </c>
      <c r="J62" s="214">
        <f t="shared" si="1"/>
        <v>-0.28642839842767287</v>
      </c>
      <c r="K62" s="163">
        <f>SUM('2020'!G62:P62)</f>
        <v>416277603.52999997</v>
      </c>
      <c r="L62" s="212">
        <f t="shared" si="10"/>
        <v>-325511295.80999994</v>
      </c>
      <c r="M62" s="214">
        <f t="shared" si="2"/>
        <v>-0.78195726373384211</v>
      </c>
      <c r="N62" s="163">
        <f>'2021'!P62</f>
        <v>6213545.29</v>
      </c>
      <c r="O62" s="163">
        <f>'2021'!P136</f>
        <v>18900000</v>
      </c>
      <c r="P62" s="212">
        <f t="shared" si="11"/>
        <v>-12686454.710000001</v>
      </c>
      <c r="Q62" s="214">
        <f t="shared" si="3"/>
        <v>-0.67124098994708992</v>
      </c>
      <c r="R62" s="163">
        <f>'2020'!P62</f>
        <v>43616999.969999999</v>
      </c>
      <c r="S62" s="212">
        <f t="shared" si="12"/>
        <v>-37403454.68</v>
      </c>
      <c r="T62" s="214">
        <f t="shared" si="5"/>
        <v>-0.85754303839618251</v>
      </c>
    </row>
    <row r="63" spans="1:23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163">
        <f>'2021'!S63</f>
        <v>1543180.2200000002</v>
      </c>
      <c r="H63" s="163">
        <f>SUM('2021'!G137:P137)</f>
        <v>4267594.17</v>
      </c>
      <c r="I63" s="212">
        <f t="shared" si="9"/>
        <v>-2724413.9499999997</v>
      </c>
      <c r="J63" s="214">
        <f t="shared" si="1"/>
        <v>-0.63839574277045186</v>
      </c>
      <c r="K63" s="163">
        <f>SUM('2020'!G63:P63)</f>
        <v>7433489.4900000002</v>
      </c>
      <c r="L63" s="212">
        <f t="shared" si="10"/>
        <v>-5890309.2699999996</v>
      </c>
      <c r="M63" s="214">
        <f t="shared" si="2"/>
        <v>-0.79240164096875576</v>
      </c>
      <c r="N63" s="163">
        <f>'2021'!P63</f>
        <v>306257.21000000002</v>
      </c>
      <c r="O63" s="163">
        <f>'2021'!P137</f>
        <v>866202.91500000004</v>
      </c>
      <c r="P63" s="212">
        <f t="shared" si="11"/>
        <v>-559945.70500000007</v>
      </c>
      <c r="Q63" s="214">
        <f t="shared" si="3"/>
        <v>-0.64643710532883625</v>
      </c>
      <c r="R63" s="163">
        <f>'2020'!P63</f>
        <v>1253015.19</v>
      </c>
      <c r="S63" s="212">
        <f t="shared" si="12"/>
        <v>-946757.98</v>
      </c>
      <c r="T63" s="214">
        <f t="shared" si="5"/>
        <v>-0.75558380102319433</v>
      </c>
    </row>
    <row r="64" spans="1:23" ht="1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318">
        <f>'2021'!S64</f>
        <v>377792246.24000007</v>
      </c>
      <c r="H64" s="318">
        <f>SUM('2021'!G138:P138)</f>
        <v>471331700.82121599</v>
      </c>
      <c r="I64" s="226">
        <f t="shared" si="9"/>
        <v>-93539454.581215918</v>
      </c>
      <c r="J64" s="228">
        <f t="shared" si="1"/>
        <v>-0.1984578045954456</v>
      </c>
      <c r="K64" s="318">
        <f>SUM('2020'!G64:P64)</f>
        <v>367916933.3499999</v>
      </c>
      <c r="L64" s="226">
        <f t="shared" si="10"/>
        <v>9875312.8900001645</v>
      </c>
      <c r="M64" s="228">
        <f t="shared" si="2"/>
        <v>2.6841148082210609E-2</v>
      </c>
      <c r="N64" s="318">
        <f>'2021'!P64</f>
        <v>-1286442.7000000086</v>
      </c>
      <c r="O64" s="318">
        <f>'2021'!P138</f>
        <v>-4606212.190018665</v>
      </c>
      <c r="P64" s="226">
        <f t="shared" si="11"/>
        <v>3319769.4900186565</v>
      </c>
      <c r="Q64" s="228">
        <f t="shared" si="3"/>
        <v>-0.72071571023418368</v>
      </c>
      <c r="R64" s="318">
        <f>'2020'!P64</f>
        <v>13657227.780000001</v>
      </c>
      <c r="S64" s="226">
        <f t="shared" si="12"/>
        <v>-14943670.48000001</v>
      </c>
      <c r="T64" s="228">
        <f t="shared" si="5"/>
        <v>-1.0941950094647985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ThLNmP6E7AajNIoHHd4ju+eI6UCR7jC66fipbwXcpNSdOBqwXtAoMZVbbOQY4y8yag17fVSc7IBO9e5gOcydCA==" saltValue="3Jbnqo1aZ2B5errVdR79iw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1</xdr:col>
                    <xdr:colOff>632460</xdr:colOff>
                    <xdr:row>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30480</xdr:rowOff>
                  </from>
                  <to>
                    <xdr:col>2</xdr:col>
                    <xdr:colOff>579120</xdr:colOff>
                    <xdr:row>1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46"/>
  <sheetViews>
    <sheetView zoomScaleNormal="100" workbookViewId="0">
      <pane ySplit="1" topLeftCell="A2" activePane="bottomLeft" state="frozen"/>
      <selection pane="bottomLeft" activeCell="G59" sqref="G59"/>
    </sheetView>
  </sheetViews>
  <sheetFormatPr defaultColWidth="9.109375" defaultRowHeight="13.8"/>
  <cols>
    <col min="1" max="1" width="5.44140625" style="70" customWidth="1"/>
    <col min="2" max="4" width="9.109375" style="258"/>
    <col min="5" max="5" width="28.6640625" style="258" customWidth="1"/>
    <col min="6" max="6" width="0.44140625" style="258" customWidth="1"/>
    <col min="7" max="9" width="10.6640625" style="258" customWidth="1"/>
    <col min="10" max="10" width="14.44140625" style="258" customWidth="1"/>
    <col min="11" max="18" width="10.6640625" style="258" customWidth="1"/>
    <col min="19" max="19" width="13.33203125" style="258" customWidth="1"/>
    <col min="20" max="20" width="10.6640625" style="258" customWidth="1"/>
    <col min="21" max="21" width="20.33203125" style="258" customWidth="1"/>
    <col min="22" max="22" width="14.88671875" style="258" bestFit="1" customWidth="1"/>
    <col min="23" max="16384" width="9.109375" style="258"/>
  </cols>
  <sheetData>
    <row r="1" spans="1:20" s="1" customFormat="1" ht="3" customHeight="1">
      <c r="A1" s="69"/>
    </row>
    <row r="2" spans="1:20" s="1" customFormat="1" ht="14.4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501"/>
      <c r="M2" s="126"/>
      <c r="N2" s="126"/>
      <c r="O2" s="126"/>
      <c r="P2" s="126"/>
      <c r="Q2" s="126"/>
      <c r="R2" s="126"/>
      <c r="S2" s="126"/>
      <c r="T2" s="126"/>
    </row>
    <row r="3" spans="1:20" s="1" customFormat="1" ht="14.4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4.4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4.4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607" t="str">
        <f>+Master!G251</f>
        <v>Budget Execution</v>
      </c>
      <c r="C7" s="507"/>
      <c r="D7" s="507"/>
      <c r="E7" s="507"/>
      <c r="F7" s="507"/>
      <c r="G7" s="515">
        <v>2021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GDP</v>
      </c>
      <c r="T7" s="236">
        <v>4881300000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15" t="str">
        <f>+Master!G246</f>
        <v>Jan - Dec</v>
      </c>
      <c r="T8" s="519"/>
    </row>
    <row r="9" spans="1:20" ht="14.4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4.4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136581738.56</v>
      </c>
      <c r="L10" s="151">
        <f t="shared" si="1"/>
        <v>158957781.16000003</v>
      </c>
      <c r="M10" s="151">
        <f t="shared" si="1"/>
        <v>194103304.03</v>
      </c>
      <c r="N10" s="151">
        <f t="shared" si="1"/>
        <v>190105980.75999999</v>
      </c>
      <c r="O10" s="151">
        <f t="shared" si="1"/>
        <v>172282444.23000002</v>
      </c>
      <c r="P10" s="151">
        <f t="shared" si="1"/>
        <v>160001779.85000002</v>
      </c>
      <c r="Q10" s="151">
        <f t="shared" si="1"/>
        <v>0</v>
      </c>
      <c r="R10" s="151">
        <f t="shared" si="1"/>
        <v>0</v>
      </c>
      <c r="S10" s="239">
        <f>+SUM(G10:R10)</f>
        <v>1504568778.75</v>
      </c>
      <c r="T10" s="463">
        <f>+S10/$T$7*100</f>
        <v>30.823116357322846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0</v>
      </c>
      <c r="R11" s="240">
        <f t="shared" si="2"/>
        <v>0</v>
      </c>
      <c r="S11" s="241">
        <f>+SUM(G11:R11)</f>
        <v>965880317.05000007</v>
      </c>
      <c r="T11" s="464">
        <f t="shared" ref="T11:T64" si="3">+S11/$T$7*100</f>
        <v>19.787358225267859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0</v>
      </c>
      <c r="R12" s="163">
        <v>0</v>
      </c>
      <c r="S12" s="242">
        <f t="shared" ref="S12:S63" si="4">+SUM(G12:R12)</f>
        <v>96556587.929999992</v>
      </c>
      <c r="T12" s="465">
        <f t="shared" si="3"/>
        <v>1.9780916544772906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0</v>
      </c>
      <c r="R13" s="163">
        <v>0</v>
      </c>
      <c r="S13" s="242">
        <f t="shared" si="4"/>
        <v>70745076.549999997</v>
      </c>
      <c r="T13" s="465">
        <f t="shared" si="3"/>
        <v>1.4493081054227357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0</v>
      </c>
      <c r="R14" s="163">
        <v>0</v>
      </c>
      <c r="S14" s="242">
        <f t="shared" si="4"/>
        <v>1494672.2</v>
      </c>
      <c r="T14" s="465">
        <f t="shared" si="3"/>
        <v>3.0620371622313729E-2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0</v>
      </c>
      <c r="R15" s="163">
        <v>0</v>
      </c>
      <c r="S15" s="242">
        <f t="shared" si="4"/>
        <v>559729750.62</v>
      </c>
      <c r="T15" s="465">
        <f t="shared" si="3"/>
        <v>11.466817254010202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0</v>
      </c>
      <c r="R16" s="163">
        <v>0</v>
      </c>
      <c r="S16" s="242">
        <f t="shared" si="4"/>
        <v>204720162.66999996</v>
      </c>
      <c r="T16" s="465">
        <f t="shared" si="3"/>
        <v>4.1939680550263239</v>
      </c>
    </row>
    <row r="17" spans="1:23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0</v>
      </c>
      <c r="R17" s="163">
        <v>0</v>
      </c>
      <c r="S17" s="242">
        <f t="shared" si="4"/>
        <v>23356645.169999998</v>
      </c>
      <c r="T17" s="465">
        <f t="shared" si="3"/>
        <v>0.47849231085981192</v>
      </c>
    </row>
    <row r="18" spans="1:23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0</v>
      </c>
      <c r="R18" s="163">
        <v>0</v>
      </c>
      <c r="S18" s="242">
        <f t="shared" si="4"/>
        <v>9277421.910000002</v>
      </c>
      <c r="T18" s="465">
        <f t="shared" si="3"/>
        <v>0.19006047384917957</v>
      </c>
    </row>
    <row r="19" spans="1:23">
      <c r="A19" s="150">
        <v>712</v>
      </c>
      <c r="B19" s="546" t="str">
        <f>+VLOOKUP($A19,Master!$D$29:$G$225,4,FALSE)</f>
        <v>Contributions</v>
      </c>
      <c r="C19" s="547"/>
      <c r="D19" s="547"/>
      <c r="E19" s="547"/>
      <c r="F19" s="547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0</v>
      </c>
      <c r="R19" s="169">
        <f t="shared" si="5"/>
        <v>0</v>
      </c>
      <c r="S19" s="243">
        <f t="shared" si="4"/>
        <v>420920220.75999999</v>
      </c>
      <c r="T19" s="466">
        <f t="shared" si="3"/>
        <v>8.623117217954233</v>
      </c>
    </row>
    <row r="20" spans="1:23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0</v>
      </c>
      <c r="R20" s="163">
        <v>0</v>
      </c>
      <c r="S20" s="242">
        <f>+SUM(G20:R20)</f>
        <v>260090610.43000004</v>
      </c>
      <c r="T20" s="465">
        <f t="shared" si="3"/>
        <v>5.3283061977342108</v>
      </c>
    </row>
    <row r="21" spans="1:23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0</v>
      </c>
      <c r="R21" s="163">
        <v>0</v>
      </c>
      <c r="S21" s="242">
        <f t="shared" si="4"/>
        <v>137750908.23000002</v>
      </c>
      <c r="T21" s="465">
        <f t="shared" si="3"/>
        <v>2.8220127472189787</v>
      </c>
    </row>
    <row r="22" spans="1:23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0</v>
      </c>
      <c r="R22" s="163">
        <v>0</v>
      </c>
      <c r="S22" s="242">
        <f t="shared" si="4"/>
        <v>12486542.950000001</v>
      </c>
      <c r="T22" s="465">
        <f t="shared" si="3"/>
        <v>0.25580363735070577</v>
      </c>
    </row>
    <row r="23" spans="1:23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0</v>
      </c>
      <c r="R23" s="163">
        <v>0</v>
      </c>
      <c r="S23" s="242">
        <f t="shared" si="4"/>
        <v>10592159.15</v>
      </c>
      <c r="T23" s="465">
        <f t="shared" si="3"/>
        <v>0.21699463565033905</v>
      </c>
      <c r="W23" s="305"/>
    </row>
    <row r="24" spans="1:23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0</v>
      </c>
      <c r="R24" s="175">
        <v>0</v>
      </c>
      <c r="S24" s="243">
        <f t="shared" si="4"/>
        <v>10344216.34</v>
      </c>
      <c r="T24" s="466">
        <f t="shared" si="3"/>
        <v>0.21191519349353655</v>
      </c>
      <c r="W24" s="305"/>
    </row>
    <row r="25" spans="1:23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0</v>
      </c>
      <c r="R25" s="175">
        <v>0</v>
      </c>
      <c r="S25" s="243">
        <f t="shared" si="4"/>
        <v>33621575.920000002</v>
      </c>
      <c r="T25" s="466">
        <f t="shared" si="3"/>
        <v>0.68878323233564831</v>
      </c>
    </row>
    <row r="26" spans="1:23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v>1525776.04</v>
      </c>
      <c r="H26" s="175">
        <v>1791757.35</v>
      </c>
      <c r="I26" s="175">
        <v>1693779.5</v>
      </c>
      <c r="J26" s="175">
        <v>1358988.92</v>
      </c>
      <c r="K26" s="175">
        <v>3754528.06</v>
      </c>
      <c r="L26" s="175">
        <v>2279801.92</v>
      </c>
      <c r="M26" s="175">
        <v>30215055.109999999</v>
      </c>
      <c r="N26" s="175">
        <v>2283335.13</v>
      </c>
      <c r="O26" s="175">
        <v>1871675.2</v>
      </c>
      <c r="P26" s="175">
        <v>1567023.5799999998</v>
      </c>
      <c r="Q26" s="175">
        <v>0</v>
      </c>
      <c r="R26" s="175">
        <v>0</v>
      </c>
      <c r="S26" s="243">
        <f t="shared" si="4"/>
        <v>48341720.810000002</v>
      </c>
      <c r="T26" s="466">
        <f t="shared" si="3"/>
        <v>0.99034521152152089</v>
      </c>
    </row>
    <row r="27" spans="1:23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0</v>
      </c>
      <c r="R27" s="175">
        <v>0</v>
      </c>
      <c r="S27" s="243">
        <f t="shared" si="4"/>
        <v>6642251.8499999996</v>
      </c>
      <c r="T27" s="466">
        <f t="shared" si="3"/>
        <v>0.13607546862516134</v>
      </c>
    </row>
    <row r="28" spans="1:23" ht="14.4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2472793.4900000002</v>
      </c>
      <c r="M28" s="175">
        <v>2378622.7000000002</v>
      </c>
      <c r="N28" s="175">
        <v>787553.87</v>
      </c>
      <c r="O28" s="175">
        <v>4426931.51</v>
      </c>
      <c r="P28" s="175">
        <v>3100970.75</v>
      </c>
      <c r="Q28" s="175">
        <v>0</v>
      </c>
      <c r="R28" s="175">
        <v>0</v>
      </c>
      <c r="S28" s="243">
        <f t="shared" si="4"/>
        <v>18818476.02</v>
      </c>
      <c r="T28" s="467">
        <f t="shared" si="3"/>
        <v>0.38552180812488474</v>
      </c>
    </row>
    <row r="29" spans="1:23" ht="14.4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>+G30+G40+G46+SUM(G47:G51)</f>
        <v>127396828.25</v>
      </c>
      <c r="H29" s="151">
        <f t="shared" ref="H29:R29" si="6">+H30+H40+H46+SUM(H47:H51)</f>
        <v>159900252.54000002</v>
      </c>
      <c r="I29" s="151">
        <f t="shared" si="6"/>
        <v>164546999.05000001</v>
      </c>
      <c r="J29" s="151">
        <f t="shared" si="6"/>
        <v>184233665.84999999</v>
      </c>
      <c r="K29" s="151">
        <f t="shared" si="6"/>
        <v>156171147.31</v>
      </c>
      <c r="L29" s="151">
        <f t="shared" si="6"/>
        <v>155955510.75</v>
      </c>
      <c r="M29" s="151">
        <f t="shared" si="6"/>
        <v>152906048.73000002</v>
      </c>
      <c r="N29" s="151">
        <f t="shared" si="6"/>
        <v>129254595.47999999</v>
      </c>
      <c r="O29" s="151">
        <f t="shared" si="6"/>
        <v>178840676.53</v>
      </c>
      <c r="P29" s="151">
        <f t="shared" si="6"/>
        <v>157170072.89000002</v>
      </c>
      <c r="Q29" s="151">
        <f t="shared" si="6"/>
        <v>0</v>
      </c>
      <c r="R29" s="151">
        <f t="shared" si="6"/>
        <v>0</v>
      </c>
      <c r="S29" s="245">
        <f t="shared" si="4"/>
        <v>1566375797.3800001</v>
      </c>
      <c r="T29" s="468">
        <f t="shared" si="3"/>
        <v>32.089316316964741</v>
      </c>
    </row>
    <row r="30" spans="1:23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187">
        <f t="shared" ref="G30:R30" si="7">+SUM(G31:G39)</f>
        <v>51210284.650000006</v>
      </c>
      <c r="H30" s="187">
        <f t="shared" si="7"/>
        <v>62968222.63000001</v>
      </c>
      <c r="I30" s="187">
        <f t="shared" si="7"/>
        <v>74936419.5</v>
      </c>
      <c r="J30" s="187">
        <f t="shared" si="7"/>
        <v>90501253.180000007</v>
      </c>
      <c r="K30" s="187">
        <f t="shared" si="7"/>
        <v>68135261.49000001</v>
      </c>
      <c r="L30" s="187">
        <f t="shared" si="7"/>
        <v>67098040.299999997</v>
      </c>
      <c r="M30" s="187">
        <f t="shared" si="7"/>
        <v>62771198.960000001</v>
      </c>
      <c r="N30" s="187">
        <f t="shared" si="7"/>
        <v>55444253.550000004</v>
      </c>
      <c r="O30" s="187">
        <f t="shared" si="7"/>
        <v>78428647.819999993</v>
      </c>
      <c r="P30" s="187">
        <f t="shared" si="7"/>
        <v>65379918.100000001</v>
      </c>
      <c r="Q30" s="187">
        <f t="shared" si="7"/>
        <v>0</v>
      </c>
      <c r="R30" s="246">
        <f t="shared" si="7"/>
        <v>0</v>
      </c>
      <c r="S30" s="425">
        <f t="shared" si="4"/>
        <v>676873500.18000007</v>
      </c>
      <c r="T30" s="464">
        <f t="shared" si="3"/>
        <v>13.866664621719627</v>
      </c>
      <c r="U30" s="242"/>
    </row>
    <row r="31" spans="1:23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v>40605076.340000004</v>
      </c>
      <c r="H31" s="163">
        <v>49306948.350000001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42438944.710000001</v>
      </c>
      <c r="O31" s="163">
        <v>43464882.57</v>
      </c>
      <c r="P31" s="163">
        <v>44272621.719999999</v>
      </c>
      <c r="Q31" s="163">
        <v>0</v>
      </c>
      <c r="R31" s="163">
        <v>0</v>
      </c>
      <c r="S31" s="242">
        <f t="shared" si="4"/>
        <v>445224108.47000003</v>
      </c>
      <c r="T31" s="465">
        <f t="shared" si="3"/>
        <v>9.1210150670927828</v>
      </c>
      <c r="U31" s="242"/>
    </row>
    <row r="32" spans="1:23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0</v>
      </c>
      <c r="R32" s="163">
        <v>0</v>
      </c>
      <c r="S32" s="242">
        <f t="shared" si="4"/>
        <v>7831222.7399999993</v>
      </c>
      <c r="T32" s="465">
        <f t="shared" si="3"/>
        <v>0.16043313748386701</v>
      </c>
      <c r="U32" s="458"/>
    </row>
    <row r="33" spans="1:21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v>596838.26</v>
      </c>
      <c r="H33" s="163">
        <v>1661848.94</v>
      </c>
      <c r="I33" s="163">
        <v>2846541.08</v>
      </c>
      <c r="J33" s="163">
        <v>2297097.17</v>
      </c>
      <c r="K33" s="163">
        <v>3107844.52</v>
      </c>
      <c r="L33" s="163">
        <v>3282627.05</v>
      </c>
      <c r="M33" s="163">
        <v>1193812.19</v>
      </c>
      <c r="N33" s="163">
        <v>1974731.33</v>
      </c>
      <c r="O33" s="163">
        <v>2484333.92</v>
      </c>
      <c r="P33" s="163">
        <v>3818905.14</v>
      </c>
      <c r="Q33" s="163">
        <v>0</v>
      </c>
      <c r="R33" s="163">
        <v>0</v>
      </c>
      <c r="S33" s="242">
        <f t="shared" si="4"/>
        <v>23264579.600000001</v>
      </c>
      <c r="T33" s="465">
        <f t="shared" si="3"/>
        <v>0.47660622375186934</v>
      </c>
      <c r="U33" s="458"/>
    </row>
    <row r="34" spans="1:21" s="362" customFormat="1">
      <c r="A34" s="361">
        <v>414</v>
      </c>
      <c r="B34" s="605" t="str">
        <f>+VLOOKUP($A34,Master!$D$29:$G$225,4,FALSE)</f>
        <v>Expenditures for Services</v>
      </c>
      <c r="C34" s="606"/>
      <c r="D34" s="606"/>
      <c r="E34" s="606"/>
      <c r="F34" s="606"/>
      <c r="G34" s="163">
        <v>1050676.99</v>
      </c>
      <c r="H34" s="163">
        <v>2624320.42</v>
      </c>
      <c r="I34" s="163">
        <v>3354943</v>
      </c>
      <c r="J34" s="163">
        <v>6158096.0800000001</v>
      </c>
      <c r="K34" s="163">
        <v>5020032.2</v>
      </c>
      <c r="L34" s="163">
        <v>3880469.19</v>
      </c>
      <c r="M34" s="163">
        <v>6346746.4199999999</v>
      </c>
      <c r="N34" s="163">
        <v>4228370.29</v>
      </c>
      <c r="O34" s="163">
        <v>4951821.0199999996</v>
      </c>
      <c r="P34" s="163">
        <v>4361907.71</v>
      </c>
      <c r="Q34" s="163">
        <v>0</v>
      </c>
      <c r="R34" s="163">
        <v>0</v>
      </c>
      <c r="S34" s="242">
        <f t="shared" si="4"/>
        <v>41977383.32</v>
      </c>
      <c r="T34" s="465">
        <f t="shared" si="3"/>
        <v>0.85996319259213738</v>
      </c>
      <c r="U34" s="458"/>
    </row>
    <row r="35" spans="1:21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1714591.59</v>
      </c>
      <c r="L35" s="163">
        <v>1668289.12</v>
      </c>
      <c r="M35" s="163">
        <v>1676187.06</v>
      </c>
      <c r="N35" s="163">
        <v>627370.31000000006</v>
      </c>
      <c r="O35" s="163">
        <v>2494776.16</v>
      </c>
      <c r="P35" s="163">
        <v>1624347.31</v>
      </c>
      <c r="Q35" s="163">
        <v>0</v>
      </c>
      <c r="R35" s="163">
        <v>0</v>
      </c>
      <c r="S35" s="242">
        <f t="shared" si="4"/>
        <v>15035076.700000001</v>
      </c>
      <c r="T35" s="465">
        <f t="shared" si="3"/>
        <v>0.30801378116485362</v>
      </c>
      <c r="U35" s="458"/>
    </row>
    <row r="36" spans="1:21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3814971.22</v>
      </c>
      <c r="N36" s="163">
        <v>1656473.82</v>
      </c>
      <c r="O36" s="163">
        <v>14251047.82</v>
      </c>
      <c r="P36" s="163">
        <v>1257915.1499999999</v>
      </c>
      <c r="Q36" s="163">
        <v>0</v>
      </c>
      <c r="R36" s="163">
        <v>0</v>
      </c>
      <c r="S36" s="242">
        <f>+SUM(G36:R36)</f>
        <v>80068933.26000002</v>
      </c>
      <c r="T36" s="465">
        <f t="shared" si="3"/>
        <v>1.6403198586442143</v>
      </c>
      <c r="U36" s="458"/>
    </row>
    <row r="37" spans="1:21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1289567.81</v>
      </c>
      <c r="P37" s="163">
        <v>956228.2</v>
      </c>
      <c r="Q37" s="163">
        <v>0</v>
      </c>
      <c r="R37" s="163">
        <v>0</v>
      </c>
      <c r="S37" s="242">
        <f t="shared" si="4"/>
        <v>7852616.0600000015</v>
      </c>
      <c r="T37" s="465">
        <f t="shared" si="3"/>
        <v>0.16087140843627723</v>
      </c>
      <c r="U37" s="458"/>
    </row>
    <row r="38" spans="1:21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5015730.92</v>
      </c>
      <c r="P38" s="163">
        <v>5211144.05</v>
      </c>
      <c r="Q38" s="163">
        <v>0</v>
      </c>
      <c r="R38" s="163">
        <v>0</v>
      </c>
      <c r="S38" s="242">
        <f t="shared" si="4"/>
        <v>30556837.870000001</v>
      </c>
      <c r="T38" s="465">
        <f t="shared" si="3"/>
        <v>0.62599794870218994</v>
      </c>
      <c r="U38" s="458"/>
    </row>
    <row r="39" spans="1:21" s="362" customFormat="1">
      <c r="A39" s="361">
        <v>419</v>
      </c>
      <c r="B39" s="605" t="str">
        <f>+VLOOKUP($A39,Master!$D$29:$G$225,4,FALSE)</f>
        <v>Other expenditures</v>
      </c>
      <c r="C39" s="606"/>
      <c r="D39" s="606"/>
      <c r="E39" s="606"/>
      <c r="F39" s="606"/>
      <c r="G39" s="163">
        <v>792964.83</v>
      </c>
      <c r="H39" s="163">
        <v>2319889.5099999998</v>
      </c>
      <c r="I39" s="163">
        <v>3429558.98</v>
      </c>
      <c r="J39" s="163">
        <v>2708059.43</v>
      </c>
      <c r="K39" s="163">
        <v>2598767.04</v>
      </c>
      <c r="L39" s="163">
        <v>2772575.41</v>
      </c>
      <c r="M39" s="163">
        <v>1915162.21</v>
      </c>
      <c r="N39" s="163">
        <v>1967072.1</v>
      </c>
      <c r="O39" s="163">
        <v>3561249.92</v>
      </c>
      <c r="P39" s="163">
        <v>2997442.73</v>
      </c>
      <c r="Q39" s="163">
        <v>0</v>
      </c>
      <c r="R39" s="163">
        <v>0</v>
      </c>
      <c r="S39" s="242">
        <f t="shared" si="4"/>
        <v>25062742.16</v>
      </c>
      <c r="T39" s="465">
        <f t="shared" si="3"/>
        <v>0.51344400385143307</v>
      </c>
      <c r="U39" s="458"/>
    </row>
    <row r="40" spans="1:21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0</v>
      </c>
      <c r="R40" s="247">
        <f t="shared" si="8"/>
        <v>0</v>
      </c>
      <c r="S40" s="490">
        <f t="shared" si="4"/>
        <v>469652516.46999985</v>
      </c>
      <c r="T40" s="491">
        <f t="shared" si="3"/>
        <v>9.6214638819576717</v>
      </c>
      <c r="U40" s="242"/>
    </row>
    <row r="41" spans="1:21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0</v>
      </c>
      <c r="R41" s="163">
        <v>0</v>
      </c>
      <c r="S41" s="242">
        <f t="shared" si="4"/>
        <v>68461213.930000007</v>
      </c>
      <c r="T41" s="465">
        <f t="shared" si="3"/>
        <v>1.4025201059144081</v>
      </c>
      <c r="U41" s="458"/>
    </row>
    <row r="42" spans="1:21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0</v>
      </c>
      <c r="R42" s="163">
        <v>0</v>
      </c>
      <c r="S42" s="242">
        <f t="shared" si="4"/>
        <v>18168651.289999999</v>
      </c>
      <c r="T42" s="465">
        <f t="shared" si="3"/>
        <v>0.37220927396390302</v>
      </c>
      <c r="U42" s="458"/>
    </row>
    <row r="43" spans="1:21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0</v>
      </c>
      <c r="R43" s="163">
        <v>0</v>
      </c>
      <c r="S43" s="242">
        <f t="shared" si="4"/>
        <v>359333320.55000001</v>
      </c>
      <c r="T43" s="465">
        <f t="shared" si="3"/>
        <v>7.361426680392519</v>
      </c>
      <c r="U43" s="458"/>
    </row>
    <row r="44" spans="1:21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0</v>
      </c>
      <c r="R44" s="163">
        <v>0</v>
      </c>
      <c r="S44" s="242">
        <f t="shared" si="4"/>
        <v>14567092.789999999</v>
      </c>
      <c r="T44" s="465">
        <f t="shared" si="3"/>
        <v>0.29842650093212869</v>
      </c>
      <c r="U44" s="458"/>
    </row>
    <row r="45" spans="1:21" s="362" customFormat="1">
      <c r="A45" s="361">
        <v>425</v>
      </c>
      <c r="B45" s="601" t="str">
        <f>+VLOOKUP($A45,Master!$D$29:$G$225,4,FALSE)</f>
        <v>Other Health Care Insurance</v>
      </c>
      <c r="C45" s="602"/>
      <c r="D45" s="602"/>
      <c r="E45" s="602"/>
      <c r="F45" s="602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0</v>
      </c>
      <c r="R45" s="163">
        <v>0</v>
      </c>
      <c r="S45" s="242">
        <f t="shared" si="4"/>
        <v>9122237.9100000001</v>
      </c>
      <c r="T45" s="465">
        <f t="shared" si="3"/>
        <v>0.18688132075471697</v>
      </c>
      <c r="U45" s="458"/>
    </row>
    <row r="46" spans="1:21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v>12392775.73</v>
      </c>
      <c r="H46" s="175">
        <v>21090087.879999999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18907470.68</v>
      </c>
      <c r="N46" s="175">
        <v>16083684.529999999</v>
      </c>
      <c r="O46" s="175">
        <v>26541391.52</v>
      </c>
      <c r="P46" s="175">
        <v>20455248.059999999</v>
      </c>
      <c r="Q46" s="175">
        <v>0</v>
      </c>
      <c r="R46" s="175">
        <v>0</v>
      </c>
      <c r="S46" s="243">
        <f t="shared" si="4"/>
        <v>200624724.06</v>
      </c>
      <c r="T46" s="466">
        <f t="shared" si="3"/>
        <v>4.1100674832524122</v>
      </c>
      <c r="U46" s="482"/>
    </row>
    <row r="47" spans="1:21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0</v>
      </c>
      <c r="R47" s="175">
        <v>0</v>
      </c>
      <c r="S47" s="243">
        <f t="shared" si="4"/>
        <v>128208722</v>
      </c>
      <c r="T47" s="466">
        <f t="shared" si="3"/>
        <v>2.6265282199414091</v>
      </c>
      <c r="U47" s="482"/>
    </row>
    <row r="48" spans="1:21">
      <c r="A48" s="150">
        <v>451</v>
      </c>
      <c r="B48" s="603" t="str">
        <f>+VLOOKUP($A48,Master!$D$29:$G$225,4,FALSE)</f>
        <v>Credits and Borrowings</v>
      </c>
      <c r="C48" s="604"/>
      <c r="D48" s="604"/>
      <c r="E48" s="604"/>
      <c r="F48" s="604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0</v>
      </c>
      <c r="R48" s="163">
        <v>0</v>
      </c>
      <c r="S48" s="242">
        <f t="shared" si="4"/>
        <v>1149478</v>
      </c>
      <c r="T48" s="465">
        <f t="shared" si="3"/>
        <v>2.354860385553029E-2</v>
      </c>
      <c r="U48" s="482"/>
    </row>
    <row r="49" spans="1:21" s="362" customFormat="1">
      <c r="A49" s="361">
        <v>47</v>
      </c>
      <c r="B49" s="595" t="str">
        <f>+VLOOKUP($A49,Master!$D$29:$G$225,4,FALSE)</f>
        <v>Reserves</v>
      </c>
      <c r="C49" s="596"/>
      <c r="D49" s="596"/>
      <c r="E49" s="596"/>
      <c r="F49" s="596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0</v>
      </c>
      <c r="R49" s="163">
        <v>0</v>
      </c>
      <c r="S49" s="242">
        <f t="shared" si="4"/>
        <v>60191268.329999998</v>
      </c>
      <c r="T49" s="465">
        <f t="shared" si="3"/>
        <v>1.2330991401880647</v>
      </c>
      <c r="U49" s="482"/>
    </row>
    <row r="50" spans="1:21" ht="14.4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5">
        <f t="shared" si="3"/>
        <v>0.15797537705119538</v>
      </c>
      <c r="U50" s="482"/>
    </row>
    <row r="51" spans="1:21" ht="14.4" thickBot="1">
      <c r="A51" s="144">
        <v>4630</v>
      </c>
      <c r="B51" s="597" t="str">
        <f>+VLOOKUP($A51,Master!$D$29:$G$225,4,TRUE)</f>
        <v>Repayments of liabilities form the previous period</v>
      </c>
      <c r="C51" s="598"/>
      <c r="D51" s="598"/>
      <c r="E51" s="598"/>
      <c r="F51" s="598"/>
      <c r="G51" s="459">
        <v>1018944.7</v>
      </c>
      <c r="H51" s="459">
        <v>1642283.23</v>
      </c>
      <c r="I51" s="459">
        <v>1594695.57</v>
      </c>
      <c r="J51" s="459">
        <v>1366097.79</v>
      </c>
      <c r="K51" s="459">
        <v>11033574.689999999</v>
      </c>
      <c r="L51" s="459">
        <v>1293176.52</v>
      </c>
      <c r="M51" s="459">
        <v>1500471</v>
      </c>
      <c r="N51" s="459">
        <v>732375.88</v>
      </c>
      <c r="O51" s="459">
        <v>977597.05</v>
      </c>
      <c r="P51" s="459">
        <v>805119.83</v>
      </c>
      <c r="Q51" s="459">
        <v>0</v>
      </c>
      <c r="R51" s="460">
        <v>0</v>
      </c>
      <c r="S51" s="426">
        <f>+SUM(G51:R51)</f>
        <v>21964336.259999998</v>
      </c>
      <c r="T51" s="469">
        <f t="shared" si="3"/>
        <v>0.4499689889988322</v>
      </c>
      <c r="U51" s="482"/>
    </row>
    <row r="52" spans="1:21" ht="14.4" thickBot="1">
      <c r="A52" s="70">
        <v>1005</v>
      </c>
      <c r="B52" s="599" t="str">
        <f>+VLOOKUP($A52,Master!$D$29:$G$227,4,FALSE)</f>
        <v>Net increase of liabilities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4.4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 t="shared" ref="G53:R53" si="9">+G10-G29</f>
        <v>-38751394.929999992</v>
      </c>
      <c r="H53" s="151">
        <f t="shared" si="9"/>
        <v>-54298199.270000026</v>
      </c>
      <c r="I53" s="151">
        <f t="shared" si="9"/>
        <v>-10354242.860000014</v>
      </c>
      <c r="J53" s="151">
        <f t="shared" si="9"/>
        <v>-40138158.469999969</v>
      </c>
      <c r="K53" s="151">
        <f t="shared" si="9"/>
        <v>-19589408.75</v>
      </c>
      <c r="L53" s="151">
        <f t="shared" si="9"/>
        <v>3002270.4100000262</v>
      </c>
      <c r="M53" s="151">
        <f t="shared" si="9"/>
        <v>41197255.299999982</v>
      </c>
      <c r="N53" s="151">
        <f t="shared" si="9"/>
        <v>60851385.280000001</v>
      </c>
      <c r="O53" s="151">
        <f t="shared" si="9"/>
        <v>-6558232.2999999821</v>
      </c>
      <c r="P53" s="151">
        <f t="shared" si="9"/>
        <v>2831706.9600000083</v>
      </c>
      <c r="Q53" s="151">
        <f t="shared" si="9"/>
        <v>0</v>
      </c>
      <c r="R53" s="151">
        <f t="shared" si="9"/>
        <v>0</v>
      </c>
      <c r="S53" s="248">
        <f t="shared" si="4"/>
        <v>-61807018.629999965</v>
      </c>
      <c r="T53" s="471">
        <f t="shared" si="3"/>
        <v>-1.266199959641898</v>
      </c>
    </row>
    <row r="54" spans="1:21" ht="14.4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205">
        <f t="shared" ref="G54:R54" si="10">+G53+G36</f>
        <v>-31173909.859999992</v>
      </c>
      <c r="H54" s="205">
        <f t="shared" si="10"/>
        <v>-52334008.890000023</v>
      </c>
      <c r="I54" s="205">
        <f t="shared" si="10"/>
        <v>4433739.709999986</v>
      </c>
      <c r="J54" s="205">
        <f t="shared" si="10"/>
        <v>-17369646.509999968</v>
      </c>
      <c r="K54" s="205">
        <f t="shared" si="10"/>
        <v>-12889107.91</v>
      </c>
      <c r="L54" s="205">
        <f t="shared" si="10"/>
        <v>8292324.8400000259</v>
      </c>
      <c r="M54" s="205">
        <f t="shared" si="10"/>
        <v>45012226.519999981</v>
      </c>
      <c r="N54" s="205">
        <f t="shared" si="10"/>
        <v>62507859.100000001</v>
      </c>
      <c r="O54" s="205">
        <f t="shared" si="10"/>
        <v>7692815.5200000182</v>
      </c>
      <c r="P54" s="205">
        <f t="shared" si="10"/>
        <v>4089622.1100000083</v>
      </c>
      <c r="Q54" s="205">
        <f t="shared" si="10"/>
        <v>0</v>
      </c>
      <c r="R54" s="205">
        <f t="shared" si="10"/>
        <v>0</v>
      </c>
      <c r="S54" s="248">
        <f t="shared" si="4"/>
        <v>18261914.630000062</v>
      </c>
      <c r="T54" s="471">
        <f t="shared" si="3"/>
        <v>0.37411989900231624</v>
      </c>
    </row>
    <row r="55" spans="1:21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0</v>
      </c>
      <c r="R55" s="193">
        <f t="shared" si="11"/>
        <v>0</v>
      </c>
      <c r="S55" s="249">
        <f t="shared" si="4"/>
        <v>407788371.56999999</v>
      </c>
      <c r="T55" s="472">
        <f t="shared" si="3"/>
        <v>8.3540936137914077</v>
      </c>
    </row>
    <row r="56" spans="1:21">
      <c r="A56" s="144">
        <v>4611</v>
      </c>
      <c r="B56" s="520" t="str">
        <f>+VLOOKUP($A56,Master!$D$29:$G$225,4,FALSE)</f>
        <v>Repayment of Domestic Debt</v>
      </c>
      <c r="C56" s="521"/>
      <c r="D56" s="521"/>
      <c r="E56" s="521"/>
      <c r="F56" s="521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0</v>
      </c>
      <c r="R56" s="211">
        <v>0</v>
      </c>
      <c r="S56" s="250">
        <f t="shared" si="4"/>
        <v>74212315.400000006</v>
      </c>
      <c r="T56" s="473">
        <f t="shared" si="3"/>
        <v>1.5203391596500935</v>
      </c>
    </row>
    <row r="57" spans="1:21" ht="14.4" thickBot="1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0</v>
      </c>
      <c r="R57" s="211">
        <v>0</v>
      </c>
      <c r="S57" s="250">
        <f t="shared" si="4"/>
        <v>333576056.17000002</v>
      </c>
      <c r="T57" s="473">
        <f t="shared" si="3"/>
        <v>6.8337544541413147</v>
      </c>
    </row>
    <row r="58" spans="1:21" ht="14.4" thickBot="1">
      <c r="A58" s="144">
        <v>4418</v>
      </c>
      <c r="B58" s="542" t="str">
        <f>+VLOOKUP($A58,Master!$D$29:$G$225,4,FALSE)</f>
        <v>Capital Expenditure for Securities</v>
      </c>
      <c r="C58" s="543"/>
      <c r="D58" s="543"/>
      <c r="E58" s="543"/>
      <c r="F58" s="543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506343.98</v>
      </c>
      <c r="Q58" s="461">
        <v>0</v>
      </c>
      <c r="R58" s="462">
        <v>0</v>
      </c>
      <c r="S58" s="249">
        <f>SUM(G58:R58)</f>
        <v>506343.98</v>
      </c>
      <c r="T58" s="474">
        <f t="shared" si="3"/>
        <v>1.0373137893593919E-2</v>
      </c>
    </row>
    <row r="59" spans="1:21" ht="14.4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217">
        <f>+G53-G55-G58</f>
        <v>-62082163.749999993</v>
      </c>
      <c r="H59" s="217">
        <f t="shared" ref="H59:R59" si="12">+H53-H55-H58</f>
        <v>-78553220.620000035</v>
      </c>
      <c r="I59" s="217">
        <f t="shared" si="12"/>
        <v>-249138014.10000002</v>
      </c>
      <c r="J59" s="217">
        <f t="shared" si="12"/>
        <v>-72991621.729999959</v>
      </c>
      <c r="K59" s="217">
        <f t="shared" si="12"/>
        <v>-35872236.670000002</v>
      </c>
      <c r="L59" s="217">
        <f t="shared" si="12"/>
        <v>-12050613.189999975</v>
      </c>
      <c r="M59" s="217">
        <f t="shared" si="12"/>
        <v>15838580.14999998</v>
      </c>
      <c r="N59" s="217">
        <f t="shared" si="12"/>
        <v>47875334.32</v>
      </c>
      <c r="O59" s="217">
        <f t="shared" si="12"/>
        <v>-17894418.78999998</v>
      </c>
      <c r="P59" s="217">
        <f t="shared" si="12"/>
        <v>-5233359.7999999914</v>
      </c>
      <c r="Q59" s="217">
        <f t="shared" si="12"/>
        <v>0</v>
      </c>
      <c r="R59" s="217">
        <f t="shared" si="12"/>
        <v>0</v>
      </c>
      <c r="S59" s="251">
        <f t="shared" si="4"/>
        <v>-470101734.18000001</v>
      </c>
      <c r="T59" s="475">
        <f t="shared" si="3"/>
        <v>-9.6306667113269011</v>
      </c>
    </row>
    <row r="60" spans="1:21" ht="14.4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+SUM(G61:G64)</f>
        <v>62082163.749999993</v>
      </c>
      <c r="H60" s="151">
        <f t="shared" ref="H60:R60" si="13">+SUM(H61:H64)</f>
        <v>78553220.620000035</v>
      </c>
      <c r="I60" s="151">
        <f t="shared" si="13"/>
        <v>249138014.10000002</v>
      </c>
      <c r="J60" s="151">
        <f t="shared" si="13"/>
        <v>72991621.729999959</v>
      </c>
      <c r="K60" s="151">
        <f t="shared" si="13"/>
        <v>35872236.670000002</v>
      </c>
      <c r="L60" s="151">
        <f t="shared" si="13"/>
        <v>12050613.189999975</v>
      </c>
      <c r="M60" s="151">
        <f t="shared" si="13"/>
        <v>-15838580.14999998</v>
      </c>
      <c r="N60" s="151">
        <f t="shared" si="13"/>
        <v>-47875334.32</v>
      </c>
      <c r="O60" s="151">
        <f t="shared" si="13"/>
        <v>17894418.78999998</v>
      </c>
      <c r="P60" s="151">
        <f t="shared" si="13"/>
        <v>5233359.7999999914</v>
      </c>
      <c r="Q60" s="151">
        <f t="shared" si="13"/>
        <v>0</v>
      </c>
      <c r="R60" s="151">
        <f t="shared" si="13"/>
        <v>0</v>
      </c>
      <c r="S60" s="252">
        <f t="shared" si="4"/>
        <v>470101734.18000001</v>
      </c>
      <c r="T60" s="476">
        <f t="shared" si="3"/>
        <v>9.6306667113269011</v>
      </c>
    </row>
    <row r="61" spans="1:21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211">
        <v>8076079.9500000002</v>
      </c>
      <c r="H62" s="211">
        <v>4169340.21</v>
      </c>
      <c r="I62" s="211">
        <v>1856107.06</v>
      </c>
      <c r="J62" s="211">
        <v>15210844.41</v>
      </c>
      <c r="K62" s="211">
        <v>3053139.49</v>
      </c>
      <c r="L62" s="211">
        <v>33570334.609999999</v>
      </c>
      <c r="M62" s="489">
        <v>5377316.7300000004</v>
      </c>
      <c r="N62" s="211">
        <v>5769169.6600000001</v>
      </c>
      <c r="O62" s="211">
        <v>7470430.3099999996</v>
      </c>
      <c r="P62" s="211">
        <v>6213545.29</v>
      </c>
      <c r="Q62" s="211">
        <v>0</v>
      </c>
      <c r="R62" s="211">
        <v>0</v>
      </c>
      <c r="S62" s="250">
        <f t="shared" si="4"/>
        <v>90766307.720000014</v>
      </c>
      <c r="T62" s="473">
        <f t="shared" si="3"/>
        <v>1.8594699715239797</v>
      </c>
    </row>
    <row r="63" spans="1:21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9">
        <v>183425.54</v>
      </c>
      <c r="N63" s="211">
        <v>207661.26</v>
      </c>
      <c r="O63" s="211">
        <v>176272.14</v>
      </c>
      <c r="P63" s="211">
        <v>306257.21000000002</v>
      </c>
      <c r="Q63" s="211">
        <v>0</v>
      </c>
      <c r="R63" s="211">
        <v>0</v>
      </c>
      <c r="S63" s="250">
        <f t="shared" si="4"/>
        <v>1543180.2200000002</v>
      </c>
      <c r="T63" s="473">
        <f t="shared" si="3"/>
        <v>3.1614123696556251E-2</v>
      </c>
    </row>
    <row r="64" spans="1:21" ht="14.4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53971335.18999999</v>
      </c>
      <c r="H64" s="225">
        <f t="shared" ref="H64:R64" si="14">-H59-SUM(H61:H63)</f>
        <v>74354312.080000028</v>
      </c>
      <c r="I64" s="225">
        <f t="shared" si="14"/>
        <v>247229742.65000004</v>
      </c>
      <c r="J64" s="225">
        <f t="shared" si="14"/>
        <v>57741525.349999957</v>
      </c>
      <c r="K64" s="225">
        <f t="shared" si="14"/>
        <v>32521945.610000003</v>
      </c>
      <c r="L64" s="225">
        <f t="shared" si="14"/>
        <v>-21736400.620000027</v>
      </c>
      <c r="M64" s="225">
        <f t="shared" si="14"/>
        <v>-21399322.419999979</v>
      </c>
      <c r="N64" s="225">
        <f t="shared" si="14"/>
        <v>-53852165.240000002</v>
      </c>
      <c r="O64" s="225">
        <f t="shared" si="14"/>
        <v>10247716.339999981</v>
      </c>
      <c r="P64" s="225">
        <f t="shared" si="14"/>
        <v>-1286442.7000000086</v>
      </c>
      <c r="Q64" s="225">
        <f t="shared" si="14"/>
        <v>0</v>
      </c>
      <c r="R64" s="225">
        <f t="shared" si="14"/>
        <v>0</v>
      </c>
      <c r="S64" s="253">
        <f>+SUM(G64:R64)</f>
        <v>377792246.24000007</v>
      </c>
      <c r="T64" s="477">
        <f t="shared" si="3"/>
        <v>7.7395826161063663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4.4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84" t="str">
        <f>+Master!G252</f>
        <v>Planned Budget Execution</v>
      </c>
      <c r="C81" s="585"/>
      <c r="D81" s="585"/>
      <c r="E81" s="585"/>
      <c r="F81" s="585"/>
      <c r="G81" s="592">
        <v>2021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GDP</v>
      </c>
      <c r="T81" s="108">
        <v>4636600000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January</v>
      </c>
      <c r="H82" s="71" t="str">
        <f t="shared" si="16"/>
        <v>February</v>
      </c>
      <c r="I82" s="71" t="str">
        <f t="shared" si="16"/>
        <v>March</v>
      </c>
      <c r="J82" s="71" t="str">
        <f t="shared" si="16"/>
        <v>April</v>
      </c>
      <c r="K82" s="71" t="str">
        <f t="shared" si="16"/>
        <v>May</v>
      </c>
      <c r="L82" s="71" t="str">
        <f t="shared" si="16"/>
        <v>June</v>
      </c>
      <c r="M82" s="71" t="str">
        <f t="shared" si="16"/>
        <v>July</v>
      </c>
      <c r="N82" s="71" t="str">
        <f t="shared" si="16"/>
        <v>August</v>
      </c>
      <c r="O82" s="71" t="str">
        <f t="shared" si="16"/>
        <v>September</v>
      </c>
      <c r="P82" s="71" t="str">
        <f t="shared" si="16"/>
        <v>October</v>
      </c>
      <c r="Q82" s="71" t="str">
        <f t="shared" si="16"/>
        <v>November</v>
      </c>
      <c r="R82" s="71" t="str">
        <f t="shared" si="16"/>
        <v>December</v>
      </c>
      <c r="S82" s="592" t="str">
        <f>+Master!G246</f>
        <v>Jan - Dec</v>
      </c>
      <c r="T82" s="594">
        <f>+T8</f>
        <v>0</v>
      </c>
    </row>
    <row r="83" spans="1:21" ht="14.4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GDP</v>
      </c>
    </row>
    <row r="84" spans="1:21" ht="14.4" thickBot="1">
      <c r="A84" s="116" t="str">
        <f t="shared" ref="A84:A115" si="17">+CONCATENATE(A10,"p")</f>
        <v>7p</v>
      </c>
      <c r="B84" s="580" t="str">
        <f>+VLOOKUP(LEFT($A84,LEN(A84)-1)*1,Master!$D$29:$G$225,4,FALSE)</f>
        <v>Total Revenues</v>
      </c>
      <c r="C84" s="581"/>
      <c r="D84" s="581"/>
      <c r="E84" s="581"/>
      <c r="F84" s="581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4">
        <f>+SUM(G84:R84)</f>
        <v>1880205845.3399</v>
      </c>
      <c r="T84" s="478">
        <f>+S84/$T$81*100</f>
        <v>40.551392083421042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Taxes</v>
      </c>
      <c r="C85" s="583"/>
      <c r="D85" s="583"/>
      <c r="E85" s="583"/>
      <c r="F85" s="583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4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Personal Income Tax</v>
      </c>
      <c r="C86" s="571"/>
      <c r="D86" s="571"/>
      <c r="E86" s="571"/>
      <c r="F86" s="571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5">
        <f t="shared" si="21"/>
        <v>3.342095146967782</v>
      </c>
    </row>
    <row r="87" spans="1:21">
      <c r="A87" s="116" t="str">
        <f t="shared" si="17"/>
        <v>7112p</v>
      </c>
      <c r="B87" s="570" t="str">
        <f>+VLOOKUP(LEFT($A87,LEN(A87)-1)*1,Master!$D$29:$G$228,4,FALSE)</f>
        <v>Corporate Income Tax</v>
      </c>
      <c r="C87" s="571"/>
      <c r="D87" s="571"/>
      <c r="E87" s="571"/>
      <c r="F87" s="571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5">
        <f t="shared" si="21"/>
        <v>1.2943922881014109</v>
      </c>
    </row>
    <row r="88" spans="1:21">
      <c r="A88" s="116" t="str">
        <f t="shared" si="17"/>
        <v>7113p</v>
      </c>
      <c r="B88" s="570" t="str">
        <f>+VLOOKUP(LEFT($A88,LEN(A88)-1)*1,Master!$D$29:$G$228,4,FALSE)</f>
        <v xml:space="preserve">Taxes on Sales of Property </v>
      </c>
      <c r="C88" s="571"/>
      <c r="D88" s="571"/>
      <c r="E88" s="571"/>
      <c r="F88" s="571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5">
        <f t="shared" si="21"/>
        <v>3.4703770606910232E-2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Value Added Tax</v>
      </c>
      <c r="C89" s="571"/>
      <c r="D89" s="571"/>
      <c r="E89" s="571"/>
      <c r="F89" s="571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5">
        <f t="shared" si="21"/>
        <v>13.195240452948015</v>
      </c>
    </row>
    <row r="90" spans="1:21">
      <c r="A90" s="116" t="str">
        <f t="shared" si="17"/>
        <v>7115p</v>
      </c>
      <c r="B90" s="570" t="str">
        <f>+VLOOKUP(LEFT($A90,LEN(A90)-1)*1,Master!$D$29:$G$228,4,FALSE)</f>
        <v>Excises</v>
      </c>
      <c r="C90" s="571"/>
      <c r="D90" s="571"/>
      <c r="E90" s="571"/>
      <c r="F90" s="571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5">
        <f t="shared" si="21"/>
        <v>5.1970907056571622</v>
      </c>
    </row>
    <row r="91" spans="1:21">
      <c r="A91" s="116" t="str">
        <f t="shared" si="17"/>
        <v>7116p</v>
      </c>
      <c r="B91" s="570" t="str">
        <f>+VLOOKUP(LEFT($A91,LEN(A91)-1)*1,Master!$D$29:$G$228,4,FALSE)</f>
        <v>Tax on International Trade and Transactions</v>
      </c>
      <c r="C91" s="571"/>
      <c r="D91" s="571"/>
      <c r="E91" s="571"/>
      <c r="F91" s="571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5">
        <f t="shared" si="21"/>
        <v>0.53454626393521121</v>
      </c>
    </row>
    <row r="92" spans="1:21">
      <c r="A92" s="116" t="str">
        <f t="shared" si="17"/>
        <v>7118p</v>
      </c>
      <c r="B92" s="570" t="str">
        <f>+VLOOKUP(LEFT($A92,LEN(A92)-1)*1,Master!$D$29:$G$228,4,FALSE)</f>
        <v>Other Republic Taxes</v>
      </c>
      <c r="C92" s="571"/>
      <c r="D92" s="571"/>
      <c r="E92" s="571"/>
      <c r="F92" s="571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5">
        <f t="shared" si="21"/>
        <v>0.23596029916404263</v>
      </c>
    </row>
    <row r="93" spans="1:21">
      <c r="A93" s="116" t="str">
        <f t="shared" si="17"/>
        <v>712p</v>
      </c>
      <c r="B93" s="578" t="str">
        <f>+VLOOKUP(LEFT($A93,LEN(A93)-1)*1,Master!$D$29:$G$228,4,FALSE)</f>
        <v>Contributions</v>
      </c>
      <c r="C93" s="579"/>
      <c r="D93" s="579"/>
      <c r="E93" s="579"/>
      <c r="F93" s="579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6">
        <f t="shared" si="21"/>
        <v>12.548878564749469</v>
      </c>
    </row>
    <row r="94" spans="1:21">
      <c r="A94" s="116" t="str">
        <f t="shared" si="17"/>
        <v>7121p</v>
      </c>
      <c r="B94" s="570" t="str">
        <f>+VLOOKUP(LEFT($A94,LEN(A94)-1)*1,Master!$D$29:$G$228,4,FALSE)</f>
        <v>Contributions for Pension and Disability Insurance</v>
      </c>
      <c r="C94" s="571"/>
      <c r="D94" s="571"/>
      <c r="E94" s="571"/>
      <c r="F94" s="571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5">
        <f t="shared" si="21"/>
        <v>7.8081986886007</v>
      </c>
    </row>
    <row r="95" spans="1:21">
      <c r="A95" s="116" t="str">
        <f t="shared" si="17"/>
        <v>7122p</v>
      </c>
      <c r="B95" s="570" t="str">
        <f>+VLOOKUP(LEFT($A95,LEN(A95)-1)*1,Master!$D$29:$G$228,4,FALSE)</f>
        <v>Contributions for Health Insurance</v>
      </c>
      <c r="C95" s="571"/>
      <c r="D95" s="571"/>
      <c r="E95" s="571"/>
      <c r="F95" s="571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5">
        <f t="shared" si="21"/>
        <v>4.0418037813006764</v>
      </c>
    </row>
    <row r="96" spans="1:21">
      <c r="A96" s="116" t="str">
        <f t="shared" si="17"/>
        <v>7123p</v>
      </c>
      <c r="B96" s="570" t="str">
        <f>+VLOOKUP(LEFT($A96,LEN(A96)-1)*1,Master!$D$29:$G$228,4,FALSE)</f>
        <v>Contributions for  Unemployment Insurance</v>
      </c>
      <c r="C96" s="571"/>
      <c r="D96" s="571"/>
      <c r="E96" s="571"/>
      <c r="F96" s="571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5">
        <f t="shared" si="21"/>
        <v>0.37739904074144265</v>
      </c>
    </row>
    <row r="97" spans="1:23">
      <c r="A97" s="116" t="str">
        <f t="shared" si="17"/>
        <v>7124p</v>
      </c>
      <c r="B97" s="570" t="str">
        <f>+VLOOKUP(LEFT($A97,LEN(A97)-1)*1,Master!$D$29:$G$228,4,FALSE)</f>
        <v>Other contributions</v>
      </c>
      <c r="C97" s="571"/>
      <c r="D97" s="571"/>
      <c r="E97" s="571"/>
      <c r="F97" s="571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5">
        <f t="shared" si="21"/>
        <v>0.32147705410665273</v>
      </c>
    </row>
    <row r="98" spans="1:23">
      <c r="A98" s="116" t="str">
        <f t="shared" si="17"/>
        <v>713p</v>
      </c>
      <c r="B98" s="576" t="str">
        <f>+VLOOKUP(LEFT($A98,LEN(A98)-1)*1,Master!$D$29:$G$228,4,FALSE)</f>
        <v>Duties</v>
      </c>
      <c r="C98" s="577"/>
      <c r="D98" s="577"/>
      <c r="E98" s="577"/>
      <c r="F98" s="577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6">
        <f t="shared" si="21"/>
        <v>0.27557339372126122</v>
      </c>
    </row>
    <row r="99" spans="1:23">
      <c r="A99" s="116" t="str">
        <f t="shared" si="17"/>
        <v>714p</v>
      </c>
      <c r="B99" s="576" t="str">
        <f>+VLOOKUP(LEFT($A99,LEN(A99)-1)*1,Master!$D$29:$G$228,4,FALSE)</f>
        <v>Fees</v>
      </c>
      <c r="C99" s="577"/>
      <c r="D99" s="577"/>
      <c r="E99" s="577"/>
      <c r="F99" s="577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6">
        <f t="shared" si="21"/>
        <v>0.87442029964197865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Other revenues</v>
      </c>
      <c r="C100" s="577"/>
      <c r="D100" s="577"/>
      <c r="E100" s="577"/>
      <c r="F100" s="577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6">
        <f t="shared" si="21"/>
        <v>1.4196769637950202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Receipts from Repayment of Loans and Funds Carried over from Previous Year</v>
      </c>
      <c r="C101" s="577"/>
      <c r="D101" s="577"/>
      <c r="E101" s="577"/>
      <c r="F101" s="577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6">
        <f t="shared" si="21"/>
        <v>0.19907921041280252</v>
      </c>
    </row>
    <row r="102" spans="1:23" ht="14.4" thickBot="1">
      <c r="A102" s="116" t="str">
        <f t="shared" si="17"/>
        <v>74p</v>
      </c>
      <c r="B102" s="572" t="str">
        <f>+VLOOKUP(LEFT($A102,LEN(A102)-1)*1,Master!$D$29:$G$228,4,FALSE)</f>
        <v>Grants and Transfers</v>
      </c>
      <c r="C102" s="573"/>
      <c r="D102" s="573"/>
      <c r="E102" s="573"/>
      <c r="F102" s="573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7">
        <f t="shared" si="21"/>
        <v>1.3997347237199673</v>
      </c>
    </row>
    <row r="103" spans="1:23" ht="14.4" thickBot="1">
      <c r="A103" s="116" t="str">
        <f t="shared" si="17"/>
        <v>4p</v>
      </c>
      <c r="B103" s="554" t="str">
        <f>+VLOOKUP(LEFT($A103,LEN(A103)-1)*1,Master!$D$29:$G$228,4,FALSE)</f>
        <v>Total Expenditures</v>
      </c>
      <c r="C103" s="555"/>
      <c r="D103" s="555"/>
      <c r="E103" s="555"/>
      <c r="F103" s="555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2">
        <f>+SUM(G103:R103)</f>
        <v>2055535193.0642829</v>
      </c>
      <c r="T103" s="479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Current Expenditures</v>
      </c>
      <c r="C104" s="575"/>
      <c r="D104" s="575"/>
      <c r="E104" s="575"/>
      <c r="F104" s="575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4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Gross Salaries and Contributions</v>
      </c>
      <c r="C105" s="571"/>
      <c r="D105" s="571"/>
      <c r="E105" s="571"/>
      <c r="F105" s="571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5">
        <f t="shared" si="21"/>
        <v>11.278641018850019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Other Personal Income</v>
      </c>
      <c r="C106" s="571"/>
      <c r="D106" s="571"/>
      <c r="E106" s="571"/>
      <c r="F106" s="571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5">
        <f t="shared" si="21"/>
        <v>0.26959439934434715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Expenditures for Supplies</v>
      </c>
      <c r="C107" s="571"/>
      <c r="D107" s="571"/>
      <c r="E107" s="571"/>
      <c r="F107" s="571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5">
        <f t="shared" si="21"/>
        <v>0.6893019837812191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Expenditures for Services</v>
      </c>
      <c r="C108" s="571"/>
      <c r="D108" s="571"/>
      <c r="E108" s="571"/>
      <c r="F108" s="571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5">
        <f t="shared" si="21"/>
        <v>1.3532731210369666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Current Maintenance</v>
      </c>
      <c r="C109" s="571"/>
      <c r="D109" s="571"/>
      <c r="E109" s="571"/>
      <c r="F109" s="571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5">
        <f t="shared" si="21"/>
        <v>0.50341789889142918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Interests</v>
      </c>
      <c r="C110" s="571"/>
      <c r="D110" s="571"/>
      <c r="E110" s="571"/>
      <c r="F110" s="571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5">
        <f t="shared" si="21"/>
        <v>2.4387566176569671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</v>
      </c>
      <c r="C111" s="571"/>
      <c r="D111" s="571"/>
      <c r="E111" s="571"/>
      <c r="F111" s="571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5">
        <f t="shared" si="21"/>
        <v>0.23455438597247985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Subsidies</v>
      </c>
      <c r="C112" s="571"/>
      <c r="D112" s="571"/>
      <c r="E112" s="571"/>
      <c r="F112" s="571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5">
        <f t="shared" si="21"/>
        <v>1.095014621489885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Other expenditures</v>
      </c>
      <c r="C113" s="571"/>
      <c r="D113" s="571"/>
      <c r="E113" s="571"/>
      <c r="F113" s="571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5">
        <f t="shared" si="21"/>
        <v>0.97937629944355764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Social Security Transfers</v>
      </c>
      <c r="C114" s="567"/>
      <c r="D114" s="567"/>
      <c r="E114" s="567"/>
      <c r="F114" s="567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6">
        <f t="shared" si="21"/>
        <v>12.924380405253846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Social Security</v>
      </c>
      <c r="C115" s="571"/>
      <c r="D115" s="571"/>
      <c r="E115" s="571"/>
      <c r="F115" s="571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5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0" t="str">
        <f>+VLOOKUP(LEFT($A116,LEN(A116)-1)*1,Master!$D$29:$G$228,4,FALSE)</f>
        <v>Funds for redundant labor</v>
      </c>
      <c r="C116" s="571"/>
      <c r="D116" s="571"/>
      <c r="E116" s="571"/>
      <c r="F116" s="571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5">
        <f t="shared" si="21"/>
        <v>0.40028421558900928</v>
      </c>
    </row>
    <row r="117" spans="1:22">
      <c r="A117" s="116" t="str">
        <f t="shared" si="26"/>
        <v>423p</v>
      </c>
      <c r="B117" s="570" t="str">
        <f>+VLOOKUP(LEFT($A117,LEN(A117)-1)*1,Master!$D$29:$G$228,4,FALSE)</f>
        <v>Pension and Disability Insurance</v>
      </c>
      <c r="C117" s="571"/>
      <c r="D117" s="571"/>
      <c r="E117" s="571"/>
      <c r="F117" s="571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5">
        <f t="shared" si="21"/>
        <v>9.6073360637104752</v>
      </c>
    </row>
    <row r="118" spans="1:22">
      <c r="A118" s="116" t="str">
        <f t="shared" si="26"/>
        <v>424p</v>
      </c>
      <c r="B118" s="570" t="str">
        <f>+VLOOKUP(LEFT($A118,LEN(A118)-1)*1,Master!$D$29:$G$228,4,FALSE)</f>
        <v>Other Health Care Transfers</v>
      </c>
      <c r="C118" s="571"/>
      <c r="D118" s="571"/>
      <c r="E118" s="571"/>
      <c r="F118" s="571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5">
        <f t="shared" si="21"/>
        <v>0.32998317732821458</v>
      </c>
    </row>
    <row r="119" spans="1:22">
      <c r="A119" s="116" t="str">
        <f t="shared" si="26"/>
        <v>425p</v>
      </c>
      <c r="B119" s="570" t="str">
        <f>+VLOOKUP(LEFT($A119,LEN(A119)-1)*1,Master!$D$29:$G$228,4,FALSE)</f>
        <v>Other Health Care Insurance</v>
      </c>
      <c r="C119" s="571"/>
      <c r="D119" s="571"/>
      <c r="E119" s="571"/>
      <c r="F119" s="571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5">
        <f t="shared" si="21"/>
        <v>0.24802657119440971</v>
      </c>
    </row>
    <row r="120" spans="1:22">
      <c r="A120" s="116" t="str">
        <f t="shared" si="26"/>
        <v>43p</v>
      </c>
      <c r="B120" s="568" t="str">
        <f>+VLOOKUP(LEFT($A120,LEN(A120)-1)*1,Master!$D$29:$G$228,4,FALSE)</f>
        <v xml:space="preserve">Transfers to Institutions, Individuals, NGO and Public Sector </v>
      </c>
      <c r="C120" s="569"/>
      <c r="D120" s="569"/>
      <c r="E120" s="569"/>
      <c r="F120" s="569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6">
        <f t="shared" si="21"/>
        <v>5.6085441784928598</v>
      </c>
    </row>
    <row r="121" spans="1:22">
      <c r="A121" s="116" t="str">
        <f t="shared" si="26"/>
        <v>44p</v>
      </c>
      <c r="B121" s="568" t="str">
        <f>+VLOOKUP(LEFT($A121,LEN(A121)-1)*1,Master!$D$29:$G$228,4,FALSE)</f>
        <v>Capital Expenditure</v>
      </c>
      <c r="C121" s="569"/>
      <c r="D121" s="569"/>
      <c r="E121" s="569"/>
      <c r="F121" s="569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6">
        <f t="shared" si="21"/>
        <v>5.0803331212526421</v>
      </c>
    </row>
    <row r="122" spans="1:22">
      <c r="A122" s="116" t="str">
        <f t="shared" si="26"/>
        <v>451p</v>
      </c>
      <c r="B122" s="560" t="str">
        <f>+VLOOKUP(LEFT($A122,LEN(A122)-1)*1,Master!$D$29:$G$228,4,FALSE)</f>
        <v>Credits and Borrowings</v>
      </c>
      <c r="C122" s="561"/>
      <c r="D122" s="561"/>
      <c r="E122" s="561"/>
      <c r="F122" s="561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5">
        <f t="shared" si="21"/>
        <v>3.3515959970668155E-2</v>
      </c>
    </row>
    <row r="123" spans="1:22">
      <c r="A123" s="116" t="str">
        <f t="shared" si="26"/>
        <v>47p</v>
      </c>
      <c r="B123" s="560" t="str">
        <f>+VLOOKUP(LEFT($A123,LEN(A123)-1)*1,Master!$D$29:$G$228,4,FALSE)</f>
        <v>Reserves</v>
      </c>
      <c r="C123" s="561"/>
      <c r="D123" s="561"/>
      <c r="E123" s="561"/>
      <c r="F123" s="561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5">
        <f t="shared" si="21"/>
        <v>1.535889466419359</v>
      </c>
    </row>
    <row r="124" spans="1:22">
      <c r="A124" s="116" t="str">
        <f t="shared" si="26"/>
        <v>462p</v>
      </c>
      <c r="B124" s="560" t="str">
        <f>+VLOOKUP(LEFT($A124,LEN(A124)-1)*1,Master!$D$29:$G$228,4,FALSE)</f>
        <v>Repayment of Guarantees</v>
      </c>
      <c r="C124" s="561"/>
      <c r="D124" s="561"/>
      <c r="E124" s="561"/>
      <c r="F124" s="561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5">
        <f t="shared" si="21"/>
        <v>8.3250657809601863E-2</v>
      </c>
    </row>
    <row r="125" spans="1:22">
      <c r="A125" s="117" t="str">
        <f t="shared" si="26"/>
        <v>4630p</v>
      </c>
      <c r="B125" s="560" t="str">
        <f>+VLOOKUP(LEFT($A125,LEN(A125)-1)*1,Master!$D$29:$G$228,4,FALSE)</f>
        <v>Repayments of liabilities form the previous period</v>
      </c>
      <c r="C125" s="561"/>
      <c r="D125" s="561"/>
      <c r="E125" s="561"/>
      <c r="F125" s="561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3">
        <f t="shared" si="21"/>
        <v>0.22496855174049943</v>
      </c>
      <c r="V125" s="257"/>
    </row>
    <row r="126" spans="1:22" ht="14.4" thickBot="1">
      <c r="A126" s="116" t="str">
        <f t="shared" si="26"/>
        <v>1005p</v>
      </c>
      <c r="B126" s="560" t="str">
        <f>+VLOOKUP(LEFT($A126,LEN(A126)-1)*1,Master!$D$29:$G$228,4,FALSE)</f>
        <v>Net increase of liabilities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2" ht="14.4" thickBot="1">
      <c r="A127" s="117" t="str">
        <f t="shared" si="26"/>
        <v>1000p</v>
      </c>
      <c r="B127" s="562" t="str">
        <f>+VLOOKUP(LEFT($A127,LEN(A127)-1)*1,Master!$D$29:$G$225,4,FALSE)</f>
        <v>Surplus / deficit</v>
      </c>
      <c r="C127" s="563"/>
      <c r="D127" s="563"/>
      <c r="E127" s="563"/>
      <c r="F127" s="563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1">
        <f t="shared" si="21"/>
        <v>-3.781420603985318</v>
      </c>
      <c r="U127" s="257"/>
    </row>
    <row r="128" spans="1:22" ht="14.4" thickBot="1">
      <c r="A128" s="117" t="str">
        <f t="shared" si="26"/>
        <v>1001p</v>
      </c>
      <c r="B128" s="564" t="str">
        <f>+VLOOKUP(LEFT($A128,LEN(A128)-1)*1,Master!$D$29:$G$225,4,FALSE)</f>
        <v>Primary surplus/deficit</v>
      </c>
      <c r="C128" s="565"/>
      <c r="D128" s="565"/>
      <c r="E128" s="565"/>
      <c r="F128" s="565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1">
        <f t="shared" si="21"/>
        <v>-1.3426639863283505</v>
      </c>
    </row>
    <row r="129" spans="1:22">
      <c r="A129" s="117" t="str">
        <f t="shared" si="26"/>
        <v>46p</v>
      </c>
      <c r="B129" s="566" t="str">
        <f>+VLOOKUP(LEFT($A129,LEN(A129)-1)*1,Master!$D$29:$G$225,4,FALSE)</f>
        <v>Repayment of Debt</v>
      </c>
      <c r="C129" s="567"/>
      <c r="D129" s="567"/>
      <c r="E129" s="567"/>
      <c r="F129" s="567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7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2">
        <f t="shared" si="21"/>
        <v>9.4014988176105767</v>
      </c>
    </row>
    <row r="130" spans="1:22">
      <c r="A130" s="117" t="str">
        <f t="shared" si="26"/>
        <v>4611p</v>
      </c>
      <c r="B130" s="558" t="str">
        <f>+VLOOKUP(LEFT($A130,LEN(A130)-1)*1,Master!$D$29:$G$225,4,FALSE)</f>
        <v>Repayment of Domestic Debt</v>
      </c>
      <c r="C130" s="559"/>
      <c r="D130" s="559"/>
      <c r="E130" s="559"/>
      <c r="F130" s="559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6">
        <v>294018.01</v>
      </c>
      <c r="N130" s="486">
        <v>1750047.75</v>
      </c>
      <c r="O130" s="486">
        <v>2421267.87</v>
      </c>
      <c r="P130" s="486">
        <v>3875503.62</v>
      </c>
      <c r="Q130" s="486">
        <v>3741551.76</v>
      </c>
      <c r="R130" s="486">
        <v>2536618.6</v>
      </c>
      <c r="S130" s="103">
        <f t="shared" si="20"/>
        <v>85893831.950000018</v>
      </c>
      <c r="T130" s="473">
        <f t="shared" si="21"/>
        <v>1.8525176195919428</v>
      </c>
    </row>
    <row r="131" spans="1:22" ht="14.4" thickBot="1">
      <c r="A131" s="117" t="str">
        <f t="shared" si="26"/>
        <v>4612p</v>
      </c>
      <c r="B131" s="560" t="str">
        <f>+VLOOKUP(LEFT($A131,LEN(A131)-1)*1,Master!$D$29:$G$225,4,FALSE)</f>
        <v>Repayment of Foreign Debt</v>
      </c>
      <c r="C131" s="561"/>
      <c r="D131" s="561"/>
      <c r="E131" s="561"/>
      <c r="F131" s="561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6">
        <v>25464619.924741425</v>
      </c>
      <c r="N131" s="486">
        <v>3126864.3779565003</v>
      </c>
      <c r="O131" s="486">
        <v>11497770.422649164</v>
      </c>
      <c r="P131" s="486">
        <v>3625120.5096505</v>
      </c>
      <c r="Q131" s="486">
        <v>4121213.775667767</v>
      </c>
      <c r="R131" s="486">
        <v>4218746.7266666656</v>
      </c>
      <c r="S131" s="103">
        <f t="shared" si="20"/>
        <v>350016062.22733206</v>
      </c>
      <c r="T131" s="473">
        <f t="shared" si="21"/>
        <v>7.5489811980186357</v>
      </c>
      <c r="V131" s="257"/>
    </row>
    <row r="132" spans="1:22" ht="14.4" thickBot="1">
      <c r="A132" s="117" t="str">
        <f t="shared" si="26"/>
        <v>4418p</v>
      </c>
      <c r="B132" s="554" t="str">
        <f>+VLOOKUP(LEFT($A132,LEN(A132)-1)*1,Master!$D$29:$G$225,4,FALSE)</f>
        <v>Capital Expenditure for Securities</v>
      </c>
      <c r="C132" s="555"/>
      <c r="D132" s="555"/>
      <c r="E132" s="555"/>
      <c r="F132" s="555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50">
        <f t="shared" si="20"/>
        <v>590000</v>
      </c>
      <c r="T132" s="480">
        <f t="shared" si="21"/>
        <v>1.2724841478669716E-2</v>
      </c>
    </row>
    <row r="133" spans="1:22" ht="14.4" thickBot="1">
      <c r="A133" s="117" t="str">
        <f t="shared" si="26"/>
        <v>1002p</v>
      </c>
      <c r="B133" s="556" t="str">
        <f>+VLOOKUP(LEFT($A133,LEN(A133)-1)*1,Master!$D$29:$G$225,4,FALSE)</f>
        <v>Financing needs</v>
      </c>
      <c r="C133" s="557"/>
      <c r="D133" s="557"/>
      <c r="E133" s="557"/>
      <c r="F133" s="557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5">
        <f t="shared" si="21"/>
        <v>-13.195644263074563</v>
      </c>
    </row>
    <row r="134" spans="1:22" ht="14.4" thickBot="1">
      <c r="A134" s="117" t="str">
        <f t="shared" si="26"/>
        <v>1003p</v>
      </c>
      <c r="B134" s="554" t="str">
        <f>+VLOOKUP(LEFT($A134,LEN(A134)-1)*1,Master!$D$29:$G$225,4,FALSE)</f>
        <v>Financing</v>
      </c>
      <c r="C134" s="555"/>
      <c r="D134" s="555"/>
      <c r="E134" s="555"/>
      <c r="F134" s="555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6">
        <f t="shared" si="21"/>
        <v>13.195644263074563</v>
      </c>
    </row>
    <row r="135" spans="1:22">
      <c r="A135" s="117" t="str">
        <f t="shared" si="26"/>
        <v>7511p</v>
      </c>
      <c r="B135" s="558" t="str">
        <f>+VLOOKUP(LEFT($A135,LEN(A135)-1)*1,Master!$D$29:$G$225,4,FALSE)</f>
        <v>Domestic Loans and Borrowings</v>
      </c>
      <c r="C135" s="559"/>
      <c r="D135" s="559"/>
      <c r="E135" s="559"/>
      <c r="F135" s="559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2">
      <c r="A136" s="117" t="str">
        <f t="shared" si="26"/>
        <v>7512p</v>
      </c>
      <c r="B136" s="560" t="str">
        <f>+VLOOKUP(LEFT($A136,LEN(A136)-1)*1,Master!$D$29:$G$225,4,FALSE)</f>
        <v>Foreign Loans and Borrowings</v>
      </c>
      <c r="C136" s="561"/>
      <c r="D136" s="561"/>
      <c r="E136" s="561"/>
      <c r="F136" s="561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3">
        <f t="shared" si="21"/>
        <v>3.5586421084415303</v>
      </c>
    </row>
    <row r="137" spans="1:22">
      <c r="A137" s="117" t="str">
        <f t="shared" si="26"/>
        <v>72p</v>
      </c>
      <c r="B137" s="560" t="str">
        <f>+VLOOKUP(LEFT($A137,LEN(A137)-1)*1,Master!$D$29:$G$225,4,FALSE)</f>
        <v>Revenues from Selling Assets</v>
      </c>
      <c r="C137" s="561"/>
      <c r="D137" s="561"/>
      <c r="E137" s="561"/>
      <c r="F137" s="561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3">
        <f t="shared" si="21"/>
        <v>0.12940516757969203</v>
      </c>
    </row>
    <row r="138" spans="1:22" ht="14.4" thickBot="1">
      <c r="A138" s="117" t="str">
        <f t="shared" si="26"/>
        <v>1004p</v>
      </c>
      <c r="B138" s="98" t="str">
        <f>+VLOOKUP(LEFT($A138,LEN(A138)-1)*1,Master!$D$29:$G$225,4,FALSE)</f>
        <v>Increase / decrease of deposits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7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8"/>
    </row>
    <row r="145" spans="19:19">
      <c r="S145" s="311"/>
    </row>
    <row r="146" spans="19:19">
      <c r="S146" s="311"/>
    </row>
  </sheetData>
  <sheetProtection algorithmName="SHA-512" hashValue="i5jXiTOgMHY4c/Myl+fiRmDrKnTS9YGQKcglOrvQN5Q3nkxFMlJzwFvYksxDPNc5ZAeFawbWtC8ot8acwtR6cQ==" saltValue="Wmf2gAOqb+ePPpIPNTelzw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2</xdr:col>
                    <xdr:colOff>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144780</xdr:colOff>
                    <xdr:row>0</xdr:row>
                    <xdr:rowOff>30480</xdr:rowOff>
                  </from>
                  <to>
                    <xdr:col>2</xdr:col>
                    <xdr:colOff>480060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57"/>
  <sheetViews>
    <sheetView topLeftCell="J1" zoomScaleNormal="100" workbookViewId="0">
      <pane ySplit="1" topLeftCell="A2" activePane="bottomLeft" state="frozen"/>
      <selection pane="bottomLeft" activeCell="G10" sqref="G10:P10"/>
    </sheetView>
  </sheetViews>
  <sheetFormatPr defaultColWidth="9.109375" defaultRowHeight="13.8"/>
  <cols>
    <col min="1" max="1" width="5.44140625" style="70" customWidth="1"/>
    <col min="2" max="4" width="9.109375" style="258"/>
    <col min="5" max="5" width="23.44140625" style="258" bestFit="1" customWidth="1"/>
    <col min="6" max="6" width="0.44140625" style="258" customWidth="1"/>
    <col min="7" max="9" width="10.6640625" style="258" customWidth="1"/>
    <col min="10" max="10" width="14.44140625" style="258" customWidth="1"/>
    <col min="11" max="18" width="10.6640625" style="258" customWidth="1"/>
    <col min="19" max="19" width="13.33203125" style="258" customWidth="1"/>
    <col min="20" max="20" width="10.6640625" style="258" customWidth="1"/>
    <col min="21" max="21" width="20.33203125" style="258" customWidth="1"/>
    <col min="22" max="22" width="11" style="258" customWidth="1"/>
    <col min="23" max="23" width="13.88671875" style="258" bestFit="1" customWidth="1"/>
    <col min="24" max="16384" width="9.109375" style="258"/>
  </cols>
  <sheetData>
    <row r="1" spans="1:20" s="1" customFormat="1" ht="3" customHeight="1">
      <c r="A1" s="69"/>
    </row>
    <row r="2" spans="1:20" s="1" customFormat="1" ht="14.4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4.4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4.4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4.4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07" t="str">
        <f>+Master!G251</f>
        <v>Budget Execution</v>
      </c>
      <c r="C7" s="507"/>
      <c r="D7" s="507"/>
      <c r="E7" s="507"/>
      <c r="F7" s="507"/>
      <c r="G7" s="515">
        <v>2020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GDP</v>
      </c>
      <c r="T7" s="236">
        <v>4185600000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15" t="str">
        <f>+Master!G246</f>
        <v>Jan - Dec</v>
      </c>
      <c r="T8" s="519"/>
    </row>
    <row r="9" spans="1:20" ht="14.4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4.4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5">
        <f>+S10/$T$7*100</f>
        <v>39.146813852016443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23.081609190558101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2.827361163990826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1.8736944908734712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3.6875256116207955E-2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12.657215500525613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4.9071243733276004</v>
      </c>
    </row>
    <row r="17" spans="1:25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0.5408522474675076</v>
      </c>
    </row>
    <row r="18" spans="1:25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0.23848615825688071</v>
      </c>
    </row>
    <row r="19" spans="1:25">
      <c r="A19" s="150">
        <v>712</v>
      </c>
      <c r="B19" s="546" t="str">
        <f>+VLOOKUP($A19,Master!$D$29:$G$225,4,FALSE)</f>
        <v>Contributions</v>
      </c>
      <c r="C19" s="547"/>
      <c r="D19" s="547"/>
      <c r="E19" s="547"/>
      <c r="F19" s="547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12.686844691083715</v>
      </c>
    </row>
    <row r="20" spans="1:25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7.9034619619648323</v>
      </c>
    </row>
    <row r="21" spans="1:25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4.0988543831230881</v>
      </c>
    </row>
    <row r="22" spans="1:25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0.3683970890672783</v>
      </c>
    </row>
    <row r="23" spans="1:25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0.31613125692851679</v>
      </c>
      <c r="Y23" s="305"/>
    </row>
    <row r="24" spans="1:25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0.25411990754013764</v>
      </c>
      <c r="Y24" s="305"/>
    </row>
    <row r="25" spans="1:25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0.66463075926987769</v>
      </c>
      <c r="W25" s="292"/>
    </row>
    <row r="26" spans="1:25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8">
        <f t="shared" si="4"/>
        <v>0.89869098313264495</v>
      </c>
      <c r="W26" s="311"/>
    </row>
    <row r="27" spans="1:25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8">
        <f t="shared" si="4"/>
        <v>0.17715297090022936</v>
      </c>
    </row>
    <row r="28" spans="1:25" ht="14.4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9">
        <f t="shared" si="4"/>
        <v>1.3837653495317279</v>
      </c>
    </row>
    <row r="29" spans="1:25" ht="14.4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40">
        <f t="shared" si="4"/>
        <v>49.328204113627663</v>
      </c>
    </row>
    <row r="30" spans="1:25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5">
        <f t="shared" si="3"/>
        <v>858015865.80999994</v>
      </c>
      <c r="T30" s="436">
        <f t="shared" si="4"/>
        <v>20.499232268014143</v>
      </c>
    </row>
    <row r="31" spans="1:25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7">
        <f t="shared" si="4"/>
        <v>11.92533854405581</v>
      </c>
    </row>
    <row r="32" spans="1:25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0.30866892512423549</v>
      </c>
    </row>
    <row r="33" spans="1:23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7">
        <f t="shared" si="4"/>
        <v>0.95395377293577988</v>
      </c>
      <c r="V33" s="291"/>
    </row>
    <row r="34" spans="1:23" s="362" customFormat="1">
      <c r="A34" s="361">
        <v>414</v>
      </c>
      <c r="B34" s="605" t="str">
        <f>+VLOOKUP($A34,Master!$D$29:$G$225,4,FALSE)</f>
        <v>Expenditures for Services</v>
      </c>
      <c r="C34" s="606"/>
      <c r="D34" s="606"/>
      <c r="E34" s="606"/>
      <c r="F34" s="606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7">
        <f t="shared" si="4"/>
        <v>1.7738425862480884</v>
      </c>
      <c r="U34" s="258"/>
    </row>
    <row r="35" spans="1:23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0.58208342388188083</v>
      </c>
    </row>
    <row r="36" spans="1:23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7">
        <f t="shared" si="4"/>
        <v>2.6545515183008415</v>
      </c>
    </row>
    <row r="37" spans="1:23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0.27163620030581043</v>
      </c>
    </row>
    <row r="38" spans="1:23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0.86783859709480116</v>
      </c>
    </row>
    <row r="39" spans="1:23" s="362" customFormat="1">
      <c r="A39" s="361">
        <v>419</v>
      </c>
      <c r="B39" s="605" t="str">
        <f>+VLOOKUP($A39,Master!$D$29:$G$225,4,FALSE)</f>
        <v>Other expenditures</v>
      </c>
      <c r="C39" s="606"/>
      <c r="D39" s="606"/>
      <c r="E39" s="606"/>
      <c r="F39" s="606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7">
        <f t="shared" si="4"/>
        <v>1.1613187000668961</v>
      </c>
      <c r="U39" s="258"/>
    </row>
    <row r="40" spans="1:23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13.347643551701072</v>
      </c>
      <c r="U40" s="242"/>
      <c r="W40" s="309"/>
    </row>
    <row r="41" spans="1:23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1.9227658534021408</v>
      </c>
      <c r="U41" s="242"/>
    </row>
    <row r="42" spans="1:23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0.48018163704128441</v>
      </c>
      <c r="U42" s="242"/>
    </row>
    <row r="43" spans="1:23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10.22724545775994</v>
      </c>
      <c r="U43" s="242"/>
    </row>
    <row r="44" spans="1:23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0.48311802370030571</v>
      </c>
      <c r="U44" s="242"/>
    </row>
    <row r="45" spans="1:23" s="362" customFormat="1">
      <c r="A45" s="361">
        <v>425</v>
      </c>
      <c r="B45" s="601" t="str">
        <f>+VLOOKUP($A45,Master!$D$29:$G$225,4,FALSE)</f>
        <v>Other Health Care Insurance</v>
      </c>
      <c r="C45" s="602"/>
      <c r="D45" s="602"/>
      <c r="E45" s="602"/>
      <c r="F45" s="602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0.23433257979740058</v>
      </c>
      <c r="U45" s="242"/>
    </row>
    <row r="46" spans="1:23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8">
        <f t="shared" si="4"/>
        <v>6.7194405222668205</v>
      </c>
      <c r="U46" s="242"/>
    </row>
    <row r="47" spans="1:23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8">
        <f t="shared" si="4"/>
        <v>5.4935233579415135</v>
      </c>
      <c r="U47" s="242"/>
    </row>
    <row r="48" spans="1:23">
      <c r="A48" s="150">
        <v>451</v>
      </c>
      <c r="B48" s="603" t="str">
        <f>+VLOOKUP($A48,Master!$D$29:$G$225,4,FALSE)</f>
        <v>Credits and Borrowings</v>
      </c>
      <c r="C48" s="604"/>
      <c r="D48" s="604"/>
      <c r="E48" s="604"/>
      <c r="F48" s="604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3.8500262805810398E-2</v>
      </c>
      <c r="U48" s="242"/>
    </row>
    <row r="49" spans="1:22" s="362" customFormat="1">
      <c r="A49" s="361">
        <v>47</v>
      </c>
      <c r="B49" s="595" t="str">
        <f>+VLOOKUP($A49,Master!$D$29:$G$225,4,FALSE)</f>
        <v>Reserves</v>
      </c>
      <c r="C49" s="596"/>
      <c r="D49" s="596"/>
      <c r="E49" s="596"/>
      <c r="F49" s="596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2.7812908352446479</v>
      </c>
      <c r="U49" s="242"/>
    </row>
    <row r="50" spans="1:22" ht="14.4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4.4" thickBot="1">
      <c r="A51" s="144">
        <v>4630</v>
      </c>
      <c r="B51" s="597" t="str">
        <f>+VLOOKUP($A51,Master!$D$29:$G$225,4,TRUE)</f>
        <v>Repayments of liabilities form the previous period</v>
      </c>
      <c r="C51" s="598"/>
      <c r="D51" s="598"/>
      <c r="E51" s="598"/>
      <c r="F51" s="598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0.44857331565366981</v>
      </c>
      <c r="U51" s="242"/>
    </row>
    <row r="52" spans="1:22" ht="14.4" thickBot="1">
      <c r="A52" s="70">
        <v>1005</v>
      </c>
      <c r="B52" s="599" t="str">
        <f>+VLOOKUP($A52,Master!$D$29:$G$227,4,FALSE)</f>
        <v>Net increase of liabilities</v>
      </c>
      <c r="C52" s="600"/>
      <c r="D52" s="600"/>
      <c r="E52" s="600"/>
      <c r="F52" s="600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4.4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3">
        <f t="shared" si="4"/>
        <v>-10.181390261611241</v>
      </c>
    </row>
    <row r="54" spans="1:22" ht="14.4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3">
        <f t="shared" si="4"/>
        <v>-7.5268387433103978</v>
      </c>
    </row>
    <row r="55" spans="1:22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15.90801867426414</v>
      </c>
      <c r="V55" s="309"/>
    </row>
    <row r="56" spans="1:22">
      <c r="A56" s="144">
        <v>4611</v>
      </c>
      <c r="B56" s="520" t="str">
        <f>+VLOOKUP($A56,Master!$D$29:$G$225,4,FALSE)</f>
        <v>Repayment of Domestic Debt</v>
      </c>
      <c r="C56" s="521"/>
      <c r="D56" s="521"/>
      <c r="E56" s="521"/>
      <c r="F56" s="521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5.8341507953459475</v>
      </c>
      <c r="V56" s="354"/>
    </row>
    <row r="57" spans="1:22" ht="14.4" thickBot="1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10.073867878918195</v>
      </c>
      <c r="V57" s="319"/>
    </row>
    <row r="58" spans="1:22" ht="14.4" thickBot="1">
      <c r="A58" s="144">
        <v>4418</v>
      </c>
      <c r="B58" s="542" t="str">
        <f>+VLOOKUP($A58,Master!$D$29:$G$225,4,FALSE)</f>
        <v>Capital Expenditure for Securities</v>
      </c>
      <c r="C58" s="543"/>
      <c r="D58" s="543"/>
      <c r="E58" s="543"/>
      <c r="F58" s="543"/>
      <c r="G58" s="461">
        <f>+INDEX(DataEx!$1:$1048576,MATCH('2020'!$A58,DataEx!$D:$D,0),MATCH('2020'!G$6,DataEx!$7:$7,0))</f>
        <v>0</v>
      </c>
      <c r="H58" s="461">
        <f>+INDEX(DataEx!$1:$1048576,MATCH('2020'!$A58,DataEx!$D:$D,0),MATCH('2020'!H$6,DataEx!$7:$7,0))</f>
        <v>0</v>
      </c>
      <c r="I58" s="461">
        <f>+INDEX(DataEx!$1:$1048576,MATCH('2020'!$A58,DataEx!$D:$D,0),MATCH('2020'!I$6,DataEx!$7:$7,0))</f>
        <v>0</v>
      </c>
      <c r="J58" s="461">
        <f>+INDEX(DataEx!$1:$1048576,MATCH('2020'!$A58,DataEx!$D:$D,0),MATCH('2020'!J$6,DataEx!$7:$7,0))</f>
        <v>0</v>
      </c>
      <c r="K58" s="461">
        <f>+INDEX(DataEx!$1:$1048576,MATCH('2020'!$A58,DataEx!$D:$D,0),MATCH('2020'!K$6,DataEx!$7:$7,0))</f>
        <v>0</v>
      </c>
      <c r="L58" s="461">
        <f>+INDEX(DataEx!$1:$1048576,MATCH('2020'!$A58,DataEx!$D:$D,0),MATCH('2020'!L$6,DataEx!$7:$7,0))</f>
        <v>0</v>
      </c>
      <c r="M58" s="461">
        <f>+INDEX(DataEx!$1:$1048576,MATCH('2020'!$A58,DataEx!$D:$D,0),MATCH('2020'!M$6,DataEx!$7:$7,0))</f>
        <v>0</v>
      </c>
      <c r="N58" s="461">
        <f>+INDEX(DataEx!$1:$1048576,MATCH('2020'!$A58,DataEx!$D:$D,0),MATCH('2020'!N$6,DataEx!$7:$7,0))</f>
        <v>0</v>
      </c>
      <c r="O58" s="461">
        <f>+INDEX(DataEx!$1:$1048576,MATCH('2020'!$A58,DataEx!$D:$D,0),MATCH('2020'!O$6,DataEx!$7:$7,0))</f>
        <v>940769.61</v>
      </c>
      <c r="P58" s="461">
        <f>+INDEX(DataEx!$1:$1048576,MATCH('2020'!$A58,DataEx!$D:$D,0),MATCH('2020'!P$6,DataEx!$7:$7,0))</f>
        <v>0</v>
      </c>
      <c r="Q58" s="461">
        <f>+INDEX(DataEx!$1:$1048576,MATCH('2020'!$A58,DataEx!$D:$D,0),MATCH('2020'!Q$6,DataEx!$7:$7,0))</f>
        <v>0</v>
      </c>
      <c r="R58" s="462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2.2476338159403669E-2</v>
      </c>
      <c r="V58" s="319"/>
    </row>
    <row r="59" spans="1:22" ht="14.4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7">
        <f t="shared" si="4"/>
        <v>-26.111885274034783</v>
      </c>
    </row>
    <row r="60" spans="1:22" ht="14.4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8">
        <f t="shared" si="4"/>
        <v>26.111885274034783</v>
      </c>
    </row>
    <row r="61" spans="1:22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4.0025816879300455</v>
      </c>
    </row>
    <row r="62" spans="1:22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28.329148839353973</v>
      </c>
    </row>
    <row r="63" spans="1:22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0.20420611047400611</v>
      </c>
    </row>
    <row r="64" spans="1:22" ht="14.4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9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4.4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84" t="str">
        <f>+Master!G252</f>
        <v>Planned Budget Execution</v>
      </c>
      <c r="C100" s="585"/>
      <c r="D100" s="585"/>
      <c r="E100" s="585"/>
      <c r="F100" s="585"/>
      <c r="G100" s="592">
        <v>2020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GDP</v>
      </c>
      <c r="T100" s="108">
        <v>4607300000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January</v>
      </c>
      <c r="H101" s="71" t="str">
        <f t="shared" si="15"/>
        <v>February</v>
      </c>
      <c r="I101" s="71" t="str">
        <f t="shared" si="15"/>
        <v>March</v>
      </c>
      <c r="J101" s="71" t="str">
        <f t="shared" si="15"/>
        <v>April</v>
      </c>
      <c r="K101" s="71" t="str">
        <f t="shared" si="15"/>
        <v>May</v>
      </c>
      <c r="L101" s="71" t="str">
        <f t="shared" si="15"/>
        <v>June</v>
      </c>
      <c r="M101" s="71" t="str">
        <f t="shared" si="15"/>
        <v>July</v>
      </c>
      <c r="N101" s="71" t="str">
        <f t="shared" si="15"/>
        <v>August</v>
      </c>
      <c r="O101" s="71" t="str">
        <f t="shared" si="15"/>
        <v>September</v>
      </c>
      <c r="P101" s="71" t="str">
        <f t="shared" si="15"/>
        <v>October</v>
      </c>
      <c r="Q101" s="71" t="str">
        <f t="shared" si="15"/>
        <v>November</v>
      </c>
      <c r="R101" s="71" t="str">
        <f t="shared" si="15"/>
        <v>December</v>
      </c>
      <c r="S101" s="592" t="str">
        <f>+Master!G246</f>
        <v>Jan - Dec</v>
      </c>
      <c r="T101" s="594">
        <f>+T8</f>
        <v>0</v>
      </c>
    </row>
    <row r="102" spans="1:21" ht="14.4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GDP</v>
      </c>
    </row>
    <row r="103" spans="1:21" ht="14.4" thickBot="1">
      <c r="A103" s="116" t="str">
        <f t="shared" ref="A103:A144" si="16">+CONCATENATE(A10,"p")</f>
        <v>7p</v>
      </c>
      <c r="B103" s="580" t="str">
        <f>+VLOOKUP(LEFT($A103,LEN(A103)-1)*1,Master!$D$29:$G$225,4,FALSE)</f>
        <v>Total Revenues</v>
      </c>
      <c r="C103" s="581"/>
      <c r="D103" s="581"/>
      <c r="E103" s="581"/>
      <c r="F103" s="581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82" t="str">
        <f>+VLOOKUP(LEFT($A104,LEN(A104)-1)*1,Master!$D$29:$G$225,4,FALSE)</f>
        <v>Taxes</v>
      </c>
      <c r="C104" s="583"/>
      <c r="D104" s="583"/>
      <c r="E104" s="583"/>
      <c r="F104" s="583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0" t="str">
        <f>+VLOOKUP(LEFT($A105,LEN(A105)-1)*1,Master!$D$29:$G$228,4,FALSE)</f>
        <v>Personal Income Tax</v>
      </c>
      <c r="C105" s="571"/>
      <c r="D105" s="571"/>
      <c r="E105" s="571"/>
      <c r="F105" s="571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70" t="str">
        <f>+VLOOKUP(LEFT($A106,LEN(A106)-1)*1,Master!$D$29:$G$228,4,FALSE)</f>
        <v>Corporate Income Tax</v>
      </c>
      <c r="C106" s="571"/>
      <c r="D106" s="571"/>
      <c r="E106" s="571"/>
      <c r="F106" s="571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70" t="str">
        <f>+VLOOKUP(LEFT($A107,LEN(A107)-1)*1,Master!$D$29:$G$228,4,FALSE)</f>
        <v xml:space="preserve">Taxes on Sales of Property </v>
      </c>
      <c r="C107" s="571"/>
      <c r="D107" s="571"/>
      <c r="E107" s="571"/>
      <c r="F107" s="571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70" t="str">
        <f>+VLOOKUP(LEFT($A108,LEN(A108)-1)*1,Master!$D$29:$G$228,4,FALSE)</f>
        <v>Value Added Tax</v>
      </c>
      <c r="C108" s="571"/>
      <c r="D108" s="571"/>
      <c r="E108" s="571"/>
      <c r="F108" s="571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70" t="str">
        <f>+VLOOKUP(LEFT($A109,LEN(A109)-1)*1,Master!$D$29:$G$228,4,FALSE)</f>
        <v>Excises</v>
      </c>
      <c r="C109" s="571"/>
      <c r="D109" s="571"/>
      <c r="E109" s="571"/>
      <c r="F109" s="571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70" t="str">
        <f>+VLOOKUP(LEFT($A110,LEN(A110)-1)*1,Master!$D$29:$G$228,4,FALSE)</f>
        <v>Tax on International Trade and Transactions</v>
      </c>
      <c r="C110" s="571"/>
      <c r="D110" s="571"/>
      <c r="E110" s="571"/>
      <c r="F110" s="571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70" t="str">
        <f>+VLOOKUP(LEFT($A111,LEN(A111)-1)*1,Master!$D$29:$G$228,4,FALSE)</f>
        <v>Other Republic Taxes</v>
      </c>
      <c r="C111" s="571"/>
      <c r="D111" s="571"/>
      <c r="E111" s="571"/>
      <c r="F111" s="571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78" t="str">
        <f>+VLOOKUP(LEFT($A112,LEN(A112)-1)*1,Master!$D$29:$G$228,4,FALSE)</f>
        <v>Contributions</v>
      </c>
      <c r="C112" s="579"/>
      <c r="D112" s="579"/>
      <c r="E112" s="579"/>
      <c r="F112" s="579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70" t="str">
        <f>+VLOOKUP(LEFT($A113,LEN(A113)-1)*1,Master!$D$29:$G$228,4,FALSE)</f>
        <v>Contributions for Pension and Disability Insurance</v>
      </c>
      <c r="C113" s="571"/>
      <c r="D113" s="571"/>
      <c r="E113" s="571"/>
      <c r="F113" s="571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70" t="str">
        <f>+VLOOKUP(LEFT($A114,LEN(A114)-1)*1,Master!$D$29:$G$228,4,FALSE)</f>
        <v>Contributions for Health Insurance</v>
      </c>
      <c r="C114" s="571"/>
      <c r="D114" s="571"/>
      <c r="E114" s="571"/>
      <c r="F114" s="571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70" t="str">
        <f>+VLOOKUP(LEFT($A115,LEN(A115)-1)*1,Master!$D$29:$G$228,4,FALSE)</f>
        <v>Contributions for  Unemployment Insurance</v>
      </c>
      <c r="C115" s="571"/>
      <c r="D115" s="571"/>
      <c r="E115" s="571"/>
      <c r="F115" s="571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70" t="str">
        <f>+VLOOKUP(LEFT($A116,LEN(A116)-1)*1,Master!$D$29:$G$228,4,FALSE)</f>
        <v>Other contributions</v>
      </c>
      <c r="C116" s="571"/>
      <c r="D116" s="571"/>
      <c r="E116" s="571"/>
      <c r="F116" s="571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76" t="str">
        <f>+VLOOKUP(LEFT($A117,LEN(A117)-1)*1,Master!$D$29:$G$228,4,FALSE)</f>
        <v>Duties</v>
      </c>
      <c r="C117" s="577"/>
      <c r="D117" s="577"/>
      <c r="E117" s="577"/>
      <c r="F117" s="577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76" t="str">
        <f>+VLOOKUP(LEFT($A118,LEN(A118)-1)*1,Master!$D$29:$G$228,4,FALSE)</f>
        <v>Fees</v>
      </c>
      <c r="C118" s="577"/>
      <c r="D118" s="577"/>
      <c r="E118" s="577"/>
      <c r="F118" s="577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76" t="str">
        <f>+VLOOKUP(LEFT($A119,LEN(A119)-1)*1,Master!$D$29:$G$228,4,FALSE)</f>
        <v>Other revenues</v>
      </c>
      <c r="C119" s="577"/>
      <c r="D119" s="577"/>
      <c r="E119" s="577"/>
      <c r="F119" s="577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76" t="str">
        <f>+VLOOKUP(LEFT($A120,LEN(A120)-1)*1,Master!$D$29:$G$228,4,FALSE)</f>
        <v>Receipts from Repayment of Loans and Funds Carried over from Previous Year</v>
      </c>
      <c r="C120" s="577"/>
      <c r="D120" s="577"/>
      <c r="E120" s="577"/>
      <c r="F120" s="577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4.4" thickBot="1">
      <c r="A121" s="116" t="str">
        <f t="shared" si="16"/>
        <v>74p</v>
      </c>
      <c r="B121" s="572" t="str">
        <f>+VLOOKUP(LEFT($A121,LEN(A121)-1)*1,Master!$D$29:$G$228,4,FALSE)</f>
        <v>Grants and Transfers</v>
      </c>
      <c r="C121" s="573"/>
      <c r="D121" s="573"/>
      <c r="E121" s="573"/>
      <c r="F121" s="573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4.4" thickBot="1">
      <c r="A122" s="116" t="str">
        <f t="shared" si="16"/>
        <v>4p</v>
      </c>
      <c r="B122" s="554" t="str">
        <f>+VLOOKUP(LEFT($A122,LEN(A122)-1)*1,Master!$D$29:$G$228,4,FALSE)</f>
        <v>Total Expenditures</v>
      </c>
      <c r="C122" s="555"/>
      <c r="D122" s="555"/>
      <c r="E122" s="555"/>
      <c r="F122" s="555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74" t="str">
        <f>+VLOOKUP(LEFT($A123,LEN(A123)-1)*1,Master!$D$29:$G$228,4,FALSE)</f>
        <v>Current Expenditures</v>
      </c>
      <c r="C123" s="575"/>
      <c r="D123" s="575"/>
      <c r="E123" s="575"/>
      <c r="F123" s="575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70" t="str">
        <f>+VLOOKUP(LEFT($A124,LEN(A124)-1)*1,Master!$D$29:$G$228,4,FALSE)</f>
        <v>Gross Salaries and Contributions</v>
      </c>
      <c r="C124" s="571"/>
      <c r="D124" s="571"/>
      <c r="E124" s="571"/>
      <c r="F124" s="571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70" t="str">
        <f>+VLOOKUP(LEFT($A125,LEN(A125)-1)*1,Master!$D$29:$G$228,4,FALSE)</f>
        <v>Other Personal Income</v>
      </c>
      <c r="C125" s="571"/>
      <c r="D125" s="571"/>
      <c r="E125" s="571"/>
      <c r="F125" s="571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70" t="str">
        <f>+VLOOKUP(LEFT($A126,LEN(A126)-1)*1,Master!$D$29:$G$228,4,FALSE)</f>
        <v>Expenditures for Supplies</v>
      </c>
      <c r="C126" s="571"/>
      <c r="D126" s="571"/>
      <c r="E126" s="571"/>
      <c r="F126" s="571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70" t="str">
        <f>+VLOOKUP(LEFT($A127,LEN(A127)-1)*1,Master!$D$29:$G$228,4,FALSE)</f>
        <v>Expenditures for Services</v>
      </c>
      <c r="C127" s="571"/>
      <c r="D127" s="571"/>
      <c r="E127" s="571"/>
      <c r="F127" s="571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70" t="str">
        <f>+VLOOKUP(LEFT($A128,LEN(A128)-1)*1,Master!$D$29:$G$228,4,FALSE)</f>
        <v>Current Maintenance</v>
      </c>
      <c r="C128" s="571"/>
      <c r="D128" s="571"/>
      <c r="E128" s="571"/>
      <c r="F128" s="571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70" t="str">
        <f>+VLOOKUP(LEFT($A129,LEN(A129)-1)*1,Master!$D$29:$G$228,4,FALSE)</f>
        <v>Interests</v>
      </c>
      <c r="C129" s="571"/>
      <c r="D129" s="571"/>
      <c r="E129" s="571"/>
      <c r="F129" s="571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70" t="str">
        <f>+VLOOKUP(LEFT($A130,LEN(A130)-1)*1,Master!$D$29:$G$228,4,FALSE)</f>
        <v>Rent</v>
      </c>
      <c r="C130" s="571"/>
      <c r="D130" s="571"/>
      <c r="E130" s="571"/>
      <c r="F130" s="571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70" t="str">
        <f>+VLOOKUP(LEFT($A131,LEN(A131)-1)*1,Master!$D$29:$G$228,4,FALSE)</f>
        <v>Subsidies</v>
      </c>
      <c r="C131" s="571"/>
      <c r="D131" s="571"/>
      <c r="E131" s="571"/>
      <c r="F131" s="571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70" t="str">
        <f>+VLOOKUP(LEFT($A132,LEN(A132)-1)*1,Master!$D$29:$G$228,4,FALSE)</f>
        <v>Other expenditures</v>
      </c>
      <c r="C132" s="571"/>
      <c r="D132" s="571"/>
      <c r="E132" s="571"/>
      <c r="F132" s="571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66" t="str">
        <f>+VLOOKUP(LEFT($A133,LEN(A133)-1)*1,Master!$D$29:$G$228,4,FALSE)</f>
        <v>Social Security Transfers</v>
      </c>
      <c r="C133" s="567"/>
      <c r="D133" s="567"/>
      <c r="E133" s="567"/>
      <c r="F133" s="567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70" t="str">
        <f>+VLOOKUP(LEFT($A134,LEN(A134)-1)*1,Master!$D$29:$G$228,4,FALSE)</f>
        <v>Social Security</v>
      </c>
      <c r="C134" s="571"/>
      <c r="D134" s="571"/>
      <c r="E134" s="571"/>
      <c r="F134" s="571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70" t="str">
        <f>+VLOOKUP(LEFT($A135,LEN(A135)-1)*1,Master!$D$29:$G$228,4,FALSE)</f>
        <v>Funds for redundant labor</v>
      </c>
      <c r="C135" s="571"/>
      <c r="D135" s="571"/>
      <c r="E135" s="571"/>
      <c r="F135" s="571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70" t="str">
        <f>+VLOOKUP(LEFT($A136,LEN(A136)-1)*1,Master!$D$29:$G$228,4,FALSE)</f>
        <v>Pension and Disability Insurance</v>
      </c>
      <c r="C136" s="571"/>
      <c r="D136" s="571"/>
      <c r="E136" s="571"/>
      <c r="F136" s="571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70" t="str">
        <f>+VLOOKUP(LEFT($A137,LEN(A137)-1)*1,Master!$D$29:$G$228,4,FALSE)</f>
        <v>Other Health Care Transfers</v>
      </c>
      <c r="C137" s="571"/>
      <c r="D137" s="571"/>
      <c r="E137" s="571"/>
      <c r="F137" s="571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70" t="str">
        <f>+VLOOKUP(LEFT($A138,LEN(A138)-1)*1,Master!$D$29:$G$228,4,FALSE)</f>
        <v>Other Health Care Insurance</v>
      </c>
      <c r="C138" s="571"/>
      <c r="D138" s="571"/>
      <c r="E138" s="571"/>
      <c r="F138" s="571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68" t="str">
        <f>+VLOOKUP(LEFT($A139,LEN(A139)-1)*1,Master!$D$29:$G$228,4,FALSE)</f>
        <v xml:space="preserve">Transfers to Institutions, Individuals, NGO and Public Sector </v>
      </c>
      <c r="C139" s="569"/>
      <c r="D139" s="569"/>
      <c r="E139" s="569"/>
      <c r="F139" s="569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68" t="str">
        <f>+VLOOKUP(LEFT($A140,LEN(A140)-1)*1,Master!$D$29:$G$228,4,FALSE)</f>
        <v>Capital Expenditure</v>
      </c>
      <c r="C140" s="569"/>
      <c r="D140" s="569"/>
      <c r="E140" s="569"/>
      <c r="F140" s="569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60" t="str">
        <f>+VLOOKUP(LEFT($A141,LEN(A141)-1)*1,Master!$D$29:$G$228,4,FALSE)</f>
        <v>Credits and Borrowings</v>
      </c>
      <c r="C141" s="561"/>
      <c r="D141" s="561"/>
      <c r="E141" s="561"/>
      <c r="F141" s="561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60" t="str">
        <f>+VLOOKUP(LEFT($A142,LEN(A142)-1)*1,Master!$D$29:$G$228,4,FALSE)</f>
        <v>Reserves</v>
      </c>
      <c r="C142" s="561"/>
      <c r="D142" s="561"/>
      <c r="E142" s="561"/>
      <c r="F142" s="561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60" t="str">
        <f>+VLOOKUP(LEFT($A143,LEN(A143)-1)*1,Master!$D$29:$G$228,4,FALSE)</f>
        <v>Repayment of Guarantees</v>
      </c>
      <c r="C143" s="561"/>
      <c r="D143" s="561"/>
      <c r="E143" s="561"/>
      <c r="F143" s="561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60" t="str">
        <f>+VLOOKUP(LEFT($A144,LEN(A144)-1)*1,Master!$D$29:$G$228,4,FALSE)</f>
        <v>Repayments of liabilities form the previous period</v>
      </c>
      <c r="C144" s="561"/>
      <c r="D144" s="561"/>
      <c r="E144" s="561"/>
      <c r="F144" s="561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4.4" thickBot="1">
      <c r="A145" s="116" t="str">
        <f t="shared" ref="A145:A151" si="25">+CONCATENATE(A52,"p")</f>
        <v>1005p</v>
      </c>
      <c r="B145" s="560" t="str">
        <f>+VLOOKUP(LEFT($A145,LEN(A145)-1)*1,Master!$D$29:$G$228,4,FALSE)</f>
        <v>Net increase of liabilities</v>
      </c>
      <c r="C145" s="561"/>
      <c r="D145" s="561"/>
      <c r="E145" s="561"/>
      <c r="F145" s="561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4.4" thickBot="1">
      <c r="A146" s="117" t="str">
        <f t="shared" si="25"/>
        <v>1000p</v>
      </c>
      <c r="B146" s="562" t="str">
        <f>+VLOOKUP(LEFT($A146,LEN(A146)-1)*1,Master!$D$29:$G$225,4,FALSE)</f>
        <v>Surplus / deficit</v>
      </c>
      <c r="C146" s="563"/>
      <c r="D146" s="563"/>
      <c r="E146" s="563"/>
      <c r="F146" s="563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4.4" thickBot="1">
      <c r="A147" s="117" t="str">
        <f t="shared" si="25"/>
        <v>1001p</v>
      </c>
      <c r="B147" s="564" t="str">
        <f>+VLOOKUP(LEFT($A147,LEN(A147)-1)*1,Master!$D$29:$G$225,4,FALSE)</f>
        <v>Primary surplus/deficit</v>
      </c>
      <c r="C147" s="565"/>
      <c r="D147" s="565"/>
      <c r="E147" s="565"/>
      <c r="F147" s="565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66" t="str">
        <f>+VLOOKUP(LEFT($A148,LEN(A148)-1)*1,Master!$D$29:$G$225,4,FALSE)</f>
        <v>Repayment of Debt</v>
      </c>
      <c r="C148" s="567"/>
      <c r="D148" s="567"/>
      <c r="E148" s="567"/>
      <c r="F148" s="567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558" t="str">
        <f>+VLOOKUP(LEFT($A149,LEN(A149)-1)*1,Master!$D$29:$G$225,4,FALSE)</f>
        <v>Repayment of Domestic Debt</v>
      </c>
      <c r="C149" s="559"/>
      <c r="D149" s="559"/>
      <c r="E149" s="559"/>
      <c r="F149" s="559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4.4" thickBot="1">
      <c r="A150" s="117" t="str">
        <f t="shared" si="25"/>
        <v>4612p</v>
      </c>
      <c r="B150" s="560" t="str">
        <f>+VLOOKUP(LEFT($A150,LEN(A150)-1)*1,Master!$D$29:$G$225,4,FALSE)</f>
        <v>Repayment of Foreign Debt</v>
      </c>
      <c r="C150" s="561"/>
      <c r="D150" s="561"/>
      <c r="E150" s="561"/>
      <c r="F150" s="561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4.4" thickBot="1">
      <c r="A151" s="117" t="str">
        <f t="shared" si="25"/>
        <v>4418p</v>
      </c>
      <c r="B151" s="554" t="str">
        <f>+VLOOKUP(LEFT($A151,LEN(A151)-1)*1,Master!$D$29:$G$225,4,FALSE)</f>
        <v>Capital Expenditure for Securities</v>
      </c>
      <c r="C151" s="555"/>
      <c r="D151" s="555"/>
      <c r="E151" s="555"/>
      <c r="F151" s="555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4.4" thickBot="1">
      <c r="A152" s="117" t="str">
        <f t="shared" ref="A152:A157" si="29">+CONCATENATE(A59,"p")</f>
        <v>1002p</v>
      </c>
      <c r="B152" s="556" t="str">
        <f>+VLOOKUP(LEFT($A152,LEN(A152)-1)*1,Master!$D$29:$G$225,4,FALSE)</f>
        <v>Financing needs</v>
      </c>
      <c r="C152" s="557"/>
      <c r="D152" s="557"/>
      <c r="E152" s="557"/>
      <c r="F152" s="557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4.4" thickBot="1">
      <c r="A153" s="117" t="str">
        <f t="shared" si="29"/>
        <v>1003p</v>
      </c>
      <c r="B153" s="554" t="str">
        <f>+VLOOKUP(LEFT($A153,LEN(A153)-1)*1,Master!$D$29:$G$225,4,FALSE)</f>
        <v>Financing</v>
      </c>
      <c r="C153" s="555"/>
      <c r="D153" s="555"/>
      <c r="E153" s="555"/>
      <c r="F153" s="555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558" t="str">
        <f>+VLOOKUP(LEFT($A154,LEN(A154)-1)*1,Master!$D$29:$G$225,4,FALSE)</f>
        <v>Domestic Loans and Borrowings</v>
      </c>
      <c r="C154" s="559"/>
      <c r="D154" s="559"/>
      <c r="E154" s="559"/>
      <c r="F154" s="559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60" t="str">
        <f>+VLOOKUP(LEFT($A155,LEN(A155)-1)*1,Master!$D$29:$G$225,4,FALSE)</f>
        <v>Foreign Loans and Borrowings</v>
      </c>
      <c r="C155" s="561"/>
      <c r="D155" s="561"/>
      <c r="E155" s="561"/>
      <c r="F155" s="561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60" t="str">
        <f>+VLOOKUP(LEFT($A156,LEN(A156)-1)*1,Master!$D$29:$G$225,4,FALSE)</f>
        <v>Revenues from Selling Assets</v>
      </c>
      <c r="C156" s="561"/>
      <c r="D156" s="561"/>
      <c r="E156" s="561"/>
      <c r="F156" s="561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4.4" thickBot="1">
      <c r="A157" s="117" t="str">
        <f t="shared" si="29"/>
        <v>1004p</v>
      </c>
      <c r="B157" s="98" t="str">
        <f>+VLOOKUP(LEFT($A157,LEN(A157)-1)*1,Master!$D$29:$G$225,4,FALSE)</f>
        <v>Increase / decrease of deposits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2</xdr:col>
                    <xdr:colOff>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144780</xdr:colOff>
                    <xdr:row>0</xdr:row>
                    <xdr:rowOff>30480</xdr:rowOff>
                  </from>
                  <to>
                    <xdr:col>2</xdr:col>
                    <xdr:colOff>480060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59"/>
  <sheetViews>
    <sheetView zoomScaleNormal="100" workbookViewId="0">
      <pane ySplit="1" topLeftCell="A2" activePane="bottomLeft" state="frozen"/>
      <selection pane="bottomLeft" activeCell="I24" sqref="I24"/>
    </sheetView>
  </sheetViews>
  <sheetFormatPr defaultColWidth="9.109375" defaultRowHeight="13.8"/>
  <cols>
    <col min="1" max="1" width="5.44140625" style="70" customWidth="1"/>
    <col min="2" max="4" width="9.109375" style="258"/>
    <col min="5" max="5" width="23.44140625" style="258" bestFit="1" customWidth="1"/>
    <col min="6" max="6" width="0.44140625" style="258" customWidth="1"/>
    <col min="7" max="9" width="10.6640625" style="258" customWidth="1"/>
    <col min="10" max="10" width="14.44140625" style="258" customWidth="1"/>
    <col min="11" max="18" width="10.6640625" style="258" customWidth="1"/>
    <col min="19" max="19" width="13.33203125" style="258" customWidth="1"/>
    <col min="20" max="20" width="10.6640625" style="258" customWidth="1"/>
    <col min="21" max="21" width="20.33203125" style="258" customWidth="1"/>
    <col min="22" max="22" width="11" style="258" customWidth="1"/>
    <col min="23" max="23" width="13.88671875" style="258" bestFit="1" customWidth="1"/>
    <col min="24" max="16384" width="9.109375" style="258"/>
  </cols>
  <sheetData>
    <row r="1" spans="1:20" s="1" customFormat="1" ht="3" customHeight="1">
      <c r="A1" s="69"/>
    </row>
    <row r="2" spans="1:20" s="1" customFormat="1" ht="14.4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4.4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4.4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4.4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2019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4951000000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4.4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4.4" thickBot="1">
      <c r="A10" s="150">
        <v>7</v>
      </c>
      <c r="B10" s="526" t="s">
        <v>681</v>
      </c>
      <c r="C10" s="527"/>
      <c r="D10" s="527"/>
      <c r="E10" s="527"/>
      <c r="F10" s="527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4.4" thickBot="1">
      <c r="A28" s="150">
        <v>74</v>
      </c>
      <c r="B28" s="540" t="s">
        <v>105</v>
      </c>
      <c r="C28" s="541"/>
      <c r="D28" s="541"/>
      <c r="E28" s="541"/>
      <c r="F28" s="541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4.4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4.4" thickBot="1">
      <c r="A30" s="150">
        <v>40</v>
      </c>
      <c r="B30" s="542" t="s">
        <v>120</v>
      </c>
      <c r="C30" s="543"/>
      <c r="D30" s="543"/>
      <c r="E30" s="543"/>
      <c r="F30" s="543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536" t="s">
        <v>122</v>
      </c>
      <c r="C31" s="537"/>
      <c r="D31" s="537"/>
      <c r="E31" s="537"/>
      <c r="F31" s="537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536" t="s">
        <v>133</v>
      </c>
      <c r="C32" s="537"/>
      <c r="D32" s="537"/>
      <c r="E32" s="537"/>
      <c r="F32" s="537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536" t="s">
        <v>148</v>
      </c>
      <c r="C33" s="537"/>
      <c r="D33" s="537"/>
      <c r="E33" s="537"/>
      <c r="F33" s="537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536" t="s">
        <v>162</v>
      </c>
      <c r="C34" s="537"/>
      <c r="D34" s="537"/>
      <c r="E34" s="537"/>
      <c r="F34" s="537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605" t="s">
        <v>182</v>
      </c>
      <c r="C35" s="606"/>
      <c r="D35" s="606"/>
      <c r="E35" s="606"/>
      <c r="F35" s="606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536" t="s">
        <v>190</v>
      </c>
      <c r="C36" s="537"/>
      <c r="D36" s="537"/>
      <c r="E36" s="537"/>
      <c r="F36" s="537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536" t="s">
        <v>196</v>
      </c>
      <c r="C37" s="537"/>
      <c r="D37" s="537"/>
      <c r="E37" s="537"/>
      <c r="F37" s="537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536" t="s">
        <v>204</v>
      </c>
      <c r="C38" s="537"/>
      <c r="D38" s="537"/>
      <c r="E38" s="537"/>
      <c r="F38" s="537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536" t="s">
        <v>212</v>
      </c>
      <c r="C39" s="537"/>
      <c r="D39" s="537"/>
      <c r="E39" s="537"/>
      <c r="F39" s="537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32" t="s">
        <v>230</v>
      </c>
      <c r="C40" s="533"/>
      <c r="D40" s="533"/>
      <c r="E40" s="533"/>
      <c r="F40" s="533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536" t="s">
        <v>232</v>
      </c>
      <c r="C41" s="537"/>
      <c r="D41" s="537"/>
      <c r="E41" s="537"/>
      <c r="F41" s="537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536" t="s">
        <v>248</v>
      </c>
      <c r="C42" s="537"/>
      <c r="D42" s="537"/>
      <c r="E42" s="537"/>
      <c r="F42" s="537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536" t="s">
        <v>259</v>
      </c>
      <c r="C43" s="537"/>
      <c r="D43" s="537"/>
      <c r="E43" s="537"/>
      <c r="F43" s="537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536" t="s">
        <v>274</v>
      </c>
      <c r="C44" s="537"/>
      <c r="D44" s="537"/>
      <c r="E44" s="537"/>
      <c r="F44" s="537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536" t="s">
        <v>278</v>
      </c>
      <c r="C45" s="537"/>
      <c r="D45" s="537"/>
      <c r="E45" s="537"/>
      <c r="F45" s="537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34" t="s">
        <v>286</v>
      </c>
      <c r="C46" s="535"/>
      <c r="D46" s="535"/>
      <c r="E46" s="535"/>
      <c r="F46" s="535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34" t="s">
        <v>320</v>
      </c>
      <c r="C47" s="535"/>
      <c r="D47" s="535"/>
      <c r="E47" s="535"/>
      <c r="F47" s="535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603" t="s">
        <v>113</v>
      </c>
      <c r="C48" s="604"/>
      <c r="D48" s="604"/>
      <c r="E48" s="604"/>
      <c r="F48" s="604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95" t="s">
        <v>366</v>
      </c>
      <c r="C49" s="596"/>
      <c r="D49" s="596"/>
      <c r="E49" s="596"/>
      <c r="F49" s="596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4.4" thickBot="1">
      <c r="A50" s="150">
        <v>462</v>
      </c>
      <c r="B50" s="522" t="s">
        <v>359</v>
      </c>
      <c r="C50" s="523"/>
      <c r="D50" s="523"/>
      <c r="E50" s="523"/>
      <c r="F50" s="523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4.4" thickBot="1">
      <c r="A51" s="144">
        <v>4630</v>
      </c>
      <c r="B51" s="597" t="s">
        <v>795</v>
      </c>
      <c r="C51" s="598"/>
      <c r="D51" s="598"/>
      <c r="E51" s="598"/>
      <c r="F51" s="598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4.4" thickBot="1">
      <c r="A52" s="70">
        <v>1005</v>
      </c>
      <c r="B52" s="599" t="s">
        <v>685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4.4" thickBot="1">
      <c r="A53" s="144">
        <v>1000</v>
      </c>
      <c r="B53" s="528" t="s">
        <v>545</v>
      </c>
      <c r="C53" s="529"/>
      <c r="D53" s="529"/>
      <c r="E53" s="529"/>
      <c r="F53" s="529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4.4" thickBot="1">
      <c r="A54" s="144">
        <v>1001</v>
      </c>
      <c r="B54" s="530" t="s">
        <v>793</v>
      </c>
      <c r="C54" s="531"/>
      <c r="D54" s="531"/>
      <c r="E54" s="531"/>
      <c r="F54" s="531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52" t="s">
        <v>352</v>
      </c>
      <c r="C55" s="553"/>
      <c r="D55" s="553"/>
      <c r="E55" s="553"/>
      <c r="F55" s="553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20" t="s">
        <v>355</v>
      </c>
      <c r="C56" s="521"/>
      <c r="D56" s="521"/>
      <c r="E56" s="521"/>
      <c r="F56" s="521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>
      <c r="A57" s="144">
        <v>4612</v>
      </c>
      <c r="B57" s="504" t="s">
        <v>357</v>
      </c>
      <c r="C57" s="505"/>
      <c r="D57" s="505"/>
      <c r="E57" s="505"/>
      <c r="F57" s="505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4.4" thickBot="1">
      <c r="A58" s="144">
        <v>4418</v>
      </c>
      <c r="B58" s="608" t="s">
        <v>336</v>
      </c>
      <c r="C58" s="609"/>
      <c r="D58" s="609"/>
      <c r="E58" s="609"/>
      <c r="F58" s="609"/>
      <c r="G58" s="498">
        <f>DataEx!FF167</f>
        <v>0</v>
      </c>
      <c r="H58" s="498">
        <f>DataEx!FG167</f>
        <v>35272.089999999997</v>
      </c>
      <c r="I58" s="498">
        <f>DataEx!FH167</f>
        <v>0</v>
      </c>
      <c r="J58" s="498">
        <f>DataEx!FI167</f>
        <v>39948396.369999997</v>
      </c>
      <c r="K58" s="498">
        <f>DataEx!FJ167</f>
        <v>0</v>
      </c>
      <c r="L58" s="498">
        <f>DataEx!FK167</f>
        <v>0</v>
      </c>
      <c r="M58" s="498">
        <f>DataEx!FL167</f>
        <v>0</v>
      </c>
      <c r="N58" s="498">
        <f>DataEx!FM167</f>
        <v>0</v>
      </c>
      <c r="O58" s="498">
        <f>DataEx!FN167</f>
        <v>0</v>
      </c>
      <c r="P58" s="498">
        <f>DataEx!FO167</f>
        <v>0</v>
      </c>
      <c r="Q58" s="498">
        <f>DataEx!FP167</f>
        <v>14495201.140000001</v>
      </c>
      <c r="R58" s="498">
        <f>DataEx!FQ167</f>
        <v>2849828.78</v>
      </c>
      <c r="S58" s="499">
        <f>SUM(G58:R58)</f>
        <v>57328698.380000003</v>
      </c>
      <c r="T58" s="500">
        <f>+S58/$T$7</f>
        <v>1.1579215992728742E-2</v>
      </c>
      <c r="V58" s="319"/>
    </row>
    <row r="59" spans="1:22" ht="14.4" thickBot="1">
      <c r="A59" s="144">
        <v>1002</v>
      </c>
      <c r="B59" s="524" t="s">
        <v>543</v>
      </c>
      <c r="C59" s="525"/>
      <c r="D59" s="525"/>
      <c r="E59" s="525"/>
      <c r="F59" s="525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4.4" thickBot="1">
      <c r="A60" s="144">
        <v>1003</v>
      </c>
      <c r="B60" s="526" t="s">
        <v>544</v>
      </c>
      <c r="C60" s="527"/>
      <c r="D60" s="527"/>
      <c r="E60" s="527"/>
      <c r="F60" s="527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20" t="s">
        <v>114</v>
      </c>
      <c r="C61" s="521"/>
      <c r="D61" s="521"/>
      <c r="E61" s="521"/>
      <c r="F61" s="521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504" t="s">
        <v>116</v>
      </c>
      <c r="C62" s="505"/>
      <c r="D62" s="505"/>
      <c r="E62" s="505"/>
      <c r="F62" s="505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504" t="s">
        <v>93</v>
      </c>
      <c r="C63" s="505"/>
      <c r="D63" s="505"/>
      <c r="E63" s="505"/>
      <c r="F63" s="505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4.4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4.4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84" t="s">
        <v>552</v>
      </c>
      <c r="C100" s="585"/>
      <c r="D100" s="585"/>
      <c r="E100" s="585"/>
      <c r="F100" s="585"/>
      <c r="G100" s="592">
        <v>2019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f>+T7</f>
        <v>4951000000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">
        <v>809</v>
      </c>
      <c r="T101" s="594">
        <f>+T8</f>
        <v>0</v>
      </c>
    </row>
    <row r="102" spans="1:21" ht="14.4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4.4" thickBot="1">
      <c r="A103" s="116" t="str">
        <f t="shared" ref="A103:A123" si="16">+CONCATENATE(A10,"p")</f>
        <v>7p</v>
      </c>
      <c r="B103" s="580" t="s">
        <v>681</v>
      </c>
      <c r="C103" s="581"/>
      <c r="D103" s="581"/>
      <c r="E103" s="581"/>
      <c r="F103" s="581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82" t="s">
        <v>21</v>
      </c>
      <c r="C104" s="583"/>
      <c r="D104" s="583"/>
      <c r="E104" s="583"/>
      <c r="F104" s="583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0" t="s">
        <v>23</v>
      </c>
      <c r="C105" s="571"/>
      <c r="D105" s="571"/>
      <c r="E105" s="571"/>
      <c r="F105" s="571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70" t="s">
        <v>25</v>
      </c>
      <c r="C106" s="571"/>
      <c r="D106" s="571"/>
      <c r="E106" s="571"/>
      <c r="F106" s="571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70" t="s">
        <v>27</v>
      </c>
      <c r="C107" s="571"/>
      <c r="D107" s="571"/>
      <c r="E107" s="571"/>
      <c r="F107" s="571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70" t="s">
        <v>29</v>
      </c>
      <c r="C108" s="571"/>
      <c r="D108" s="571"/>
      <c r="E108" s="571"/>
      <c r="F108" s="571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70" t="s">
        <v>31</v>
      </c>
      <c r="C109" s="571"/>
      <c r="D109" s="571"/>
      <c r="E109" s="571"/>
      <c r="F109" s="571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70" t="s">
        <v>33</v>
      </c>
      <c r="C110" s="571"/>
      <c r="D110" s="571"/>
      <c r="E110" s="571"/>
      <c r="F110" s="571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70" t="s">
        <v>722</v>
      </c>
      <c r="C111" s="571"/>
      <c r="D111" s="571"/>
      <c r="E111" s="571"/>
      <c r="F111" s="571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78" t="s">
        <v>37</v>
      </c>
      <c r="C112" s="579"/>
      <c r="D112" s="579"/>
      <c r="E112" s="579"/>
      <c r="F112" s="579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70" t="s">
        <v>39</v>
      </c>
      <c r="C113" s="571"/>
      <c r="D113" s="571"/>
      <c r="E113" s="571"/>
      <c r="F113" s="571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70" t="s">
        <v>41</v>
      </c>
      <c r="C114" s="571"/>
      <c r="D114" s="571"/>
      <c r="E114" s="571"/>
      <c r="F114" s="571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70" t="s">
        <v>43</v>
      </c>
      <c r="C115" s="571"/>
      <c r="D115" s="571"/>
      <c r="E115" s="571"/>
      <c r="F115" s="571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70" t="s">
        <v>45</v>
      </c>
      <c r="C116" s="571"/>
      <c r="D116" s="571"/>
      <c r="E116" s="571"/>
      <c r="F116" s="571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76" t="s">
        <v>47</v>
      </c>
      <c r="C117" s="577"/>
      <c r="D117" s="577"/>
      <c r="E117" s="577"/>
      <c r="F117" s="577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76" t="s">
        <v>61</v>
      </c>
      <c r="C118" s="577"/>
      <c r="D118" s="577"/>
      <c r="E118" s="577"/>
      <c r="F118" s="577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76" t="s">
        <v>81</v>
      </c>
      <c r="C119" s="577"/>
      <c r="D119" s="577"/>
      <c r="E119" s="577"/>
      <c r="F119" s="577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76" t="s">
        <v>99</v>
      </c>
      <c r="C120" s="577"/>
      <c r="D120" s="577"/>
      <c r="E120" s="577"/>
      <c r="F120" s="577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4.4" thickBot="1">
      <c r="A121" s="116" t="str">
        <f t="shared" si="16"/>
        <v>74p</v>
      </c>
      <c r="B121" s="572" t="s">
        <v>105</v>
      </c>
      <c r="C121" s="573"/>
      <c r="D121" s="573"/>
      <c r="E121" s="573"/>
      <c r="F121" s="573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4.4" thickBot="1">
      <c r="A122" s="116" t="str">
        <f t="shared" si="16"/>
        <v>4p</v>
      </c>
      <c r="B122" s="554" t="s">
        <v>811</v>
      </c>
      <c r="C122" s="555"/>
      <c r="D122" s="555"/>
      <c r="E122" s="555"/>
      <c r="F122" s="555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4.4" thickBot="1">
      <c r="A123" s="116" t="str">
        <f t="shared" si="16"/>
        <v>40p</v>
      </c>
      <c r="B123" s="612" t="s">
        <v>774</v>
      </c>
      <c r="C123" s="613"/>
      <c r="D123" s="613"/>
      <c r="E123" s="613"/>
      <c r="F123" s="613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74" t="e">
        <v>#REF!</v>
      </c>
      <c r="C124" s="575"/>
      <c r="D124" s="575"/>
      <c r="E124" s="575"/>
      <c r="F124" s="575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0" t="s">
        <v>122</v>
      </c>
      <c r="C125" s="571"/>
      <c r="D125" s="571"/>
      <c r="E125" s="571"/>
      <c r="F125" s="571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70" t="s">
        <v>133</v>
      </c>
      <c r="C126" s="571"/>
      <c r="D126" s="571"/>
      <c r="E126" s="571"/>
      <c r="F126" s="571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70" t="s">
        <v>148</v>
      </c>
      <c r="C127" s="571"/>
      <c r="D127" s="571"/>
      <c r="E127" s="571"/>
      <c r="F127" s="571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70" t="s">
        <v>162</v>
      </c>
      <c r="C128" s="571"/>
      <c r="D128" s="571"/>
      <c r="E128" s="571"/>
      <c r="F128" s="571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70" t="s">
        <v>182</v>
      </c>
      <c r="C129" s="571"/>
      <c r="D129" s="571"/>
      <c r="E129" s="571"/>
      <c r="F129" s="571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70" t="s">
        <v>190</v>
      </c>
      <c r="C130" s="571"/>
      <c r="D130" s="571"/>
      <c r="E130" s="571"/>
      <c r="F130" s="571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70" t="s">
        <v>196</v>
      </c>
      <c r="C131" s="571"/>
      <c r="D131" s="571"/>
      <c r="E131" s="571"/>
      <c r="F131" s="571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70" t="s">
        <v>204</v>
      </c>
      <c r="C132" s="571"/>
      <c r="D132" s="571"/>
      <c r="E132" s="571"/>
      <c r="F132" s="571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70" t="s">
        <v>212</v>
      </c>
      <c r="C133" s="571"/>
      <c r="D133" s="571"/>
      <c r="E133" s="571"/>
      <c r="F133" s="571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70" t="e">
        <v>#REF!</v>
      </c>
      <c r="C134" s="571"/>
      <c r="D134" s="571"/>
      <c r="E134" s="571"/>
      <c r="F134" s="571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66" t="s">
        <v>230</v>
      </c>
      <c r="C135" s="567"/>
      <c r="D135" s="567"/>
      <c r="E135" s="567"/>
      <c r="F135" s="567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70" t="s">
        <v>232</v>
      </c>
      <c r="C136" s="571"/>
      <c r="D136" s="571"/>
      <c r="E136" s="571"/>
      <c r="F136" s="571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70" t="s">
        <v>248</v>
      </c>
      <c r="C137" s="571"/>
      <c r="D137" s="571"/>
      <c r="E137" s="571"/>
      <c r="F137" s="571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70" t="s">
        <v>259</v>
      </c>
      <c r="C138" s="571"/>
      <c r="D138" s="571"/>
      <c r="E138" s="571"/>
      <c r="F138" s="571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70" t="s">
        <v>274</v>
      </c>
      <c r="C139" s="571"/>
      <c r="D139" s="571"/>
      <c r="E139" s="571"/>
      <c r="F139" s="571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70" t="s">
        <v>278</v>
      </c>
      <c r="C140" s="571"/>
      <c r="D140" s="571"/>
      <c r="E140" s="571"/>
      <c r="F140" s="571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68" t="s">
        <v>286</v>
      </c>
      <c r="C141" s="569"/>
      <c r="D141" s="569"/>
      <c r="E141" s="569"/>
      <c r="F141" s="569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68" t="s">
        <v>812</v>
      </c>
      <c r="C142" s="569"/>
      <c r="D142" s="569"/>
      <c r="E142" s="569"/>
      <c r="F142" s="569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60" t="s">
        <v>113</v>
      </c>
      <c r="C143" s="561"/>
      <c r="D143" s="561"/>
      <c r="E143" s="561"/>
      <c r="F143" s="561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60" t="s">
        <v>366</v>
      </c>
      <c r="C144" s="561"/>
      <c r="D144" s="561"/>
      <c r="E144" s="561"/>
      <c r="F144" s="561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60" t="s">
        <v>359</v>
      </c>
      <c r="C145" s="561"/>
      <c r="D145" s="561"/>
      <c r="E145" s="561"/>
      <c r="F145" s="561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60" t="s">
        <v>365</v>
      </c>
      <c r="C146" s="561"/>
      <c r="D146" s="561"/>
      <c r="E146" s="561"/>
      <c r="F146" s="561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4.4" thickBot="1">
      <c r="A147" s="116"/>
      <c r="B147" s="610" t="s">
        <v>686</v>
      </c>
      <c r="C147" s="611"/>
      <c r="D147" s="611"/>
      <c r="E147" s="611"/>
      <c r="F147" s="611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4.4" thickBot="1">
      <c r="A148" s="117" t="str">
        <f>+CONCATENATE(A53,"p")</f>
        <v>1000p</v>
      </c>
      <c r="B148" s="562" t="s">
        <v>545</v>
      </c>
      <c r="C148" s="563"/>
      <c r="D148" s="563"/>
      <c r="E148" s="563"/>
      <c r="F148" s="563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4.4" thickBot="1">
      <c r="A149" s="117" t="str">
        <f>+CONCATENATE(A54,"p")</f>
        <v>1001p</v>
      </c>
      <c r="B149" s="564" t="s">
        <v>813</v>
      </c>
      <c r="C149" s="565"/>
      <c r="D149" s="565"/>
      <c r="E149" s="565"/>
      <c r="F149" s="565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66" t="s">
        <v>352</v>
      </c>
      <c r="C150" s="567"/>
      <c r="D150" s="567"/>
      <c r="E150" s="567"/>
      <c r="F150" s="567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558" t="s">
        <v>355</v>
      </c>
      <c r="C151" s="559"/>
      <c r="D151" s="559"/>
      <c r="E151" s="559"/>
      <c r="F151" s="559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>
      <c r="A152" s="117" t="str">
        <f>+CONCATENATE(A57,"p")</f>
        <v>4612p</v>
      </c>
      <c r="B152" s="560" t="s">
        <v>357</v>
      </c>
      <c r="C152" s="561"/>
      <c r="D152" s="561"/>
      <c r="E152" s="561"/>
      <c r="F152" s="561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4.4" thickBot="1">
      <c r="A153" s="117"/>
      <c r="B153" s="608" t="s">
        <v>336</v>
      </c>
      <c r="C153" s="609"/>
      <c r="D153" s="609"/>
      <c r="E153" s="609"/>
      <c r="F153" s="609"/>
      <c r="G153" s="495">
        <v>26666.67</v>
      </c>
      <c r="H153" s="495">
        <v>26666.67</v>
      </c>
      <c r="I153" s="495">
        <v>26666.67</v>
      </c>
      <c r="J153" s="495">
        <v>39926666.670000002</v>
      </c>
      <c r="K153" s="495">
        <v>26666.67</v>
      </c>
      <c r="L153" s="495">
        <v>26666.67</v>
      </c>
      <c r="M153" s="495">
        <v>26666.67</v>
      </c>
      <c r="N153" s="495">
        <v>26666.67</v>
      </c>
      <c r="O153" s="495">
        <v>26666.67</v>
      </c>
      <c r="P153" s="495">
        <v>26666.67</v>
      </c>
      <c r="Q153" s="495">
        <v>26666.67</v>
      </c>
      <c r="R153" s="495">
        <v>26666.63</v>
      </c>
      <c r="S153" s="496">
        <f t="shared" si="19"/>
        <v>40220000.000000015</v>
      </c>
      <c r="T153" s="497">
        <f t="shared" si="20"/>
        <v>8.1236113916380564E-3</v>
      </c>
    </row>
    <row r="154" spans="1:20" ht="14.4" thickBot="1">
      <c r="A154" s="117" t="str">
        <f t="shared" ref="A154:A159" si="32">+CONCATENATE(A59,"p")</f>
        <v>1002p</v>
      </c>
      <c r="B154" s="556" t="s">
        <v>543</v>
      </c>
      <c r="C154" s="557"/>
      <c r="D154" s="557"/>
      <c r="E154" s="557"/>
      <c r="F154" s="557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4.4" thickBot="1">
      <c r="A155" s="117" t="str">
        <f t="shared" si="32"/>
        <v>1003p</v>
      </c>
      <c r="B155" s="554" t="s">
        <v>544</v>
      </c>
      <c r="C155" s="555"/>
      <c r="D155" s="555"/>
      <c r="E155" s="555"/>
      <c r="F155" s="555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558" t="s">
        <v>114</v>
      </c>
      <c r="C156" s="559"/>
      <c r="D156" s="559"/>
      <c r="E156" s="559"/>
      <c r="F156" s="559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60" t="s">
        <v>116</v>
      </c>
      <c r="C157" s="561"/>
      <c r="D157" s="561"/>
      <c r="E157" s="561"/>
      <c r="F157" s="561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60" t="s">
        <v>93</v>
      </c>
      <c r="C158" s="561"/>
      <c r="D158" s="561"/>
      <c r="E158" s="561"/>
      <c r="F158" s="561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4.4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2</xdr:col>
                    <xdr:colOff>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144780</xdr:colOff>
                    <xdr:row>0</xdr:row>
                    <xdr:rowOff>30480</xdr:rowOff>
                  </from>
                  <to>
                    <xdr:col>2</xdr:col>
                    <xdr:colOff>480060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62"/>
  <sheetViews>
    <sheetView zoomScaleNormal="100" workbookViewId="0">
      <pane ySplit="1" topLeftCell="A44" activePane="bottomLeft" state="frozen"/>
      <selection pane="bottomLeft" activeCell="P55" sqref="P55"/>
    </sheetView>
  </sheetViews>
  <sheetFormatPr defaultColWidth="9.109375" defaultRowHeight="13.8"/>
  <cols>
    <col min="1" max="1" width="5.44140625" style="70" customWidth="1"/>
    <col min="2" max="4" width="9.109375" style="258"/>
    <col min="5" max="5" width="4.6640625" style="258" customWidth="1"/>
    <col min="6" max="6" width="1.88671875" style="258" customWidth="1"/>
    <col min="7" max="9" width="10.6640625" style="258" customWidth="1"/>
    <col min="10" max="10" width="14.44140625" style="258" customWidth="1"/>
    <col min="11" max="18" width="10.6640625" style="258" customWidth="1"/>
    <col min="19" max="19" width="13.33203125" style="258" customWidth="1"/>
    <col min="20" max="20" width="10.6640625" style="258" customWidth="1"/>
    <col min="21" max="21" width="11.44140625" style="258" customWidth="1"/>
    <col min="22" max="22" width="11" style="258" bestFit="1" customWidth="1"/>
    <col min="23" max="16384" width="9.109375" style="258"/>
  </cols>
  <sheetData>
    <row r="1" spans="1:20" s="1" customFormat="1" ht="3" customHeight="1">
      <c r="A1" s="69"/>
    </row>
    <row r="2" spans="1:20" s="1" customFormat="1" ht="14.4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4.4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4.4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4.4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2018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4663130000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4.4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4.4" thickBot="1">
      <c r="A10" s="150">
        <v>7</v>
      </c>
      <c r="B10" s="548" t="s">
        <v>681</v>
      </c>
      <c r="C10" s="549"/>
      <c r="D10" s="549"/>
      <c r="E10" s="549"/>
      <c r="F10" s="549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4.4" thickBot="1">
      <c r="A28" s="150">
        <v>74</v>
      </c>
      <c r="B28" s="540" t="s">
        <v>105</v>
      </c>
      <c r="C28" s="541"/>
      <c r="D28" s="541"/>
      <c r="E28" s="541"/>
      <c r="F28" s="541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4.4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4.4" thickBot="1">
      <c r="A30" s="150">
        <v>40</v>
      </c>
      <c r="B30" s="542" t="s">
        <v>774</v>
      </c>
      <c r="C30" s="543"/>
      <c r="D30" s="543"/>
      <c r="E30" s="543"/>
      <c r="F30" s="543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44" t="s">
        <v>120</v>
      </c>
      <c r="C31" s="545"/>
      <c r="D31" s="545"/>
      <c r="E31" s="545"/>
      <c r="F31" s="545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536" t="s">
        <v>122</v>
      </c>
      <c r="C32" s="537"/>
      <c r="D32" s="537"/>
      <c r="E32" s="537"/>
      <c r="F32" s="537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536" t="s">
        <v>133</v>
      </c>
      <c r="C33" s="537"/>
      <c r="D33" s="537"/>
      <c r="E33" s="537"/>
      <c r="F33" s="537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536" t="s">
        <v>148</v>
      </c>
      <c r="C34" s="537"/>
      <c r="D34" s="537"/>
      <c r="E34" s="537"/>
      <c r="F34" s="537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536" t="s">
        <v>162</v>
      </c>
      <c r="C35" s="537"/>
      <c r="D35" s="537"/>
      <c r="E35" s="537"/>
      <c r="F35" s="537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536" t="s">
        <v>182</v>
      </c>
      <c r="C36" s="537"/>
      <c r="D36" s="537"/>
      <c r="E36" s="537"/>
      <c r="F36" s="537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536" t="s">
        <v>190</v>
      </c>
      <c r="C37" s="537"/>
      <c r="D37" s="537"/>
      <c r="E37" s="537"/>
      <c r="F37" s="537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536" t="s">
        <v>196</v>
      </c>
      <c r="C38" s="537"/>
      <c r="D38" s="537"/>
      <c r="E38" s="537"/>
      <c r="F38" s="537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536" t="s">
        <v>204</v>
      </c>
      <c r="C39" s="537"/>
      <c r="D39" s="537"/>
      <c r="E39" s="537"/>
      <c r="F39" s="537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536" t="s">
        <v>212</v>
      </c>
      <c r="C40" s="537"/>
      <c r="D40" s="537"/>
      <c r="E40" s="537"/>
      <c r="F40" s="537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536" t="s">
        <v>803</v>
      </c>
      <c r="C41" s="537"/>
      <c r="D41" s="537"/>
      <c r="E41" s="537"/>
      <c r="F41" s="537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32" t="s">
        <v>230</v>
      </c>
      <c r="C42" s="533"/>
      <c r="D42" s="533"/>
      <c r="E42" s="533"/>
      <c r="F42" s="533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536" t="s">
        <v>232</v>
      </c>
      <c r="C43" s="537"/>
      <c r="D43" s="537"/>
      <c r="E43" s="537"/>
      <c r="F43" s="537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536" t="s">
        <v>248</v>
      </c>
      <c r="C44" s="537"/>
      <c r="D44" s="537"/>
      <c r="E44" s="537"/>
      <c r="F44" s="537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536" t="s">
        <v>259</v>
      </c>
      <c r="C45" s="537"/>
      <c r="D45" s="537"/>
      <c r="E45" s="537"/>
      <c r="F45" s="537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536" t="s">
        <v>274</v>
      </c>
      <c r="C46" s="537"/>
      <c r="D46" s="537"/>
      <c r="E46" s="537"/>
      <c r="F46" s="537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616" t="s">
        <v>278</v>
      </c>
      <c r="C47" s="617"/>
      <c r="D47" s="617"/>
      <c r="E47" s="617"/>
      <c r="F47" s="617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34" t="s">
        <v>286</v>
      </c>
      <c r="C48" s="535"/>
      <c r="D48" s="535"/>
      <c r="E48" s="535"/>
      <c r="F48" s="535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34" t="s">
        <v>320</v>
      </c>
      <c r="C49" s="535"/>
      <c r="D49" s="535"/>
      <c r="E49" s="535"/>
      <c r="F49" s="535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603" t="s">
        <v>113</v>
      </c>
      <c r="C50" s="604"/>
      <c r="D50" s="604"/>
      <c r="E50" s="604"/>
      <c r="F50" s="604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504" t="s">
        <v>366</v>
      </c>
      <c r="C51" s="505"/>
      <c r="D51" s="505"/>
      <c r="E51" s="505"/>
      <c r="F51" s="505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4.4" thickBot="1">
      <c r="A52" s="150">
        <v>462</v>
      </c>
      <c r="B52" s="522" t="s">
        <v>359</v>
      </c>
      <c r="C52" s="523"/>
      <c r="D52" s="523"/>
      <c r="E52" s="523"/>
      <c r="F52" s="523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4.4" thickBot="1">
      <c r="A53" s="144">
        <v>4630</v>
      </c>
      <c r="B53" s="597" t="s">
        <v>795</v>
      </c>
      <c r="C53" s="598"/>
      <c r="D53" s="598"/>
      <c r="E53" s="598"/>
      <c r="F53" s="598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4.4" thickBot="1">
      <c r="A54" s="70">
        <v>1005</v>
      </c>
      <c r="B54" s="599" t="s">
        <v>685</v>
      </c>
      <c r="C54" s="600"/>
      <c r="D54" s="600"/>
      <c r="E54" s="600"/>
      <c r="F54" s="600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4.4" thickBot="1">
      <c r="A55" s="144">
        <v>1000</v>
      </c>
      <c r="B55" s="528" t="s">
        <v>545</v>
      </c>
      <c r="C55" s="529"/>
      <c r="D55" s="529"/>
      <c r="E55" s="529"/>
      <c r="F55" s="529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4.4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4.4" thickBot="1">
      <c r="A57" s="144">
        <v>1001</v>
      </c>
      <c r="B57" s="530" t="s">
        <v>794</v>
      </c>
      <c r="C57" s="531"/>
      <c r="D57" s="531"/>
      <c r="E57" s="531"/>
      <c r="F57" s="531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52" t="s">
        <v>352</v>
      </c>
      <c r="C58" s="553"/>
      <c r="D58" s="553"/>
      <c r="E58" s="553"/>
      <c r="F58" s="553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20" t="s">
        <v>355</v>
      </c>
      <c r="C59" s="521"/>
      <c r="D59" s="521"/>
      <c r="E59" s="521"/>
      <c r="F59" s="521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4.4" thickBot="1">
      <c r="A60" s="144">
        <v>4612</v>
      </c>
      <c r="B60" s="504" t="s">
        <v>357</v>
      </c>
      <c r="C60" s="505"/>
      <c r="D60" s="505"/>
      <c r="E60" s="505"/>
      <c r="F60" s="505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4.4" thickBot="1">
      <c r="A61" s="144">
        <v>4418</v>
      </c>
      <c r="B61" s="614" t="s">
        <v>336</v>
      </c>
      <c r="C61" s="615"/>
      <c r="D61" s="615"/>
      <c r="E61" s="615"/>
      <c r="F61" s="615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4.4" thickBot="1">
      <c r="A62" s="144">
        <v>1002</v>
      </c>
      <c r="B62" s="524" t="s">
        <v>543</v>
      </c>
      <c r="C62" s="525"/>
      <c r="D62" s="525"/>
      <c r="E62" s="525"/>
      <c r="F62" s="525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4.4" thickBot="1">
      <c r="A63" s="144">
        <v>1003</v>
      </c>
      <c r="B63" s="526" t="s">
        <v>544</v>
      </c>
      <c r="C63" s="527"/>
      <c r="D63" s="527"/>
      <c r="E63" s="527"/>
      <c r="F63" s="527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20" t="s">
        <v>114</v>
      </c>
      <c r="C64" s="521"/>
      <c r="D64" s="521"/>
      <c r="E64" s="521"/>
      <c r="F64" s="521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504" t="s">
        <v>116</v>
      </c>
      <c r="C65" s="505"/>
      <c r="D65" s="505"/>
      <c r="E65" s="505"/>
      <c r="F65" s="505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504" t="s">
        <v>93</v>
      </c>
      <c r="C66" s="505"/>
      <c r="D66" s="505"/>
      <c r="E66" s="505"/>
      <c r="F66" s="505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4.4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4.4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84" t="s">
        <v>552</v>
      </c>
      <c r="C103" s="585"/>
      <c r="D103" s="585"/>
      <c r="E103" s="585"/>
      <c r="F103" s="585"/>
      <c r="G103" s="592">
        <v>2018</v>
      </c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4"/>
      <c r="S103" s="107" t="str">
        <f>+S7</f>
        <v>BDP</v>
      </c>
      <c r="T103" s="108">
        <f>+T7</f>
        <v>4663130000</v>
      </c>
    </row>
    <row r="104" spans="1:21" ht="15.75" customHeight="1">
      <c r="B104" s="586"/>
      <c r="C104" s="587"/>
      <c r="D104" s="587"/>
      <c r="E104" s="587"/>
      <c r="F104" s="588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92" t="s">
        <v>809</v>
      </c>
      <c r="T104" s="594">
        <f>+T8</f>
        <v>0</v>
      </c>
    </row>
    <row r="105" spans="1:21" ht="14.4" thickBot="1">
      <c r="B105" s="589"/>
      <c r="C105" s="590"/>
      <c r="D105" s="590"/>
      <c r="E105" s="590"/>
      <c r="F105" s="591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4.4" thickBot="1">
      <c r="A106" s="116" t="str">
        <f t="shared" ref="A106:A148" si="18">+CONCATENATE(A10,"p")</f>
        <v>7p</v>
      </c>
      <c r="B106" s="580" t="s">
        <v>681</v>
      </c>
      <c r="C106" s="581"/>
      <c r="D106" s="581"/>
      <c r="E106" s="581"/>
      <c r="F106" s="581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82" t="s">
        <v>21</v>
      </c>
      <c r="C107" s="583"/>
      <c r="D107" s="583"/>
      <c r="E107" s="583"/>
      <c r="F107" s="583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0" t="s">
        <v>23</v>
      </c>
      <c r="C108" s="571"/>
      <c r="D108" s="571"/>
      <c r="E108" s="571"/>
      <c r="F108" s="571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70" t="s">
        <v>25</v>
      </c>
      <c r="C109" s="571"/>
      <c r="D109" s="571"/>
      <c r="E109" s="571"/>
      <c r="F109" s="571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70" t="s">
        <v>27</v>
      </c>
      <c r="C110" s="571"/>
      <c r="D110" s="571"/>
      <c r="E110" s="571"/>
      <c r="F110" s="571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70" t="s">
        <v>29</v>
      </c>
      <c r="C111" s="571"/>
      <c r="D111" s="571"/>
      <c r="E111" s="571"/>
      <c r="F111" s="571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70" t="s">
        <v>31</v>
      </c>
      <c r="C112" s="571"/>
      <c r="D112" s="571"/>
      <c r="E112" s="571"/>
      <c r="F112" s="571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70" t="s">
        <v>33</v>
      </c>
      <c r="C113" s="571"/>
      <c r="D113" s="571"/>
      <c r="E113" s="571"/>
      <c r="F113" s="571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70" t="s">
        <v>722</v>
      </c>
      <c r="C114" s="571"/>
      <c r="D114" s="571"/>
      <c r="E114" s="571"/>
      <c r="F114" s="571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78" t="s">
        <v>37</v>
      </c>
      <c r="C115" s="579"/>
      <c r="D115" s="579"/>
      <c r="E115" s="579"/>
      <c r="F115" s="579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70" t="s">
        <v>39</v>
      </c>
      <c r="C116" s="571"/>
      <c r="D116" s="571"/>
      <c r="E116" s="571"/>
      <c r="F116" s="571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70" t="s">
        <v>41</v>
      </c>
      <c r="C117" s="571"/>
      <c r="D117" s="571"/>
      <c r="E117" s="571"/>
      <c r="F117" s="571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70" t="s">
        <v>43</v>
      </c>
      <c r="C118" s="571"/>
      <c r="D118" s="571"/>
      <c r="E118" s="571"/>
      <c r="F118" s="571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70" t="s">
        <v>45</v>
      </c>
      <c r="C119" s="571"/>
      <c r="D119" s="571"/>
      <c r="E119" s="571"/>
      <c r="F119" s="571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76" t="s">
        <v>47</v>
      </c>
      <c r="C120" s="577"/>
      <c r="D120" s="577"/>
      <c r="E120" s="577"/>
      <c r="F120" s="577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76" t="s">
        <v>61</v>
      </c>
      <c r="C121" s="577"/>
      <c r="D121" s="577"/>
      <c r="E121" s="577"/>
      <c r="F121" s="577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76" t="s">
        <v>81</v>
      </c>
      <c r="C122" s="577"/>
      <c r="D122" s="577"/>
      <c r="E122" s="577"/>
      <c r="F122" s="577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76" t="s">
        <v>99</v>
      </c>
      <c r="C123" s="577"/>
      <c r="D123" s="577"/>
      <c r="E123" s="577"/>
      <c r="F123" s="577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4.4" thickBot="1">
      <c r="A124" s="116" t="str">
        <f t="shared" si="18"/>
        <v>74p</v>
      </c>
      <c r="B124" s="572" t="s">
        <v>105</v>
      </c>
      <c r="C124" s="573"/>
      <c r="D124" s="573"/>
      <c r="E124" s="573"/>
      <c r="F124" s="573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4.4" thickBot="1">
      <c r="A125" s="116" t="str">
        <f t="shared" si="18"/>
        <v>4p</v>
      </c>
      <c r="B125" s="554" t="s">
        <v>811</v>
      </c>
      <c r="C125" s="555"/>
      <c r="D125" s="555"/>
      <c r="E125" s="555"/>
      <c r="F125" s="555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4.4" thickBot="1">
      <c r="A126" s="116" t="str">
        <f t="shared" si="18"/>
        <v>40p</v>
      </c>
      <c r="B126" s="612" t="s">
        <v>774</v>
      </c>
      <c r="C126" s="613"/>
      <c r="D126" s="613"/>
      <c r="E126" s="613"/>
      <c r="F126" s="613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74" t="s">
        <v>120</v>
      </c>
      <c r="C127" s="575"/>
      <c r="D127" s="575"/>
      <c r="E127" s="575"/>
      <c r="F127" s="575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70" t="s">
        <v>122</v>
      </c>
      <c r="C128" s="571"/>
      <c r="D128" s="571"/>
      <c r="E128" s="571"/>
      <c r="F128" s="571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70" t="s">
        <v>133</v>
      </c>
      <c r="C129" s="571"/>
      <c r="D129" s="571"/>
      <c r="E129" s="571"/>
      <c r="F129" s="571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70" t="s">
        <v>148</v>
      </c>
      <c r="C130" s="571"/>
      <c r="D130" s="571"/>
      <c r="E130" s="571"/>
      <c r="F130" s="571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70" t="s">
        <v>162</v>
      </c>
      <c r="C131" s="571"/>
      <c r="D131" s="571"/>
      <c r="E131" s="571"/>
      <c r="F131" s="571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70" t="s">
        <v>182</v>
      </c>
      <c r="C132" s="571"/>
      <c r="D132" s="571"/>
      <c r="E132" s="571"/>
      <c r="F132" s="571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70" t="s">
        <v>190</v>
      </c>
      <c r="C133" s="571"/>
      <c r="D133" s="571"/>
      <c r="E133" s="571"/>
      <c r="F133" s="571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70" t="s">
        <v>196</v>
      </c>
      <c r="C134" s="571"/>
      <c r="D134" s="571"/>
      <c r="E134" s="571"/>
      <c r="F134" s="571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70" t="s">
        <v>204</v>
      </c>
      <c r="C135" s="571"/>
      <c r="D135" s="571"/>
      <c r="E135" s="571"/>
      <c r="F135" s="571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70" t="s">
        <v>212</v>
      </c>
      <c r="C136" s="571"/>
      <c r="D136" s="571"/>
      <c r="E136" s="571"/>
      <c r="F136" s="571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70" t="s">
        <v>803</v>
      </c>
      <c r="C137" s="571"/>
      <c r="D137" s="571"/>
      <c r="E137" s="571"/>
      <c r="F137" s="571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66" t="s">
        <v>230</v>
      </c>
      <c r="C138" s="567"/>
      <c r="D138" s="567"/>
      <c r="E138" s="567"/>
      <c r="F138" s="567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70" t="s">
        <v>232</v>
      </c>
      <c r="C139" s="571"/>
      <c r="D139" s="571"/>
      <c r="E139" s="571"/>
      <c r="F139" s="571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70" t="s">
        <v>248</v>
      </c>
      <c r="C140" s="571"/>
      <c r="D140" s="571"/>
      <c r="E140" s="571"/>
      <c r="F140" s="571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70" t="s">
        <v>259</v>
      </c>
      <c r="C141" s="571"/>
      <c r="D141" s="571"/>
      <c r="E141" s="571"/>
      <c r="F141" s="571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70" t="s">
        <v>274</v>
      </c>
      <c r="C142" s="571"/>
      <c r="D142" s="571"/>
      <c r="E142" s="571"/>
      <c r="F142" s="571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70" t="s">
        <v>278</v>
      </c>
      <c r="C143" s="571"/>
      <c r="D143" s="571"/>
      <c r="E143" s="571"/>
      <c r="F143" s="571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68" t="s">
        <v>286</v>
      </c>
      <c r="C144" s="569"/>
      <c r="D144" s="569"/>
      <c r="E144" s="569"/>
      <c r="F144" s="569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68" t="s">
        <v>812</v>
      </c>
      <c r="C145" s="569"/>
      <c r="D145" s="569"/>
      <c r="E145" s="569"/>
      <c r="F145" s="569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60" t="s">
        <v>113</v>
      </c>
      <c r="C146" s="561"/>
      <c r="D146" s="561"/>
      <c r="E146" s="561"/>
      <c r="F146" s="561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60" t="s">
        <v>366</v>
      </c>
      <c r="C147" s="561"/>
      <c r="D147" s="561"/>
      <c r="E147" s="561"/>
      <c r="F147" s="561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60" t="s">
        <v>359</v>
      </c>
      <c r="C148" s="561"/>
      <c r="D148" s="561"/>
      <c r="E148" s="561"/>
      <c r="F148" s="561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4.4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4.4" thickBot="1">
      <c r="A150" s="117" t="str">
        <f>+CONCATENATE(A55,"p")</f>
        <v>1000p</v>
      </c>
      <c r="B150" s="562" t="s">
        <v>545</v>
      </c>
      <c r="C150" s="563"/>
      <c r="D150" s="563"/>
      <c r="E150" s="563"/>
      <c r="F150" s="563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4.4" thickBot="1">
      <c r="A151" s="117" t="str">
        <f>+CONCATENATE(A57,"p")</f>
        <v>1001p</v>
      </c>
      <c r="B151" s="564" t="s">
        <v>813</v>
      </c>
      <c r="C151" s="565"/>
      <c r="D151" s="565"/>
      <c r="E151" s="565"/>
      <c r="F151" s="565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66" t="s">
        <v>352</v>
      </c>
      <c r="C152" s="567"/>
      <c r="D152" s="567"/>
      <c r="E152" s="567"/>
      <c r="F152" s="567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558" t="s">
        <v>355</v>
      </c>
      <c r="C153" s="559"/>
      <c r="D153" s="559"/>
      <c r="E153" s="559"/>
      <c r="F153" s="559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60" t="s">
        <v>357</v>
      </c>
      <c r="C154" s="561"/>
      <c r="D154" s="561"/>
      <c r="E154" s="561"/>
      <c r="F154" s="561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60" t="s">
        <v>365</v>
      </c>
      <c r="C155" s="561"/>
      <c r="D155" s="561"/>
      <c r="E155" s="561"/>
      <c r="F155" s="561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4.4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4.4" thickBot="1">
      <c r="A157" s="117" t="str">
        <f t="shared" ref="A157:A162" si="31">+CONCATENATE(A62,"p")</f>
        <v>1002p</v>
      </c>
      <c r="B157" s="556" t="s">
        <v>543</v>
      </c>
      <c r="C157" s="557"/>
      <c r="D157" s="557"/>
      <c r="E157" s="557"/>
      <c r="F157" s="557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4.4" thickBot="1">
      <c r="A158" s="117" t="str">
        <f t="shared" si="31"/>
        <v>1003p</v>
      </c>
      <c r="B158" s="554" t="s">
        <v>544</v>
      </c>
      <c r="C158" s="555"/>
      <c r="D158" s="555"/>
      <c r="E158" s="555"/>
      <c r="F158" s="555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558" t="s">
        <v>114</v>
      </c>
      <c r="C159" s="559"/>
      <c r="D159" s="559"/>
      <c r="E159" s="559"/>
      <c r="F159" s="559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60" t="s">
        <v>116</v>
      </c>
      <c r="C160" s="561"/>
      <c r="D160" s="561"/>
      <c r="E160" s="561"/>
      <c r="F160" s="561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60" t="s">
        <v>93</v>
      </c>
      <c r="C161" s="561"/>
      <c r="D161" s="561"/>
      <c r="E161" s="561"/>
      <c r="F161" s="561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4.4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2</xdr:col>
                    <xdr:colOff>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144780</xdr:colOff>
                    <xdr:row>0</xdr:row>
                    <xdr:rowOff>30480</xdr:rowOff>
                  </from>
                  <to>
                    <xdr:col>2</xdr:col>
                    <xdr:colOff>480060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09375" defaultRowHeight="14.4"/>
  <cols>
    <col min="1" max="1" width="1.88671875" style="72" customWidth="1"/>
    <col min="2" max="2" width="2.6640625" style="72" bestFit="1" customWidth="1"/>
    <col min="3" max="3" width="3.5546875" style="72" bestFit="1" customWidth="1"/>
    <col min="4" max="4" width="5.6640625" style="72" bestFit="1" customWidth="1"/>
    <col min="5" max="5" width="30.5546875" style="76" customWidth="1"/>
    <col min="6" max="124" width="14.33203125" style="41" hidden="1" customWidth="1"/>
    <col min="125" max="125" width="19.6640625" style="41" hidden="1" customWidth="1"/>
    <col min="126" max="131" width="12.6640625" style="273" hidden="1" customWidth="1"/>
    <col min="132" max="132" width="14" style="273" hidden="1" customWidth="1"/>
    <col min="133" max="134" width="12.6640625" style="273" hidden="1" customWidth="1"/>
    <col min="135" max="135" width="15.33203125" style="273" hidden="1" customWidth="1"/>
    <col min="136" max="136" width="11.5546875" style="273" hidden="1" customWidth="1"/>
    <col min="137" max="137" width="14" style="273" hidden="1" customWidth="1"/>
    <col min="138" max="138" width="14" style="41" hidden="1" customWidth="1"/>
    <col min="139" max="148" width="13.6640625" style="41" hidden="1" customWidth="1"/>
    <col min="149" max="149" width="13.5546875" style="41" hidden="1" customWidth="1"/>
    <col min="150" max="150" width="14" style="41" hidden="1" customWidth="1"/>
    <col min="151" max="151" width="14.33203125" style="41" hidden="1" customWidth="1"/>
    <col min="152" max="152" width="13.44140625" style="41" hidden="1" customWidth="1"/>
    <col min="153" max="153" width="13.88671875" style="41" hidden="1" customWidth="1"/>
    <col min="154" max="154" width="13.5546875" style="41" hidden="1" customWidth="1"/>
    <col min="155" max="155" width="12.6640625" style="41" hidden="1" customWidth="1"/>
    <col min="156" max="158" width="13.6640625" style="41" hidden="1" customWidth="1"/>
    <col min="159" max="159" width="12.88671875" style="41" hidden="1" customWidth="1"/>
    <col min="160" max="161" width="12.6640625" style="41" hidden="1" customWidth="1"/>
    <col min="162" max="162" width="13.88671875" style="41" hidden="1" customWidth="1"/>
    <col min="163" max="163" width="11.109375" style="41" hidden="1" customWidth="1"/>
    <col min="164" max="164" width="13.88671875" style="41" hidden="1" customWidth="1"/>
    <col min="165" max="165" width="12.6640625" style="41" hidden="1" customWidth="1"/>
    <col min="166" max="166" width="13.88671875" style="41" hidden="1" customWidth="1"/>
    <col min="167" max="173" width="12.6640625" style="41" hidden="1" customWidth="1"/>
    <col min="174" max="174" width="12.88671875" style="41" customWidth="1"/>
    <col min="175" max="175" width="13.88671875" style="41" customWidth="1"/>
    <col min="176" max="176" width="14" style="41" customWidth="1"/>
    <col min="177" max="177" width="13.88671875" style="41" customWidth="1"/>
    <col min="178" max="178" width="13.88671875" style="41" bestFit="1" customWidth="1"/>
    <col min="179" max="179" width="12.88671875" style="41" customWidth="1"/>
    <col min="180" max="183" width="13.88671875" style="41" customWidth="1"/>
    <col min="184" max="184" width="12.88671875" style="41" customWidth="1"/>
    <col min="185" max="185" width="13.88671875" style="41" customWidth="1"/>
    <col min="186" max="186" width="3.44140625" style="41" customWidth="1"/>
    <col min="187" max="187" width="15.44140625" style="352" bestFit="1" customWidth="1"/>
    <col min="188" max="16384" width="9.10937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1" t="s">
        <v>555</v>
      </c>
      <c r="F6" s="618">
        <v>2006</v>
      </c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618">
        <v>2007</v>
      </c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20"/>
      <c r="AD6" s="618">
        <v>2008</v>
      </c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20"/>
      <c r="AP6" s="618">
        <v>2009</v>
      </c>
      <c r="AQ6" s="619"/>
      <c r="AR6" s="619"/>
      <c r="AS6" s="619"/>
      <c r="AT6" s="619"/>
      <c r="AU6" s="619"/>
      <c r="AV6" s="619"/>
      <c r="AW6" s="619"/>
      <c r="AX6" s="619"/>
      <c r="AY6" s="619"/>
      <c r="AZ6" s="619"/>
      <c r="BA6" s="620"/>
      <c r="BB6" s="618">
        <v>2010</v>
      </c>
      <c r="BC6" s="619"/>
      <c r="BD6" s="619"/>
      <c r="BE6" s="619"/>
      <c r="BF6" s="619"/>
      <c r="BG6" s="619"/>
      <c r="BH6" s="619"/>
      <c r="BI6" s="619"/>
      <c r="BJ6" s="619"/>
      <c r="BK6" s="619"/>
      <c r="BL6" s="619"/>
      <c r="BM6" s="620"/>
      <c r="BN6" s="618">
        <v>2011</v>
      </c>
      <c r="BO6" s="619"/>
      <c r="BP6" s="619"/>
      <c r="BQ6" s="619"/>
      <c r="BR6" s="619"/>
      <c r="BS6" s="619"/>
      <c r="BT6" s="619"/>
      <c r="BU6" s="619"/>
      <c r="BV6" s="619"/>
      <c r="BW6" s="619"/>
      <c r="BX6" s="619"/>
      <c r="BY6" s="620"/>
      <c r="BZ6" s="619">
        <v>2012</v>
      </c>
      <c r="CA6" s="619"/>
      <c r="CB6" s="619"/>
      <c r="CC6" s="619"/>
      <c r="CD6" s="619"/>
      <c r="CE6" s="619"/>
      <c r="CF6" s="619"/>
      <c r="CG6" s="619"/>
      <c r="CH6" s="619"/>
      <c r="CI6" s="619"/>
      <c r="CJ6" s="619"/>
      <c r="CK6" s="619"/>
      <c r="CL6" s="618">
        <v>2013</v>
      </c>
      <c r="CM6" s="619"/>
      <c r="CN6" s="619"/>
      <c r="CO6" s="619"/>
      <c r="CP6" s="619"/>
      <c r="CQ6" s="619"/>
      <c r="CR6" s="619"/>
      <c r="CS6" s="619"/>
      <c r="CT6" s="619"/>
      <c r="CU6" s="619"/>
      <c r="CV6" s="619"/>
      <c r="CW6" s="620"/>
      <c r="CX6" s="618">
        <v>2014</v>
      </c>
      <c r="CY6" s="619"/>
      <c r="CZ6" s="619"/>
      <c r="DA6" s="619"/>
      <c r="DB6" s="619"/>
      <c r="DC6" s="619"/>
      <c r="DD6" s="619"/>
      <c r="DE6" s="619"/>
      <c r="DF6" s="619"/>
      <c r="DG6" s="619"/>
      <c r="DH6" s="619"/>
      <c r="DI6" s="620"/>
      <c r="DJ6" s="618">
        <v>2015</v>
      </c>
      <c r="DK6" s="619"/>
      <c r="DL6" s="619"/>
      <c r="DM6" s="619"/>
      <c r="DN6" s="619"/>
      <c r="DO6" s="619"/>
      <c r="DP6" s="619"/>
      <c r="DQ6" s="619"/>
      <c r="DR6" s="619"/>
      <c r="DS6" s="619"/>
      <c r="DT6" s="619"/>
      <c r="DU6" s="620"/>
    </row>
    <row r="7" spans="1:321">
      <c r="E7" s="621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28.8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28.8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28.8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28.8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28.8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28.8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1483663.6700000002</v>
      </c>
      <c r="FS35" s="353">
        <f t="shared" si="9"/>
        <v>2100277.88</v>
      </c>
      <c r="FT35" s="353">
        <f t="shared" si="9"/>
        <v>4243202.3499999996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3216715.11</v>
      </c>
      <c r="FZ35" s="304">
        <f t="shared" si="9"/>
        <v>11550447.479999999</v>
      </c>
      <c r="GA35" s="353">
        <f t="shared" si="9"/>
        <v>2887676.87</v>
      </c>
      <c r="GB35" s="353">
        <f t="shared" si="9"/>
        <v>1756272.85</v>
      </c>
      <c r="GC35" s="353">
        <f t="shared" si="9"/>
        <v>2614148.87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28.8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28.8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2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28.8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28.8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28.8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28.8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28.8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28.8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28.8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28.8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28.8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28.8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28.8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28.8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28.8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28.8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28.8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28.8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28.8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28.8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28.8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28.8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28.8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28.8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28.8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3.2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3.2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28.8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28.8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28.8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28.8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28.8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28.8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28.8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28.8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28.8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28.8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28.8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28.8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28.8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28.8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Total Revenues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Total Expenditures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Surplus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1" t="s">
        <v>676</v>
      </c>
      <c r="F214" s="618">
        <v>2006</v>
      </c>
      <c r="G214" s="619"/>
      <c r="H214" s="619"/>
      <c r="I214" s="619"/>
      <c r="J214" s="619"/>
      <c r="K214" s="619"/>
      <c r="L214" s="619"/>
      <c r="M214" s="619"/>
      <c r="N214" s="619"/>
      <c r="O214" s="619"/>
      <c r="P214" s="619"/>
      <c r="Q214" s="620"/>
      <c r="R214" s="618">
        <v>2007</v>
      </c>
      <c r="S214" s="619"/>
      <c r="T214" s="619"/>
      <c r="U214" s="619"/>
      <c r="V214" s="619"/>
      <c r="W214" s="619"/>
      <c r="X214" s="619"/>
      <c r="Y214" s="619"/>
      <c r="Z214" s="619"/>
      <c r="AA214" s="619"/>
      <c r="AB214" s="619"/>
      <c r="AC214" s="620"/>
      <c r="AD214" s="618">
        <v>2008</v>
      </c>
      <c r="AE214" s="619"/>
      <c r="AF214" s="619"/>
      <c r="AG214" s="619"/>
      <c r="AH214" s="619"/>
      <c r="AI214" s="619"/>
      <c r="AJ214" s="619"/>
      <c r="AK214" s="619"/>
      <c r="AL214" s="619"/>
      <c r="AM214" s="619"/>
      <c r="AN214" s="619"/>
      <c r="AO214" s="620"/>
      <c r="AP214" s="618">
        <v>2009</v>
      </c>
      <c r="AQ214" s="619"/>
      <c r="AR214" s="619"/>
      <c r="AS214" s="619"/>
      <c r="AT214" s="619"/>
      <c r="AU214" s="619"/>
      <c r="AV214" s="619"/>
      <c r="AW214" s="619"/>
      <c r="AX214" s="619"/>
      <c r="AY214" s="619"/>
      <c r="AZ214" s="619"/>
      <c r="BA214" s="620"/>
      <c r="BB214" s="618">
        <v>2010</v>
      </c>
      <c r="BC214" s="619"/>
      <c r="BD214" s="619"/>
      <c r="BE214" s="619"/>
      <c r="BF214" s="619"/>
      <c r="BG214" s="619"/>
      <c r="BH214" s="619"/>
      <c r="BI214" s="619"/>
      <c r="BJ214" s="619"/>
      <c r="BK214" s="619"/>
      <c r="BL214" s="619"/>
      <c r="BM214" s="620"/>
      <c r="BN214" s="618">
        <v>2011</v>
      </c>
      <c r="BO214" s="619"/>
      <c r="BP214" s="619"/>
      <c r="BQ214" s="619"/>
      <c r="BR214" s="619"/>
      <c r="BS214" s="619"/>
      <c r="BT214" s="619"/>
      <c r="BU214" s="619"/>
      <c r="BV214" s="619"/>
      <c r="BW214" s="619"/>
      <c r="BX214" s="619"/>
      <c r="BY214" s="620"/>
      <c r="BZ214" s="619">
        <v>2012</v>
      </c>
      <c r="CA214" s="619"/>
      <c r="CB214" s="619"/>
      <c r="CC214" s="619"/>
      <c r="CD214" s="619"/>
      <c r="CE214" s="619"/>
      <c r="CF214" s="619"/>
      <c r="CG214" s="619"/>
      <c r="CH214" s="619"/>
      <c r="CI214" s="619"/>
      <c r="CJ214" s="619"/>
      <c r="CK214" s="619"/>
      <c r="CL214" s="618">
        <v>2013</v>
      </c>
      <c r="CM214" s="619"/>
      <c r="CN214" s="619"/>
      <c r="CO214" s="619"/>
      <c r="CP214" s="619"/>
      <c r="CQ214" s="619"/>
      <c r="CR214" s="619"/>
      <c r="CS214" s="619"/>
      <c r="CT214" s="619"/>
      <c r="CU214" s="619"/>
      <c r="CV214" s="619"/>
      <c r="CW214" s="620"/>
      <c r="CX214" s="618">
        <v>2014</v>
      </c>
      <c r="CY214" s="619"/>
      <c r="CZ214" s="619"/>
      <c r="DA214" s="619"/>
      <c r="DB214" s="619"/>
      <c r="DC214" s="619"/>
      <c r="DD214" s="619"/>
      <c r="DE214" s="619"/>
      <c r="DF214" s="619"/>
      <c r="DG214" s="619"/>
      <c r="DH214" s="619"/>
      <c r="DI214" s="620"/>
      <c r="DJ214" s="618">
        <v>2015</v>
      </c>
      <c r="DK214" s="619"/>
      <c r="DL214" s="619"/>
      <c r="DM214" s="619"/>
      <c r="DN214" s="619"/>
      <c r="DO214" s="619"/>
      <c r="DP214" s="619"/>
      <c r="DQ214" s="619"/>
      <c r="DR214" s="619"/>
      <c r="DS214" s="619"/>
      <c r="DT214" s="619"/>
      <c r="DU214" s="620"/>
    </row>
    <row r="215" spans="1:187">
      <c r="E215" s="621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28.8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28.8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28.8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28.8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28.8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28.8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28.8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28.8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28.8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28.8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28.8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28.8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28.8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28.8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28.8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28.8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28.8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28.8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28.8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28.8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28.8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28.8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28.8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28.8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28.8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28.8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28.8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28.8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28.8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28.8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28.8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28.8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28.8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3.2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3.2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28.8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28.8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28.8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28.8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28.8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28.8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28.8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28.8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28.8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28.8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28.8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28.8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28.8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28.8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09375" defaultRowHeight="14.4"/>
  <cols>
    <col min="1" max="1" width="1.33203125" style="6" customWidth="1"/>
    <col min="2" max="2" width="5" style="6" bestFit="1" customWidth="1"/>
    <col min="3" max="3" width="12.109375" style="42" customWidth="1"/>
    <col min="4" max="4" width="9.109375" style="42"/>
    <col min="5" max="5" width="35.44140625" style="7" customWidth="1"/>
    <col min="6" max="6" width="43.109375" style="8" customWidth="1"/>
    <col min="7" max="7" width="88.88671875" style="52" bestFit="1" customWidth="1"/>
    <col min="8" max="16384" width="9.109375" style="6"/>
  </cols>
  <sheetData>
    <row r="1" spans="2:7" ht="13.2" customHeight="1" thickBot="1"/>
    <row r="2" spans="2:7" ht="15" thickBot="1">
      <c r="B2" s="259">
        <v>2</v>
      </c>
      <c r="C2" s="56" t="s">
        <v>0</v>
      </c>
    </row>
    <row r="3" spans="2:7" ht="15" thickBot="1">
      <c r="B3" s="260">
        <v>10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Engleski</v>
      </c>
    </row>
    <row r="4" spans="2:7" ht="1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Montenegro</v>
      </c>
    </row>
    <row r="7" spans="2:7">
      <c r="E7" s="11" t="s">
        <v>806</v>
      </c>
      <c r="F7" s="12" t="s">
        <v>807</v>
      </c>
      <c r="G7" s="52" t="str">
        <f t="shared" si="0"/>
        <v>Ministry of Finance and social welfare</v>
      </c>
    </row>
    <row r="8" spans="2:7">
      <c r="D8" s="43"/>
      <c r="E8" s="33" t="s">
        <v>771</v>
      </c>
      <c r="F8" s="34" t="s">
        <v>805</v>
      </c>
      <c r="G8" s="53" t="str">
        <f t="shared" si="0"/>
        <v>Directorate for State Budget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Analytics Tab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Montly Data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Montly Data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Montly Data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Montly Data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Montly Data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Montly Data 2016</v>
      </c>
    </row>
    <row r="17" spans="2:7">
      <c r="E17" s="11" t="s">
        <v>689</v>
      </c>
      <c r="F17" s="12" t="s">
        <v>690</v>
      </c>
      <c r="G17" s="52" t="str">
        <f t="shared" si="0"/>
        <v>Montly Data 2015</v>
      </c>
    </row>
    <row r="18" spans="2:7">
      <c r="E18" s="11" t="s">
        <v>10</v>
      </c>
      <c r="F18" s="12" t="s">
        <v>11</v>
      </c>
      <c r="G18" s="52" t="str">
        <f t="shared" si="0"/>
        <v>Montly Data 2014</v>
      </c>
    </row>
    <row r="19" spans="2:7">
      <c r="E19" s="11" t="s">
        <v>12</v>
      </c>
      <c r="F19" s="12" t="s">
        <v>13</v>
      </c>
      <c r="G19" s="52" t="str">
        <f t="shared" si="0"/>
        <v>Montly Data 2013</v>
      </c>
    </row>
    <row r="20" spans="2:7">
      <c r="E20" s="11" t="s">
        <v>738</v>
      </c>
      <c r="F20" s="12" t="s">
        <v>739</v>
      </c>
      <c r="G20" s="52" t="str">
        <f t="shared" si="0"/>
        <v>Montly Data 2012</v>
      </c>
    </row>
    <row r="21" spans="2:7">
      <c r="E21" s="11" t="s">
        <v>740</v>
      </c>
      <c r="F21" s="12" t="s">
        <v>741</v>
      </c>
      <c r="G21" s="52" t="str">
        <f t="shared" si="0"/>
        <v>Montly Data 2011</v>
      </c>
    </row>
    <row r="22" spans="2:7">
      <c r="E22" s="11" t="s">
        <v>14</v>
      </c>
      <c r="F22" s="12" t="s">
        <v>404</v>
      </c>
      <c r="G22" s="52" t="str">
        <f t="shared" si="0"/>
        <v>Historical Data, since 2006</v>
      </c>
    </row>
    <row r="23" spans="2:7">
      <c r="E23" s="11" t="s">
        <v>15</v>
      </c>
      <c r="F23" s="12" t="s">
        <v>16</v>
      </c>
      <c r="G23" s="52" t="str">
        <f t="shared" si="0"/>
        <v>Public Debt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Execution</v>
      </c>
    </row>
    <row r="26" spans="2:7">
      <c r="D26" s="43"/>
      <c r="E26" s="33" t="s">
        <v>414</v>
      </c>
      <c r="F26" s="34" t="s">
        <v>415</v>
      </c>
      <c r="G26" s="53" t="str">
        <f t="shared" si="0"/>
        <v>Welcome tab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Total Revenues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Current Revenues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Taxes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Personal Income Tax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Corporate Income Tax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 xml:space="preserve">Taxes on Sales of Property 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Value Added Tax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Excises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Tax on International Trade and Transactions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Other Republic Taxes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Contributions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Contributions for Pension and Disability Insurance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Contributions for Health Insurance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Contributions for  Unemployment Insurance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Other contributions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Duties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Administrative Duties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Court Duties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Residential Duties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Registration Duties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Local Duties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Other duties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Fees</v>
      </c>
    </row>
    <row r="53" spans="2:7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Fees for Use of Goods of Common Interest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Fees for Use of Natural Resources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Ecological Fees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Fees for Organizing Games of Chance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Fees for Usage of Construction Land</v>
      </c>
    </row>
    <row r="58" spans="2:7" ht="21.6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Fees for Regulation and Upkeep of Construction Land </v>
      </c>
    </row>
    <row r="59" spans="2:7" ht="21.6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>Fees for Construction and Upkeep of Local Roads and Other Local Facilities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Road fees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Other fees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Other revenues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Revenues from Capital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Fines and Seized Property Gains</v>
      </c>
    </row>
    <row r="65" spans="2:7" ht="21.6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Revenues from Government Body Activities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Self contributions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Other Revenues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Revenues from Selling Assets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Revenues from Selling Non-Financial Assets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Revenues from Selling Financial Assets</v>
      </c>
    </row>
    <row r="71" spans="2:7" ht="21.6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Receipts from Repayment of Loans and Funds Carried over from Previous Year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Receipts from Repayment of Loans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Funds Carried over from Previous Year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Grants and Transfers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Grants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Transfers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>Loans and borrowings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Loans and borrowings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Domestic Loans and Borrowings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Foreign Loans and Borrowings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Total Expenditures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Current Budgetary Consumption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Current Expenditures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Gross Salaries and Contributions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 Salaries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Personal Income Tax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Contributions Charged to Employee</v>
      </c>
    </row>
    <row r="88" spans="2:7" ht="15.6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Contributions Charged to Employer</v>
      </c>
    </row>
    <row r="89" spans="2:7" ht="15.6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Surtax on PIT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Other Personal Income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Compensation for Meals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Compensation for Living Costs and Separate Living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Compensation for Transport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Annual awards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Compensation for Early Retirement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Parliament Members Compensation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Other Compensations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 xml:space="preserve">Other 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Expenditures for Supplies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Administrative Supplies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Health Protection Supplies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Special Supplies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Expenditures for Energy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Expenditures for Fuel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Other Expenditures for Supplies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Expenditures for Services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Business trips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Representation Costs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Communication Services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 Services and FX Conversion Loss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Transport Services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Legal Services (lawyers, notars and others)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Consultancy Services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Professional Training Services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Other Services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Current Maintenance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Current Maintenance of Public Infrastructure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Current Maintenance of Buildings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Current Maintenance of Equipment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Interests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Interests on Domestic Debt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Interests on Foreign Debt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Rent of Real Estate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Rent of Equipment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Rent of Property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Subsidies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Production and Services Subsidies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Export Subsidies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Import Subsidies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Other expenditures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 xml:space="preserve">Expenditures for Service Contracts 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Expenditures for Judicial Proceeding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Expenditures for Software Maintenance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Insurance</v>
      </c>
    </row>
    <row r="136" spans="2:7" ht="21.6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Contribution for Domestic and International Institutions Membership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Utility Charges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Penalties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Fees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Others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Social Security Transfers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Social Security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Children benefits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Veteran and disability benefits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Assistance for the Family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Maternity leave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Care and Assistance Benefits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Pre-school Meal Plans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Support to Nurse Homes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Other rights from social protection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Funds for redundant labor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Guaranteed Earnings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Redundant Labor Benefits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Additional Insurance Payment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Compensation to Unemployed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Other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Pension and Disability Insurance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Age pension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Disability pension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Family pension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Compensations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Addendums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Other rughts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Contribution to Health Protection of Pensioners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Other Health Care Transfers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Health Treatment Abroad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Other Health Care Insurance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Orthopedic Devices and Supplies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 xml:space="preserve">Compensation for Health Leave 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Compensation for Travel Costs of Insured Person</v>
      </c>
    </row>
    <row r="171" spans="2:7" ht="21.6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Transfers to Institutions, Individuals, NGO and Public Sector </v>
      </c>
    </row>
    <row r="172" spans="2:7" ht="21.6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Transfers to Institutions, Individuals, NGO and Public Sector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>Transfers for Health Protection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 for Education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Transfers for Culture and Sports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Transfers to NGOs</v>
      </c>
    </row>
    <row r="177" spans="2:7" ht="21.6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Transfers to Political Parties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Transfers for Non-refundable Social Help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Trasfers for Intern's Salary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Other Transfers to Individuals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Other Transfers to Institutions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>Other Transfers</v>
      </c>
    </row>
    <row r="183" spans="2:7" ht="21.6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Transfers to Fund for Pension and Disability Insurance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Transfers to Health Fund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Transfers to Employment Fund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Transfers to Municipalities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Transfers to State Budget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Transfers to State Owned Enterprises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Capital Expenditure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Capital Expenditure for Public Infrastructure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Capital Expenditure for Local Infrastructure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Capital Expenditure for Building Construction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Capital Expenditure for Land Construction/Improvement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Capital Expenditure for Equipment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Capital Expenditure for Investment Upkeep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Capital Expenditure for Stock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Capital Expenditure for Securities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Other Capital Expenditure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Credits and Borrowings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Credits and Borrowings</v>
      </c>
    </row>
    <row r="201" spans="2:7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Credits and Borrowings to Non-Financial Institutions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Credits and Borrowings to Financial Institutions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Credits and Borrowings to Individuals</v>
      </c>
    </row>
    <row r="204" spans="2:7" ht="21.6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Credits and Borrowings to Municipalities and State Funds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Other Credits and Borrowings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Repayment of Debt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Repayment of Debt</v>
      </c>
    </row>
    <row r="208" spans="2:7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Repayment of Domestic Debt</v>
      </c>
    </row>
    <row r="209" spans="2:7" ht="21.6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Repayment of Foreign Debt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Repayment of Guarantees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Repayment of Domestic Guarantees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Repayment of Foreign Guarantees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Repayments of liabilities form the previous period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Reserves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Current Budget Reserve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Permanent Budget Reserve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Other Reserves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Surplus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Primary surplus/deficit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 xml:space="preserve"> </v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Financing needs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Financing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Increase / decrease of deposits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 increase of liabilities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January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February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March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May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June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July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August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September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October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November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December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October</v>
      </c>
    </row>
    <row r="245" spans="4:7">
      <c r="D245" s="49"/>
      <c r="E245" s="9"/>
      <c r="F245" s="10"/>
      <c r="G245" s="52" t="str">
        <f>+CONCATENATE("Jan - ",LEFT(G244,3))</f>
        <v>Jan - Oct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GDP</v>
      </c>
    </row>
    <row r="249" spans="4:7">
      <c r="D249" s="46"/>
      <c r="E249" s="9"/>
      <c r="F249" s="10"/>
      <c r="G249" s="52" t="str">
        <f>+CONCATENATE("% ",G248)</f>
        <v>% GDP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Budget Execution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Planned Budget Execution</v>
      </c>
    </row>
    <row r="253" spans="4:7">
      <c r="D253" s="46"/>
      <c r="E253" s="9" t="str">
        <f>+CONCATENATE("Analitika za period ",G245)</f>
        <v>Analitika za period Jan - Oct</v>
      </c>
      <c r="F253" s="10" t="str">
        <f>+CONCATENATE("Analytics for period ",G245)</f>
        <v>Analytics for period Jan - Oct</v>
      </c>
      <c r="G253" s="52" t="str">
        <f>+IF(ISBLANK(IF($B$2=1,E253,F253)),"",IF($B$2=1,E253,F253))</f>
        <v>Analytics for period Jan - Oct</v>
      </c>
    </row>
    <row r="254" spans="4:7">
      <c r="D254" s="46"/>
      <c r="E254" s="9" t="str">
        <f>+CONCATENATE("Analitika za period ",G244)</f>
        <v>Analitika za period October</v>
      </c>
      <c r="F254" s="10" t="str">
        <f>+CONCATENATE("Analytics for period ",G244)</f>
        <v>Analytics for period October</v>
      </c>
      <c r="G254" s="52" t="str">
        <f>+IF(ISBLANK(IF($B$2=1,E254,F254)),"",IF($B$2=1,E254,F254))</f>
        <v>Analytics for period October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Execution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Deviation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Budget realization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Revenues for October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Expenditures for October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Deficit for October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Revenues for period January - October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Expenditures for period January - October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Surplus/Deficit for period January - October</v>
      </c>
    </row>
    <row r="277" spans="5:7">
      <c r="E277" s="9" t="s">
        <v>409</v>
      </c>
      <c r="F277" s="10" t="s">
        <v>410</v>
      </c>
      <c r="G277" s="52" t="str">
        <f t="shared" si="3"/>
        <v>Public debt (% GDP)</v>
      </c>
    </row>
    <row r="279" spans="5:7">
      <c r="E279" s="9" t="s">
        <v>407</v>
      </c>
      <c r="F279" s="10" t="s">
        <v>408</v>
      </c>
      <c r="G279" s="52" t="str">
        <f t="shared" si="3"/>
        <v>Breakdown</v>
      </c>
    </row>
    <row r="281" spans="5:7" ht="57.6">
      <c r="E281" s="256" t="s">
        <v>687</v>
      </c>
      <c r="F281" s="60" t="s">
        <v>688</v>
      </c>
      <c r="G281" s="61" t="str">
        <f>+IF(ISBLANK(IF($B$2=1,E281,F281)),"",IF($B$2=1,E281,F281))</f>
        <v>Contact: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Breakdown</vt:lpstr>
      <vt:lpstr>Analytics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Dell</cp:lastModifiedBy>
  <cp:lastPrinted>2021-11-08T10:09:33Z</cp:lastPrinted>
  <dcterms:created xsi:type="dcterms:W3CDTF">2014-09-15T13:41:17Z</dcterms:created>
  <dcterms:modified xsi:type="dcterms:W3CDTF">2021-11-29T18:53:43Z</dcterms:modified>
</cp:coreProperties>
</file>