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esktop\"/>
    </mc:Choice>
  </mc:AlternateContent>
  <bookViews>
    <workbookView xWindow="0" yWindow="0" windowWidth="28800" windowHeight="11400" tabRatio="587" firstSheet="1" activeTab="2"/>
  </bookViews>
  <sheets>
    <sheet name="Analitika - 2014" sheetId="3" state="hidden" r:id="rId1"/>
    <sheet name="Pregled" sheetId="1" r:id="rId2"/>
    <sheet name="Analitika - 2019" sheetId="11" r:id="rId3"/>
    <sheet name="2019" sheetId="17" r:id="rId4"/>
    <sheet name="2018" sheetId="13" r:id="rId5"/>
    <sheet name="2017" sheetId="16" r:id="rId6"/>
    <sheet name="2016" sheetId="12" r:id="rId7"/>
    <sheet name="2015" sheetId="10" state="hidden" r:id="rId8"/>
    <sheet name="2014" sheetId="4" state="hidden" r:id="rId9"/>
    <sheet name="2013" sheetId="8" state="hidden" r:id="rId10"/>
    <sheet name="Dug" sheetId="9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3plan" localSheetId="9">'2013'!$A$102:$A$160</definedName>
    <definedName name="_2013plan" localSheetId="10">Dug!$A$101:$A$159</definedName>
    <definedName name="_2014plan" localSheetId="8">'2014'!$A$101:$A$159</definedName>
    <definedName name="_2015plan" localSheetId="7">'2015'!$A$102:$A$159</definedName>
    <definedName name="_2015plan" localSheetId="6">'2016'!$A$102:$A$160</definedName>
    <definedName name="_2015plan" localSheetId="5">'2017'!$A$102:$A$160</definedName>
    <definedName name="_2015plan" localSheetId="4">'2018'!$A$102:$A$161</definedName>
    <definedName name="_2015plan" localSheetId="3">'2019'!$A$102:$A$161</definedName>
  </definedNames>
  <calcPr calcId="162913"/>
</workbook>
</file>

<file path=xl/calcChain.xml><?xml version="1.0" encoding="utf-8"?>
<calcChain xmlns="http://schemas.openxmlformats.org/spreadsheetml/2006/main">
  <c r="FI160" i="6" l="1"/>
  <c r="FG160" i="6"/>
  <c r="I33" i="17" l="1"/>
  <c r="H13" i="1" l="1"/>
  <c r="H17" i="1"/>
  <c r="H21" i="1"/>
  <c r="H60" i="17" l="1"/>
  <c r="I60" i="17"/>
  <c r="J60" i="17"/>
  <c r="K60" i="17"/>
  <c r="L60" i="17"/>
  <c r="M60" i="17"/>
  <c r="N60" i="17"/>
  <c r="O60" i="17"/>
  <c r="P60" i="17"/>
  <c r="Q60" i="17"/>
  <c r="R60" i="17"/>
  <c r="G60" i="17"/>
  <c r="H158" i="17"/>
  <c r="I158" i="17"/>
  <c r="J158" i="17"/>
  <c r="K158" i="17"/>
  <c r="L158" i="17"/>
  <c r="M158" i="17"/>
  <c r="N158" i="17"/>
  <c r="O158" i="17"/>
  <c r="P158" i="17"/>
  <c r="Q158" i="17"/>
  <c r="R158" i="17"/>
  <c r="H159" i="17"/>
  <c r="I159" i="17"/>
  <c r="J159" i="17"/>
  <c r="K159" i="17"/>
  <c r="L159" i="17"/>
  <c r="M159" i="17"/>
  <c r="N159" i="17"/>
  <c r="O159" i="17"/>
  <c r="P159" i="17"/>
  <c r="Q159" i="17"/>
  <c r="R159" i="17"/>
  <c r="H160" i="17"/>
  <c r="I160" i="17"/>
  <c r="J160" i="17"/>
  <c r="K160" i="17"/>
  <c r="L160" i="17"/>
  <c r="M160" i="17"/>
  <c r="N160" i="17"/>
  <c r="O160" i="17"/>
  <c r="P160" i="17"/>
  <c r="Q160" i="17"/>
  <c r="R160" i="17"/>
  <c r="G160" i="17"/>
  <c r="G159" i="17"/>
  <c r="G158" i="17"/>
  <c r="H115" i="17"/>
  <c r="I115" i="17"/>
  <c r="J115" i="17"/>
  <c r="K115" i="17"/>
  <c r="L115" i="17"/>
  <c r="M115" i="17"/>
  <c r="N115" i="17"/>
  <c r="O115" i="17"/>
  <c r="P115" i="17"/>
  <c r="Q115" i="17"/>
  <c r="R115" i="17"/>
  <c r="H116" i="17"/>
  <c r="I116" i="17"/>
  <c r="J116" i="17"/>
  <c r="K116" i="17"/>
  <c r="L116" i="17"/>
  <c r="M116" i="17"/>
  <c r="N116" i="17"/>
  <c r="O116" i="17"/>
  <c r="P116" i="17"/>
  <c r="Q116" i="17"/>
  <c r="R116" i="17"/>
  <c r="H117" i="17"/>
  <c r="I117" i="17"/>
  <c r="J117" i="17"/>
  <c r="K117" i="17"/>
  <c r="L117" i="17"/>
  <c r="M117" i="17"/>
  <c r="N117" i="17"/>
  <c r="O117" i="17"/>
  <c r="P117" i="17"/>
  <c r="Q117" i="17"/>
  <c r="R117" i="17"/>
  <c r="H118" i="17"/>
  <c r="I118" i="17"/>
  <c r="J118" i="17"/>
  <c r="K118" i="17"/>
  <c r="L118" i="17"/>
  <c r="M118" i="17"/>
  <c r="N118" i="17"/>
  <c r="O118" i="17"/>
  <c r="P118" i="17"/>
  <c r="Q118" i="17"/>
  <c r="R118" i="17"/>
  <c r="G116" i="17"/>
  <c r="G117" i="17"/>
  <c r="G118" i="17"/>
  <c r="H113" i="17"/>
  <c r="I113" i="17"/>
  <c r="J113" i="17"/>
  <c r="K113" i="17"/>
  <c r="L113" i="17"/>
  <c r="M113" i="17"/>
  <c r="N113" i="17"/>
  <c r="O113" i="17"/>
  <c r="P113" i="17"/>
  <c r="Q113" i="17"/>
  <c r="R113" i="17"/>
  <c r="G113" i="17"/>
  <c r="H153" i="17" l="1"/>
  <c r="I153" i="17"/>
  <c r="J153" i="17"/>
  <c r="K153" i="17"/>
  <c r="L153" i="17"/>
  <c r="M153" i="17"/>
  <c r="N153" i="17"/>
  <c r="O153" i="17"/>
  <c r="P153" i="17"/>
  <c r="Q153" i="17"/>
  <c r="R153" i="17"/>
  <c r="H154" i="17"/>
  <c r="I154" i="17"/>
  <c r="J154" i="17"/>
  <c r="K154" i="17"/>
  <c r="L154" i="17"/>
  <c r="M154" i="17"/>
  <c r="N154" i="17"/>
  <c r="O154" i="17"/>
  <c r="P154" i="17"/>
  <c r="Q154" i="17"/>
  <c r="R154" i="17"/>
  <c r="H148" i="17"/>
  <c r="I148" i="17"/>
  <c r="J148" i="17"/>
  <c r="K148" i="17"/>
  <c r="L148" i="17"/>
  <c r="M148" i="17"/>
  <c r="N148" i="17"/>
  <c r="O148" i="17"/>
  <c r="P148" i="17"/>
  <c r="Q148" i="17"/>
  <c r="R148" i="17"/>
  <c r="H155" i="17"/>
  <c r="I155" i="17"/>
  <c r="J155" i="17"/>
  <c r="K155" i="17"/>
  <c r="L155" i="17"/>
  <c r="M155" i="17"/>
  <c r="N155" i="17"/>
  <c r="O155" i="17"/>
  <c r="P155" i="17"/>
  <c r="Q155" i="17"/>
  <c r="R155" i="17"/>
  <c r="G155" i="17"/>
  <c r="G148" i="17"/>
  <c r="G154" i="17"/>
  <c r="G153" i="17"/>
  <c r="H143" i="17"/>
  <c r="I143" i="17"/>
  <c r="J143" i="17"/>
  <c r="K143" i="17"/>
  <c r="L143" i="17"/>
  <c r="M143" i="17"/>
  <c r="N143" i="17"/>
  <c r="O143" i="17"/>
  <c r="P143" i="17"/>
  <c r="Q143" i="17"/>
  <c r="R143" i="17"/>
  <c r="H144" i="17"/>
  <c r="I144" i="17"/>
  <c r="J144" i="17"/>
  <c r="K144" i="17"/>
  <c r="L144" i="17"/>
  <c r="M144" i="17"/>
  <c r="N144" i="17"/>
  <c r="O144" i="17"/>
  <c r="P144" i="17"/>
  <c r="Q144" i="17"/>
  <c r="R144" i="17"/>
  <c r="H145" i="17"/>
  <c r="I145" i="17"/>
  <c r="J145" i="17"/>
  <c r="K145" i="17"/>
  <c r="L145" i="17"/>
  <c r="M145" i="17"/>
  <c r="N145" i="17"/>
  <c r="O145" i="17"/>
  <c r="P145" i="17"/>
  <c r="Q145" i="17"/>
  <c r="R145" i="17"/>
  <c r="H146" i="17"/>
  <c r="I146" i="17"/>
  <c r="J146" i="17"/>
  <c r="K146" i="17"/>
  <c r="L146" i="17"/>
  <c r="M146" i="17"/>
  <c r="N146" i="17"/>
  <c r="O146" i="17"/>
  <c r="P146" i="17"/>
  <c r="Q146" i="17"/>
  <c r="R146" i="17"/>
  <c r="H147" i="17"/>
  <c r="I147" i="17"/>
  <c r="J147" i="17"/>
  <c r="K147" i="17"/>
  <c r="L147" i="17"/>
  <c r="M147" i="17"/>
  <c r="N147" i="17"/>
  <c r="O147" i="17"/>
  <c r="P147" i="17"/>
  <c r="Q147" i="17"/>
  <c r="R147" i="17"/>
  <c r="H149" i="17"/>
  <c r="I149" i="17"/>
  <c r="J149" i="17"/>
  <c r="K149" i="17"/>
  <c r="L149" i="17"/>
  <c r="M149" i="17"/>
  <c r="N149" i="17"/>
  <c r="O149" i="17"/>
  <c r="P149" i="17"/>
  <c r="Q149" i="17"/>
  <c r="R149" i="17"/>
  <c r="G149" i="17"/>
  <c r="G147" i="17"/>
  <c r="G146" i="17"/>
  <c r="G145" i="17"/>
  <c r="G144" i="17"/>
  <c r="G143" i="17"/>
  <c r="H138" i="17"/>
  <c r="I138" i="17"/>
  <c r="J138" i="17"/>
  <c r="K138" i="17"/>
  <c r="L138" i="17"/>
  <c r="M138" i="17"/>
  <c r="N138" i="17"/>
  <c r="O138" i="17"/>
  <c r="P138" i="17"/>
  <c r="Q138" i="17"/>
  <c r="R138" i="17"/>
  <c r="H139" i="17"/>
  <c r="I139" i="17"/>
  <c r="J139" i="17"/>
  <c r="K139" i="17"/>
  <c r="L139" i="17"/>
  <c r="M139" i="17"/>
  <c r="N139" i="17"/>
  <c r="O139" i="17"/>
  <c r="P139" i="17"/>
  <c r="Q139" i="17"/>
  <c r="R139" i="17"/>
  <c r="H140" i="17"/>
  <c r="I140" i="17"/>
  <c r="J140" i="17"/>
  <c r="K140" i="17"/>
  <c r="L140" i="17"/>
  <c r="M140" i="17"/>
  <c r="N140" i="17"/>
  <c r="O140" i="17"/>
  <c r="P140" i="17"/>
  <c r="Q140" i="17"/>
  <c r="R140" i="17"/>
  <c r="H141" i="17"/>
  <c r="I141" i="17"/>
  <c r="J141" i="17"/>
  <c r="K141" i="17"/>
  <c r="L141" i="17"/>
  <c r="M141" i="17"/>
  <c r="N141" i="17"/>
  <c r="O141" i="17"/>
  <c r="P141" i="17"/>
  <c r="Q141" i="17"/>
  <c r="R141" i="17"/>
  <c r="H142" i="17"/>
  <c r="I142" i="17"/>
  <c r="J142" i="17"/>
  <c r="K142" i="17"/>
  <c r="L142" i="17"/>
  <c r="M142" i="17"/>
  <c r="N142" i="17"/>
  <c r="O142" i="17"/>
  <c r="P142" i="17"/>
  <c r="Q142" i="17"/>
  <c r="R142" i="17"/>
  <c r="G142" i="17"/>
  <c r="G141" i="17"/>
  <c r="G140" i="17"/>
  <c r="G139" i="17"/>
  <c r="G138" i="17"/>
  <c r="H127" i="17"/>
  <c r="I127" i="17"/>
  <c r="J127" i="17"/>
  <c r="K127" i="17"/>
  <c r="L127" i="17"/>
  <c r="M127" i="17"/>
  <c r="N127" i="17"/>
  <c r="O127" i="17"/>
  <c r="P127" i="17"/>
  <c r="Q127" i="17"/>
  <c r="R127" i="17"/>
  <c r="H128" i="17"/>
  <c r="I128" i="17"/>
  <c r="J128" i="17"/>
  <c r="K128" i="17"/>
  <c r="L128" i="17"/>
  <c r="M128" i="17"/>
  <c r="N128" i="17"/>
  <c r="O128" i="17"/>
  <c r="P128" i="17"/>
  <c r="Q128" i="17"/>
  <c r="R128" i="17"/>
  <c r="H129" i="17"/>
  <c r="I129" i="17"/>
  <c r="J129" i="17"/>
  <c r="K129" i="17"/>
  <c r="L129" i="17"/>
  <c r="M129" i="17"/>
  <c r="N129" i="17"/>
  <c r="O129" i="17"/>
  <c r="P129" i="17"/>
  <c r="Q129" i="17"/>
  <c r="R129" i="17"/>
  <c r="H130" i="17"/>
  <c r="I130" i="17"/>
  <c r="J130" i="17"/>
  <c r="K130" i="17"/>
  <c r="L130" i="17"/>
  <c r="M130" i="17"/>
  <c r="N130" i="17"/>
  <c r="O130" i="17"/>
  <c r="P130" i="17"/>
  <c r="Q130" i="17"/>
  <c r="R130" i="17"/>
  <c r="H131" i="17"/>
  <c r="I131" i="17"/>
  <c r="J131" i="17"/>
  <c r="K131" i="17"/>
  <c r="L131" i="17"/>
  <c r="M131" i="17"/>
  <c r="N131" i="17"/>
  <c r="O131" i="17"/>
  <c r="P131" i="17"/>
  <c r="Q131" i="17"/>
  <c r="R131" i="17"/>
  <c r="H132" i="17"/>
  <c r="I132" i="17"/>
  <c r="J132" i="17"/>
  <c r="K132" i="17"/>
  <c r="L132" i="17"/>
  <c r="M132" i="17"/>
  <c r="N132" i="17"/>
  <c r="O132" i="17"/>
  <c r="P132" i="17"/>
  <c r="Q132" i="17"/>
  <c r="R132" i="17"/>
  <c r="H133" i="17"/>
  <c r="I133" i="17"/>
  <c r="J133" i="17"/>
  <c r="K133" i="17"/>
  <c r="L133" i="17"/>
  <c r="M133" i="17"/>
  <c r="N133" i="17"/>
  <c r="O133" i="17"/>
  <c r="P133" i="17"/>
  <c r="Q133" i="17"/>
  <c r="R133" i="17"/>
  <c r="H134" i="17"/>
  <c r="I134" i="17"/>
  <c r="J134" i="17"/>
  <c r="K134" i="17"/>
  <c r="L134" i="17"/>
  <c r="M134" i="17"/>
  <c r="N134" i="17"/>
  <c r="O134" i="17"/>
  <c r="P134" i="17"/>
  <c r="Q134" i="17"/>
  <c r="R134" i="17"/>
  <c r="H135" i="17"/>
  <c r="I135" i="17"/>
  <c r="J135" i="17"/>
  <c r="K135" i="17"/>
  <c r="L135" i="17"/>
  <c r="M135" i="17"/>
  <c r="N135" i="17"/>
  <c r="O135" i="17"/>
  <c r="P135" i="17"/>
  <c r="Q135" i="17"/>
  <c r="R135" i="17"/>
  <c r="H136" i="17"/>
  <c r="I136" i="17"/>
  <c r="J136" i="17"/>
  <c r="K136" i="17"/>
  <c r="L136" i="17"/>
  <c r="M136" i="17"/>
  <c r="N136" i="17"/>
  <c r="O136" i="17"/>
  <c r="P136" i="17"/>
  <c r="Q136" i="17"/>
  <c r="R136" i="17"/>
  <c r="G136" i="17"/>
  <c r="G135" i="17"/>
  <c r="G134" i="17"/>
  <c r="G133" i="17"/>
  <c r="G132" i="17"/>
  <c r="G131" i="17"/>
  <c r="G130" i="17"/>
  <c r="G129" i="17"/>
  <c r="G128" i="17"/>
  <c r="G127" i="17"/>
  <c r="H119" i="17"/>
  <c r="I119" i="17"/>
  <c r="J119" i="17"/>
  <c r="K119" i="17"/>
  <c r="L119" i="17"/>
  <c r="M119" i="17"/>
  <c r="N119" i="17"/>
  <c r="O119" i="17"/>
  <c r="P119" i="17"/>
  <c r="Q119" i="17"/>
  <c r="R119" i="17"/>
  <c r="H120" i="17"/>
  <c r="I120" i="17"/>
  <c r="J120" i="17"/>
  <c r="K120" i="17"/>
  <c r="L120" i="17"/>
  <c r="M120" i="17"/>
  <c r="N120" i="17"/>
  <c r="O120" i="17"/>
  <c r="P120" i="17"/>
  <c r="Q120" i="17"/>
  <c r="R120" i="17"/>
  <c r="H121" i="17"/>
  <c r="I121" i="17"/>
  <c r="J121" i="17"/>
  <c r="K121" i="17"/>
  <c r="L121" i="17"/>
  <c r="M121" i="17"/>
  <c r="N121" i="17"/>
  <c r="O121" i="17"/>
  <c r="P121" i="17"/>
  <c r="Q121" i="17"/>
  <c r="R121" i="17"/>
  <c r="H122" i="17"/>
  <c r="I122" i="17"/>
  <c r="J122" i="17"/>
  <c r="K122" i="17"/>
  <c r="L122" i="17"/>
  <c r="M122" i="17"/>
  <c r="N122" i="17"/>
  <c r="O122" i="17"/>
  <c r="P122" i="17"/>
  <c r="Q122" i="17"/>
  <c r="R122" i="17"/>
  <c r="H123" i="17"/>
  <c r="I123" i="17"/>
  <c r="J123" i="17"/>
  <c r="K123" i="17"/>
  <c r="L123" i="17"/>
  <c r="M123" i="17"/>
  <c r="N123" i="17"/>
  <c r="O123" i="17"/>
  <c r="P123" i="17"/>
  <c r="Q123" i="17"/>
  <c r="R123" i="17"/>
  <c r="G123" i="17"/>
  <c r="G122" i="17"/>
  <c r="G121" i="17"/>
  <c r="G120" i="17"/>
  <c r="G119" i="17"/>
  <c r="G115" i="17"/>
  <c r="H107" i="17"/>
  <c r="I107" i="17"/>
  <c r="J107" i="17"/>
  <c r="K107" i="17"/>
  <c r="L107" i="17"/>
  <c r="M107" i="17"/>
  <c r="N107" i="17"/>
  <c r="O107" i="17"/>
  <c r="P107" i="17"/>
  <c r="Q107" i="17"/>
  <c r="R107" i="17"/>
  <c r="H108" i="17"/>
  <c r="I108" i="17"/>
  <c r="J108" i="17"/>
  <c r="K108" i="17"/>
  <c r="L108" i="17"/>
  <c r="M108" i="17"/>
  <c r="N108" i="17"/>
  <c r="O108" i="17"/>
  <c r="P108" i="17"/>
  <c r="Q108" i="17"/>
  <c r="R108" i="17"/>
  <c r="H109" i="17"/>
  <c r="I109" i="17"/>
  <c r="J109" i="17"/>
  <c r="K109" i="17"/>
  <c r="L109" i="17"/>
  <c r="M109" i="17"/>
  <c r="N109" i="17"/>
  <c r="O109" i="17"/>
  <c r="P109" i="17"/>
  <c r="Q109" i="17"/>
  <c r="R109" i="17"/>
  <c r="H110" i="17"/>
  <c r="I110" i="17"/>
  <c r="J110" i="17"/>
  <c r="K110" i="17"/>
  <c r="L110" i="17"/>
  <c r="M110" i="17"/>
  <c r="N110" i="17"/>
  <c r="O110" i="17"/>
  <c r="P110" i="17"/>
  <c r="Q110" i="17"/>
  <c r="R110" i="17"/>
  <c r="H111" i="17"/>
  <c r="I111" i="17"/>
  <c r="J111" i="17"/>
  <c r="K111" i="17"/>
  <c r="L111" i="17"/>
  <c r="M111" i="17"/>
  <c r="N111" i="17"/>
  <c r="O111" i="17"/>
  <c r="P111" i="17"/>
  <c r="Q111" i="17"/>
  <c r="R111" i="17"/>
  <c r="H112" i="17"/>
  <c r="I112" i="17"/>
  <c r="J112" i="17"/>
  <c r="K112" i="17"/>
  <c r="L112" i="17"/>
  <c r="M112" i="17"/>
  <c r="N112" i="17"/>
  <c r="O112" i="17"/>
  <c r="P112" i="17"/>
  <c r="Q112" i="17"/>
  <c r="R112" i="17"/>
  <c r="G108" i="17"/>
  <c r="G109" i="17"/>
  <c r="G110" i="17"/>
  <c r="G111" i="17"/>
  <c r="G112" i="17"/>
  <c r="G107" i="17"/>
  <c r="A161" i="17" l="1"/>
  <c r="A160" i="17"/>
  <c r="A159" i="17"/>
  <c r="A158" i="17"/>
  <c r="A157" i="17"/>
  <c r="A156" i="17"/>
  <c r="S155" i="17"/>
  <c r="T155" i="17" s="1"/>
  <c r="S148" i="17"/>
  <c r="T148" i="17" s="1"/>
  <c r="A148" i="17"/>
  <c r="A154" i="17"/>
  <c r="P152" i="17"/>
  <c r="O152" i="17"/>
  <c r="L152" i="17"/>
  <c r="H152" i="17"/>
  <c r="S153" i="17"/>
  <c r="T153" i="17" s="1"/>
  <c r="A153" i="17"/>
  <c r="R152" i="17"/>
  <c r="Q152" i="17"/>
  <c r="N152" i="17"/>
  <c r="M152" i="17"/>
  <c r="K152" i="17"/>
  <c r="J152" i="17"/>
  <c r="I152" i="17"/>
  <c r="G152" i="17"/>
  <c r="A152" i="17"/>
  <c r="A151" i="17"/>
  <c r="A150" i="17"/>
  <c r="S149" i="17"/>
  <c r="T149" i="17" s="1"/>
  <c r="S147" i="17"/>
  <c r="T147" i="17" s="1"/>
  <c r="A147" i="17"/>
  <c r="A146" i="17"/>
  <c r="S145" i="17"/>
  <c r="T145" i="17" s="1"/>
  <c r="A145" i="17"/>
  <c r="A144" i="17"/>
  <c r="S143" i="17"/>
  <c r="T143" i="17" s="1"/>
  <c r="A143" i="17"/>
  <c r="A142" i="17"/>
  <c r="S141" i="17"/>
  <c r="T141" i="17" s="1"/>
  <c r="A141" i="17"/>
  <c r="A140" i="17"/>
  <c r="S139" i="17"/>
  <c r="T139" i="17" s="1"/>
  <c r="A139" i="17"/>
  <c r="A138" i="17"/>
  <c r="P137" i="17"/>
  <c r="O137" i="17"/>
  <c r="L137" i="17"/>
  <c r="K137" i="17"/>
  <c r="H137" i="17"/>
  <c r="G137" i="17"/>
  <c r="A137" i="17"/>
  <c r="A136" i="17"/>
  <c r="S135" i="17"/>
  <c r="T135" i="17" s="1"/>
  <c r="A135" i="17"/>
  <c r="A134" i="17"/>
  <c r="S133" i="17"/>
  <c r="T133" i="17" s="1"/>
  <c r="A133" i="17"/>
  <c r="A132" i="17"/>
  <c r="S131" i="17"/>
  <c r="T131" i="17" s="1"/>
  <c r="A131" i="17"/>
  <c r="A130" i="17"/>
  <c r="S129" i="17"/>
  <c r="T129" i="17" s="1"/>
  <c r="A129" i="17"/>
  <c r="R126" i="17"/>
  <c r="Q126" i="17"/>
  <c r="N126" i="17"/>
  <c r="M126" i="17"/>
  <c r="J126" i="17"/>
  <c r="I126" i="17"/>
  <c r="A128" i="17"/>
  <c r="S127" i="17"/>
  <c r="T127" i="17" s="1"/>
  <c r="A127" i="17"/>
  <c r="P126" i="17"/>
  <c r="P124" i="17" s="1"/>
  <c r="O126" i="17"/>
  <c r="O124" i="17" s="1"/>
  <c r="L126" i="17"/>
  <c r="L124" i="17" s="1"/>
  <c r="K126" i="17"/>
  <c r="K124" i="17" s="1"/>
  <c r="H126" i="17"/>
  <c r="G126" i="17"/>
  <c r="G124" i="17" s="1"/>
  <c r="A126" i="17"/>
  <c r="A125" i="17"/>
  <c r="P125" i="17"/>
  <c r="O125" i="17"/>
  <c r="L125" i="17"/>
  <c r="A124" i="17"/>
  <c r="A123" i="17"/>
  <c r="S122" i="17"/>
  <c r="T122" i="17" s="1"/>
  <c r="A122" i="17"/>
  <c r="A121" i="17"/>
  <c r="S120" i="17"/>
  <c r="T120" i="17" s="1"/>
  <c r="A120" i="17"/>
  <c r="A119" i="17"/>
  <c r="S118" i="17"/>
  <c r="T118" i="17" s="1"/>
  <c r="A118" i="17"/>
  <c r="A117" i="17"/>
  <c r="S116" i="17"/>
  <c r="T116" i="17" s="1"/>
  <c r="A116" i="17"/>
  <c r="Q114" i="17"/>
  <c r="M114" i="17"/>
  <c r="I114" i="17"/>
  <c r="A115" i="17"/>
  <c r="P114" i="17"/>
  <c r="O114" i="17"/>
  <c r="L114" i="17"/>
  <c r="K114" i="17"/>
  <c r="H114" i="17"/>
  <c r="G114" i="17"/>
  <c r="A114" i="17"/>
  <c r="A113" i="17"/>
  <c r="S112" i="17"/>
  <c r="T112" i="17" s="1"/>
  <c r="A112" i="17"/>
  <c r="A111" i="17"/>
  <c r="S110" i="17"/>
  <c r="T110" i="17" s="1"/>
  <c r="A110" i="17"/>
  <c r="A109" i="17"/>
  <c r="S108" i="17"/>
  <c r="T108" i="17" s="1"/>
  <c r="A108" i="17"/>
  <c r="A107" i="17"/>
  <c r="P106" i="17"/>
  <c r="O106" i="17"/>
  <c r="L106" i="17"/>
  <c r="K106" i="17"/>
  <c r="H106" i="17"/>
  <c r="G106" i="17"/>
  <c r="A106" i="17"/>
  <c r="H105" i="17"/>
  <c r="A105" i="17"/>
  <c r="T103" i="17"/>
  <c r="T102" i="17"/>
  <c r="R101" i="17"/>
  <c r="Q101" i="17"/>
  <c r="P101" i="17"/>
  <c r="O101" i="17"/>
  <c r="N101" i="17"/>
  <c r="M101" i="17"/>
  <c r="L101" i="17"/>
  <c r="K101" i="17"/>
  <c r="J101" i="17"/>
  <c r="I101" i="17"/>
  <c r="H101" i="17"/>
  <c r="G101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R58" i="17"/>
  <c r="Q58" i="17"/>
  <c r="Q57" i="17" s="1"/>
  <c r="P58" i="17"/>
  <c r="P57" i="17" s="1"/>
  <c r="O58" i="17"/>
  <c r="O57" i="17" s="1"/>
  <c r="N58" i="17"/>
  <c r="M58" i="17"/>
  <c r="M57" i="17" s="1"/>
  <c r="L58" i="17"/>
  <c r="L57" i="17" s="1"/>
  <c r="K58" i="17"/>
  <c r="K57" i="17" s="1"/>
  <c r="J58" i="17"/>
  <c r="I58" i="17"/>
  <c r="I57" i="17" s="1"/>
  <c r="H58" i="17"/>
  <c r="H57" i="17" s="1"/>
  <c r="G58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R43" i="17"/>
  <c r="Q43" i="17"/>
  <c r="Q42" i="17" s="1"/>
  <c r="P43" i="17"/>
  <c r="O43" i="17"/>
  <c r="N43" i="17"/>
  <c r="M43" i="17"/>
  <c r="L43" i="17"/>
  <c r="L42" i="17" s="1"/>
  <c r="K43" i="17"/>
  <c r="J43" i="17"/>
  <c r="I43" i="17"/>
  <c r="I42" i="17" s="1"/>
  <c r="H43" i="17"/>
  <c r="G43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R33" i="17"/>
  <c r="Q33" i="17"/>
  <c r="P33" i="17"/>
  <c r="O33" i="17"/>
  <c r="N33" i="17"/>
  <c r="M33" i="17"/>
  <c r="L33" i="17"/>
  <c r="K33" i="17"/>
  <c r="J33" i="17"/>
  <c r="H33" i="17"/>
  <c r="G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R12" i="17"/>
  <c r="Q12" i="17"/>
  <c r="P12" i="17"/>
  <c r="O12" i="17"/>
  <c r="N12" i="17"/>
  <c r="M12" i="17"/>
  <c r="L12" i="17"/>
  <c r="K12" i="17"/>
  <c r="J12" i="17"/>
  <c r="I12" i="17"/>
  <c r="H12" i="17"/>
  <c r="H11" i="17" s="1"/>
  <c r="G12" i="17"/>
  <c r="R5" i="17"/>
  <c r="Q5" i="17"/>
  <c r="P5" i="17"/>
  <c r="O5" i="17"/>
  <c r="N5" i="17"/>
  <c r="M5" i="17"/>
  <c r="L5" i="17"/>
  <c r="K5" i="17"/>
  <c r="J5" i="17"/>
  <c r="H51" i="11" s="1"/>
  <c r="I5" i="17"/>
  <c r="H5" i="17"/>
  <c r="G5" i="17"/>
  <c r="G11" i="2"/>
  <c r="M42" i="17" l="1"/>
  <c r="I11" i="17"/>
  <c r="Q11" i="17"/>
  <c r="I31" i="17"/>
  <c r="I29" i="17" s="1"/>
  <c r="I30" i="17" s="1"/>
  <c r="Q31" i="17"/>
  <c r="Q29" i="17" s="1"/>
  <c r="Q30" i="17" s="1"/>
  <c r="R11" i="17"/>
  <c r="R10" i="17" s="1"/>
  <c r="G63" i="11"/>
  <c r="G64" i="11"/>
  <c r="G65" i="11"/>
  <c r="J11" i="17"/>
  <c r="J10" i="17" s="1"/>
  <c r="H31" i="17"/>
  <c r="N11" i="17"/>
  <c r="N10" i="17" s="1"/>
  <c r="P11" i="17"/>
  <c r="P10" i="17" s="1"/>
  <c r="J31" i="17"/>
  <c r="H125" i="17"/>
  <c r="H124" i="17"/>
  <c r="H12" i="11"/>
  <c r="N31" i="17"/>
  <c r="L31" i="17"/>
  <c r="L29" i="17" s="1"/>
  <c r="L30" i="17" s="1"/>
  <c r="R31" i="17"/>
  <c r="H43" i="11"/>
  <c r="H50" i="11"/>
  <c r="H28" i="11"/>
  <c r="H17" i="11"/>
  <c r="H18" i="11"/>
  <c r="H65" i="11"/>
  <c r="G60" i="11"/>
  <c r="H23" i="11"/>
  <c r="H21" i="11"/>
  <c r="H64" i="11"/>
  <c r="H63" i="11"/>
  <c r="H22" i="11"/>
  <c r="H46" i="11"/>
  <c r="H37" i="11"/>
  <c r="H32" i="11"/>
  <c r="H45" i="11"/>
  <c r="H49" i="11"/>
  <c r="H48" i="11"/>
  <c r="H24" i="11"/>
  <c r="H26" i="11"/>
  <c r="H20" i="11"/>
  <c r="H54" i="11"/>
  <c r="H59" i="11"/>
  <c r="H33" i="11"/>
  <c r="H36" i="11"/>
  <c r="H39" i="11"/>
  <c r="H58" i="11"/>
  <c r="H38" i="11"/>
  <c r="H44" i="11"/>
  <c r="H47" i="11"/>
  <c r="H27" i="11"/>
  <c r="H15" i="11"/>
  <c r="H25" i="11"/>
  <c r="P105" i="17"/>
  <c r="H60" i="11"/>
  <c r="H35" i="11"/>
  <c r="H52" i="11"/>
  <c r="H53" i="11"/>
  <c r="H34" i="11"/>
  <c r="H41" i="11"/>
  <c r="H40" i="11"/>
  <c r="H14" i="11"/>
  <c r="H13" i="11"/>
  <c r="H16" i="11"/>
  <c r="P42" i="17"/>
  <c r="H42" i="17"/>
  <c r="H150" i="17"/>
  <c r="H151" i="17" s="1"/>
  <c r="P150" i="17"/>
  <c r="P156" i="17" s="1"/>
  <c r="H31" i="11"/>
  <c r="H57" i="11"/>
  <c r="O42" i="17"/>
  <c r="M11" i="17"/>
  <c r="M10" i="17" s="1"/>
  <c r="M31" i="17"/>
  <c r="M29" i="17" s="1"/>
  <c r="M30" i="17" s="1"/>
  <c r="P31" i="17"/>
  <c r="K42" i="17"/>
  <c r="S12" i="17"/>
  <c r="T12" i="17" s="1"/>
  <c r="G12" i="11"/>
  <c r="S17" i="17"/>
  <c r="T17" i="17" s="1"/>
  <c r="G17" i="11"/>
  <c r="S21" i="17"/>
  <c r="T21" i="17" s="1"/>
  <c r="G21" i="11"/>
  <c r="S25" i="17"/>
  <c r="T25" i="17" s="1"/>
  <c r="G25" i="11"/>
  <c r="G33" i="11"/>
  <c r="S37" i="17"/>
  <c r="T37" i="17" s="1"/>
  <c r="G37" i="11"/>
  <c r="S41" i="17"/>
  <c r="T41" i="17" s="1"/>
  <c r="G41" i="11"/>
  <c r="S45" i="17"/>
  <c r="T45" i="17" s="1"/>
  <c r="G45" i="11"/>
  <c r="S49" i="17"/>
  <c r="T49" i="17" s="1"/>
  <c r="G49" i="11"/>
  <c r="S53" i="17"/>
  <c r="T53" i="17" s="1"/>
  <c r="G53" i="11"/>
  <c r="S16" i="17"/>
  <c r="T16" i="17" s="1"/>
  <c r="G16" i="11"/>
  <c r="S20" i="17"/>
  <c r="T20" i="17" s="1"/>
  <c r="G20" i="11"/>
  <c r="S24" i="17"/>
  <c r="T24" i="17" s="1"/>
  <c r="G24" i="11"/>
  <c r="S28" i="17"/>
  <c r="T28" i="17" s="1"/>
  <c r="G28" i="11"/>
  <c r="S48" i="17"/>
  <c r="T48" i="17" s="1"/>
  <c r="G48" i="11"/>
  <c r="S65" i="17"/>
  <c r="T65" i="17" s="1"/>
  <c r="S13" i="17"/>
  <c r="T13" i="17" s="1"/>
  <c r="G13" i="11"/>
  <c r="G14" i="11"/>
  <c r="S18" i="17"/>
  <c r="T18" i="17" s="1"/>
  <c r="G18" i="11"/>
  <c r="S22" i="17"/>
  <c r="T22" i="17" s="1"/>
  <c r="G22" i="11"/>
  <c r="S26" i="17"/>
  <c r="T26" i="17" s="1"/>
  <c r="G26" i="11"/>
  <c r="S34" i="17"/>
  <c r="T34" i="17" s="1"/>
  <c r="G34" i="11"/>
  <c r="S38" i="17"/>
  <c r="T38" i="17" s="1"/>
  <c r="G38" i="11"/>
  <c r="S46" i="17"/>
  <c r="T46" i="17" s="1"/>
  <c r="G46" i="11"/>
  <c r="S50" i="17"/>
  <c r="T50" i="17" s="1"/>
  <c r="G50" i="11"/>
  <c r="G54" i="11"/>
  <c r="G57" i="17"/>
  <c r="G58" i="11"/>
  <c r="S63" i="17"/>
  <c r="T63" i="17" s="1"/>
  <c r="S32" i="17"/>
  <c r="T32" i="17" s="1"/>
  <c r="G32" i="11"/>
  <c r="S36" i="17"/>
  <c r="T36" i="17" s="1"/>
  <c r="G36" i="11"/>
  <c r="S40" i="17"/>
  <c r="T40" i="17" s="1"/>
  <c r="G40" i="11"/>
  <c r="S44" i="17"/>
  <c r="T44" i="17" s="1"/>
  <c r="G44" i="11"/>
  <c r="S52" i="17"/>
  <c r="T52" i="17" s="1"/>
  <c r="G52" i="11"/>
  <c r="S15" i="17"/>
  <c r="T15" i="17" s="1"/>
  <c r="G15" i="11"/>
  <c r="S19" i="17"/>
  <c r="T19" i="17" s="1"/>
  <c r="G19" i="11"/>
  <c r="S23" i="17"/>
  <c r="T23" i="17" s="1"/>
  <c r="G23" i="11"/>
  <c r="S27" i="17"/>
  <c r="T27" i="17" s="1"/>
  <c r="G27" i="11"/>
  <c r="S35" i="17"/>
  <c r="T35" i="17" s="1"/>
  <c r="G35" i="11"/>
  <c r="S39" i="17"/>
  <c r="T39" i="17" s="1"/>
  <c r="G39" i="11"/>
  <c r="S43" i="17"/>
  <c r="T43" i="17" s="1"/>
  <c r="G43" i="11"/>
  <c r="S47" i="17"/>
  <c r="T47" i="17" s="1"/>
  <c r="G47" i="11"/>
  <c r="S51" i="17"/>
  <c r="T51" i="17" s="1"/>
  <c r="G51" i="11"/>
  <c r="S59" i="17"/>
  <c r="T59" i="17" s="1"/>
  <c r="G59" i="11"/>
  <c r="K105" i="17"/>
  <c r="K125" i="17"/>
  <c r="O105" i="17"/>
  <c r="O150" i="17" s="1"/>
  <c r="O151" i="17" s="1"/>
  <c r="L105" i="17"/>
  <c r="L150" i="17" s="1"/>
  <c r="L156" i="17" s="1"/>
  <c r="G105" i="17"/>
  <c r="K31" i="17"/>
  <c r="O31" i="17"/>
  <c r="Q10" i="17"/>
  <c r="J42" i="17"/>
  <c r="N42" i="17"/>
  <c r="R42" i="17"/>
  <c r="I10" i="17"/>
  <c r="L11" i="17"/>
  <c r="L10" i="17" s="1"/>
  <c r="H10" i="17"/>
  <c r="K11" i="17"/>
  <c r="K10" i="17" s="1"/>
  <c r="O11" i="17"/>
  <c r="O10" i="17" s="1"/>
  <c r="G11" i="17"/>
  <c r="G42" i="17"/>
  <c r="G31" i="17"/>
  <c r="S152" i="17"/>
  <c r="T152" i="17" s="1"/>
  <c r="J114" i="17"/>
  <c r="N114" i="17"/>
  <c r="R114" i="17"/>
  <c r="I137" i="17"/>
  <c r="M137" i="17"/>
  <c r="M124" i="17" s="1"/>
  <c r="Q137" i="17"/>
  <c r="Q124" i="17" s="1"/>
  <c r="S14" i="17"/>
  <c r="T14" i="17" s="1"/>
  <c r="S33" i="17"/>
  <c r="T33" i="17" s="1"/>
  <c r="S54" i="17"/>
  <c r="T54" i="17" s="1"/>
  <c r="S60" i="17"/>
  <c r="T60" i="17" s="1"/>
  <c r="S64" i="17"/>
  <c r="T64" i="17" s="1"/>
  <c r="I106" i="17"/>
  <c r="I105" i="17" s="1"/>
  <c r="M106" i="17"/>
  <c r="M105" i="17" s="1"/>
  <c r="Q106" i="17"/>
  <c r="Q105" i="17" s="1"/>
  <c r="J137" i="17"/>
  <c r="J124" i="17" s="1"/>
  <c r="N137" i="17"/>
  <c r="R137" i="17"/>
  <c r="P151" i="17"/>
  <c r="S154" i="17"/>
  <c r="T154" i="17" s="1"/>
  <c r="J57" i="17"/>
  <c r="N57" i="17"/>
  <c r="R57" i="17"/>
  <c r="J106" i="17"/>
  <c r="N106" i="17"/>
  <c r="R106" i="17"/>
  <c r="S58" i="17"/>
  <c r="T58" i="17" s="1"/>
  <c r="S107" i="17"/>
  <c r="T107" i="17" s="1"/>
  <c r="S109" i="17"/>
  <c r="T109" i="17" s="1"/>
  <c r="S111" i="17"/>
  <c r="T111" i="17" s="1"/>
  <c r="S113" i="17"/>
  <c r="T113" i="17" s="1"/>
  <c r="S115" i="17"/>
  <c r="T115" i="17" s="1"/>
  <c r="S117" i="17"/>
  <c r="T117" i="17" s="1"/>
  <c r="S119" i="17"/>
  <c r="T119" i="17" s="1"/>
  <c r="S121" i="17"/>
  <c r="T121" i="17" s="1"/>
  <c r="S123" i="17"/>
  <c r="T123" i="17" s="1"/>
  <c r="S126" i="17"/>
  <c r="T126" i="17" s="1"/>
  <c r="S128" i="17"/>
  <c r="T128" i="17" s="1"/>
  <c r="S130" i="17"/>
  <c r="T130" i="17" s="1"/>
  <c r="S132" i="17"/>
  <c r="T132" i="17" s="1"/>
  <c r="S134" i="17"/>
  <c r="T134" i="17" s="1"/>
  <c r="S136" i="17"/>
  <c r="T136" i="17" s="1"/>
  <c r="S138" i="17"/>
  <c r="T138" i="17" s="1"/>
  <c r="S140" i="17"/>
  <c r="T140" i="17" s="1"/>
  <c r="S142" i="17"/>
  <c r="T142" i="17" s="1"/>
  <c r="S144" i="17"/>
  <c r="T144" i="17" s="1"/>
  <c r="S146" i="17"/>
  <c r="T146" i="17" s="1"/>
  <c r="H29" i="17" l="1"/>
  <c r="H30" i="17" s="1"/>
  <c r="J65" i="11"/>
  <c r="I65" i="11"/>
  <c r="J64" i="11"/>
  <c r="I64" i="11"/>
  <c r="J63" i="11"/>
  <c r="I63" i="11"/>
  <c r="J29" i="17"/>
  <c r="J30" i="17" s="1"/>
  <c r="P29" i="17"/>
  <c r="P30" i="17" s="1"/>
  <c r="N29" i="17"/>
  <c r="N30" i="17" s="1"/>
  <c r="H19" i="11"/>
  <c r="Q125" i="17"/>
  <c r="M125" i="17"/>
  <c r="R124" i="17"/>
  <c r="R125" i="17" s="1"/>
  <c r="I124" i="17"/>
  <c r="I125" i="17" s="1"/>
  <c r="N124" i="17"/>
  <c r="N125" i="17" s="1"/>
  <c r="J125" i="17"/>
  <c r="R29" i="17"/>
  <c r="R30" i="17" s="1"/>
  <c r="H156" i="17"/>
  <c r="I60" i="11"/>
  <c r="J105" i="17"/>
  <c r="N105" i="17"/>
  <c r="H11" i="11"/>
  <c r="G150" i="17"/>
  <c r="G151" i="17" s="1"/>
  <c r="O29" i="17"/>
  <c r="O30" i="17" s="1"/>
  <c r="K29" i="17"/>
  <c r="K30" i="17" s="1"/>
  <c r="L151" i="17"/>
  <c r="K150" i="17"/>
  <c r="K156" i="17" s="1"/>
  <c r="K161" i="17" s="1"/>
  <c r="K157" i="17" s="1"/>
  <c r="H42" i="11"/>
  <c r="G125" i="17"/>
  <c r="S57" i="17"/>
  <c r="T57" i="17" s="1"/>
  <c r="S11" i="17"/>
  <c r="T11" i="17" s="1"/>
  <c r="G11" i="11"/>
  <c r="S31" i="17"/>
  <c r="T31" i="17" s="1"/>
  <c r="G31" i="11"/>
  <c r="G57" i="11"/>
  <c r="S42" i="17"/>
  <c r="T42" i="17" s="1"/>
  <c r="G42" i="11"/>
  <c r="R105" i="17"/>
  <c r="L55" i="17"/>
  <c r="L56" i="17" s="1"/>
  <c r="I150" i="17"/>
  <c r="I151" i="17" s="1"/>
  <c r="O156" i="17"/>
  <c r="O161" i="17" s="1"/>
  <c r="O157" i="17" s="1"/>
  <c r="H55" i="17"/>
  <c r="H56" i="17" s="1"/>
  <c r="S114" i="17"/>
  <c r="T114" i="17" s="1"/>
  <c r="I55" i="17"/>
  <c r="I56" i="17" s="1"/>
  <c r="G10" i="17"/>
  <c r="S10" i="17" s="1"/>
  <c r="T10" i="17" s="1"/>
  <c r="Q55" i="17"/>
  <c r="Q56" i="17" s="1"/>
  <c r="G29" i="17"/>
  <c r="L161" i="17"/>
  <c r="L157" i="17" s="1"/>
  <c r="M55" i="17"/>
  <c r="M61" i="17" s="1"/>
  <c r="M66" i="17" s="1"/>
  <c r="M62" i="17" s="1"/>
  <c r="P161" i="17"/>
  <c r="P157" i="17" s="1"/>
  <c r="S137" i="17"/>
  <c r="T137" i="17" s="1"/>
  <c r="S158" i="17"/>
  <c r="T158" i="17" s="1"/>
  <c r="S160" i="17"/>
  <c r="T160" i="17" s="1"/>
  <c r="Q150" i="17"/>
  <c r="H161" i="17"/>
  <c r="H157" i="17" s="1"/>
  <c r="R150" i="17"/>
  <c r="M150" i="17"/>
  <c r="S159" i="17"/>
  <c r="T159" i="17" s="1"/>
  <c r="S106" i="17"/>
  <c r="T106" i="17" s="1"/>
  <c r="N150" i="17" l="1"/>
  <c r="N156" i="17" s="1"/>
  <c r="N161" i="17" s="1"/>
  <c r="N157" i="17" s="1"/>
  <c r="S124" i="17"/>
  <c r="T124" i="17" s="1"/>
  <c r="G156" i="17"/>
  <c r="G161" i="17" s="1"/>
  <c r="K151" i="17"/>
  <c r="R55" i="17"/>
  <c r="R56" i="17" s="1"/>
  <c r="I11" i="11"/>
  <c r="J55" i="17"/>
  <c r="J56" i="17" s="1"/>
  <c r="N55" i="17"/>
  <c r="N61" i="17" s="1"/>
  <c r="N66" i="17" s="1"/>
  <c r="N62" i="17" s="1"/>
  <c r="P55" i="17"/>
  <c r="P61" i="17" s="1"/>
  <c r="P66" i="17" s="1"/>
  <c r="P62" i="17" s="1"/>
  <c r="O55" i="17"/>
  <c r="O61" i="17" s="1"/>
  <c r="O66" i="17" s="1"/>
  <c r="O62" i="17" s="1"/>
  <c r="S125" i="17"/>
  <c r="T125" i="17" s="1"/>
  <c r="H29" i="11"/>
  <c r="S105" i="17"/>
  <c r="T105" i="17" s="1"/>
  <c r="K55" i="17"/>
  <c r="K61" i="17" s="1"/>
  <c r="K66" i="17" s="1"/>
  <c r="K62" i="17" s="1"/>
  <c r="J150" i="17"/>
  <c r="H10" i="11"/>
  <c r="H30" i="11"/>
  <c r="H55" i="11"/>
  <c r="L61" i="17"/>
  <c r="L66" i="17" s="1"/>
  <c r="L62" i="17" s="1"/>
  <c r="G10" i="11"/>
  <c r="S29" i="17"/>
  <c r="T29" i="17" s="1"/>
  <c r="G29" i="11"/>
  <c r="H16" i="1" s="1"/>
  <c r="I16" i="1" s="1"/>
  <c r="I156" i="17"/>
  <c r="I161" i="17" s="1"/>
  <c r="I157" i="17" s="1"/>
  <c r="N151" i="17"/>
  <c r="H61" i="17"/>
  <c r="H66" i="17" s="1"/>
  <c r="H62" i="17" s="1"/>
  <c r="Q61" i="17"/>
  <c r="Q66" i="17" s="1"/>
  <c r="Q62" i="17" s="1"/>
  <c r="I61" i="17"/>
  <c r="I66" i="17" s="1"/>
  <c r="I62" i="17" s="1"/>
  <c r="N56" i="17"/>
  <c r="M56" i="17"/>
  <c r="G30" i="17"/>
  <c r="G55" i="17"/>
  <c r="R151" i="17"/>
  <c r="R156" i="17"/>
  <c r="R161" i="17" s="1"/>
  <c r="R157" i="17" s="1"/>
  <c r="S150" i="17"/>
  <c r="T150" i="17" s="1"/>
  <c r="Q151" i="17"/>
  <c r="Q156" i="17"/>
  <c r="Q161" i="17" s="1"/>
  <c r="Q157" i="17" s="1"/>
  <c r="J151" i="17"/>
  <c r="J156" i="17"/>
  <c r="M151" i="17"/>
  <c r="M156" i="17"/>
  <c r="M161" i="17" s="1"/>
  <c r="M157" i="17" s="1"/>
  <c r="G157" i="17"/>
  <c r="H12" i="1" l="1"/>
  <c r="I12" i="1" s="1"/>
  <c r="I10" i="11"/>
  <c r="J61" i="17"/>
  <c r="J66" i="17" s="1"/>
  <c r="J62" i="17" s="1"/>
  <c r="R61" i="17"/>
  <c r="R66" i="17" s="1"/>
  <c r="R62" i="17" s="1"/>
  <c r="P56" i="17"/>
  <c r="O56" i="17"/>
  <c r="K56" i="17"/>
  <c r="H56" i="11"/>
  <c r="H61" i="11"/>
  <c r="J60" i="11" s="1"/>
  <c r="S55" i="17"/>
  <c r="T55" i="17" s="1"/>
  <c r="G55" i="11"/>
  <c r="H20" i="1" s="1"/>
  <c r="I20" i="1" s="1"/>
  <c r="S30" i="17"/>
  <c r="T30" i="17" s="1"/>
  <c r="G30" i="11"/>
  <c r="S151" i="17"/>
  <c r="T151" i="17" s="1"/>
  <c r="G56" i="17"/>
  <c r="G61" i="17"/>
  <c r="J161" i="17"/>
  <c r="H66" i="11" s="1"/>
  <c r="S156" i="17"/>
  <c r="T156" i="17" s="1"/>
  <c r="G61" i="11" l="1"/>
  <c r="S61" i="17"/>
  <c r="T61" i="17" s="1"/>
  <c r="S56" i="17"/>
  <c r="T56" i="17" s="1"/>
  <c r="G56" i="11"/>
  <c r="G66" i="17"/>
  <c r="G66" i="11" s="1"/>
  <c r="J157" i="17"/>
  <c r="S161" i="17"/>
  <c r="T161" i="17" s="1"/>
  <c r="J66" i="11" l="1"/>
  <c r="I66" i="11"/>
  <c r="I61" i="11"/>
  <c r="J61" i="11"/>
  <c r="G62" i="17"/>
  <c r="S157" i="17"/>
  <c r="T157" i="17" s="1"/>
  <c r="H62" i="11"/>
  <c r="S66" i="17"/>
  <c r="T66" i="17" s="1"/>
  <c r="G62" i="11" l="1"/>
  <c r="S62" i="17"/>
  <c r="T62" i="17" s="1"/>
  <c r="G12" i="2"/>
  <c r="I62" i="11" l="1"/>
  <c r="H54" i="16"/>
  <c r="I54" i="16"/>
  <c r="J54" i="16"/>
  <c r="K54" i="16"/>
  <c r="L54" i="16"/>
  <c r="M54" i="16"/>
  <c r="N54" i="16"/>
  <c r="O54" i="16"/>
  <c r="P54" i="16"/>
  <c r="Q54" i="16"/>
  <c r="R54" i="16"/>
  <c r="G54" i="16"/>
  <c r="H155" i="13" l="1"/>
  <c r="I155" i="13"/>
  <c r="J155" i="13"/>
  <c r="K155" i="13"/>
  <c r="L155" i="13"/>
  <c r="M155" i="13"/>
  <c r="N155" i="13"/>
  <c r="O155" i="13"/>
  <c r="P155" i="13"/>
  <c r="Q155" i="13"/>
  <c r="R155" i="13"/>
  <c r="G155" i="13"/>
  <c r="S155" i="13" l="1"/>
  <c r="T155" i="13" s="1"/>
  <c r="H60" i="13"/>
  <c r="I60" i="13"/>
  <c r="J60" i="13"/>
  <c r="K60" i="13"/>
  <c r="L60" i="13"/>
  <c r="M60" i="13"/>
  <c r="N60" i="13"/>
  <c r="O60" i="13"/>
  <c r="P60" i="13"/>
  <c r="Q60" i="13"/>
  <c r="R60" i="13"/>
  <c r="G60" i="13"/>
  <c r="S60" i="13" l="1"/>
  <c r="T60" i="13" s="1"/>
  <c r="G64" i="13" l="1"/>
  <c r="A160" i="16" l="1"/>
  <c r="A159" i="16"/>
  <c r="A158" i="16"/>
  <c r="A157" i="16"/>
  <c r="A156" i="16"/>
  <c r="A155" i="16"/>
  <c r="G154" i="16"/>
  <c r="A154" i="16"/>
  <c r="M154" i="16" s="1"/>
  <c r="G153" i="16"/>
  <c r="A153" i="16"/>
  <c r="M153" i="16" s="1"/>
  <c r="I152" i="16"/>
  <c r="G152" i="16"/>
  <c r="A152" i="16"/>
  <c r="M152" i="16" s="1"/>
  <c r="A151" i="16"/>
  <c r="A150" i="16"/>
  <c r="A149" i="16"/>
  <c r="G148" i="16"/>
  <c r="S148" i="16" s="1"/>
  <c r="T148" i="16" s="1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I153" i="16" l="1"/>
  <c r="N143" i="16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Q58" i="16"/>
  <c r="G137" i="16"/>
  <c r="K137" i="16"/>
  <c r="O137" i="16"/>
  <c r="I137" i="16"/>
  <c r="M137" i="16"/>
  <c r="Q137" i="16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N10" i="16" l="1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G124" i="16"/>
  <c r="G125" i="16" s="1"/>
  <c r="R105" i="16"/>
  <c r="I29" i="16"/>
  <c r="H10" i="16"/>
  <c r="I124" i="16"/>
  <c r="I125" i="16" s="1"/>
  <c r="G10" i="16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N30" i="16"/>
  <c r="J149" i="16"/>
  <c r="J150" i="16" s="1"/>
  <c r="L149" i="16"/>
  <c r="L155" i="16" s="1"/>
  <c r="L160" i="16" s="1"/>
  <c r="L156" i="16" s="1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Q155" i="16"/>
  <c r="Q160" i="16" s="1"/>
  <c r="Q156" i="16" s="1"/>
  <c r="R149" i="16"/>
  <c r="R150" i="16" s="1"/>
  <c r="G55" i="16"/>
  <c r="S124" i="16"/>
  <c r="T124" i="16" s="1"/>
  <c r="Q55" i="16"/>
  <c r="Q56" i="16" s="1"/>
  <c r="P149" i="16"/>
  <c r="P150" i="16" s="1"/>
  <c r="S29" i="16"/>
  <c r="T29" i="16" s="1"/>
  <c r="R55" i="16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G149" i="16"/>
  <c r="S105" i="16"/>
  <c r="T105" i="16" s="1"/>
  <c r="M125" i="16"/>
  <c r="S125" i="16" s="1"/>
  <c r="T125" i="16" s="1"/>
  <c r="M149" i="16"/>
  <c r="S151" i="16"/>
  <c r="T151" i="16" s="1"/>
  <c r="L150" i="16" l="1"/>
  <c r="K155" i="16"/>
  <c r="K160" i="16" s="1"/>
  <c r="K156" i="16" s="1"/>
  <c r="R56" i="16"/>
  <c r="Q57" i="16"/>
  <c r="P57" i="16"/>
  <c r="O66" i="16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R66" i="16" l="1"/>
  <c r="R57" i="16"/>
  <c r="O62" i="16"/>
  <c r="G57" i="16"/>
  <c r="S56" i="16"/>
  <c r="N66" i="16"/>
  <c r="M66" i="16"/>
  <c r="J66" i="16"/>
  <c r="I66" i="16"/>
  <c r="H66" i="16"/>
  <c r="G160" i="16"/>
  <c r="S155" i="16"/>
  <c r="T155" i="16" s="1"/>
  <c r="G62" i="16"/>
  <c r="S150" i="16"/>
  <c r="T150" i="16" s="1"/>
  <c r="R62" i="16" l="1"/>
  <c r="S57" i="16"/>
  <c r="T57" i="16" s="1"/>
  <c r="S61" i="16"/>
  <c r="T61" i="16" s="1"/>
  <c r="T56" i="16"/>
  <c r="N62" i="16"/>
  <c r="M62" i="16"/>
  <c r="J62" i="16"/>
  <c r="I62" i="16"/>
  <c r="S66" i="16"/>
  <c r="H62" i="16"/>
  <c r="S160" i="16"/>
  <c r="T160" i="16" s="1"/>
  <c r="G156" i="16"/>
  <c r="S156" i="16" s="1"/>
  <c r="T156" i="16" s="1"/>
  <c r="T66" i="16" l="1"/>
  <c r="S62" i="16"/>
  <c r="T62" i="16" s="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H146" i="13" l="1"/>
  <c r="I146" i="13"/>
  <c r="J146" i="13"/>
  <c r="K146" i="13"/>
  <c r="L146" i="13"/>
  <c r="M146" i="13"/>
  <c r="N146" i="13"/>
  <c r="O146" i="13"/>
  <c r="P146" i="13"/>
  <c r="Q146" i="13"/>
  <c r="R146" i="13"/>
  <c r="G146" i="13" l="1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9" i="2" l="1"/>
  <c r="G18" i="2"/>
  <c r="G13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R64" i="13"/>
  <c r="Q64" i="13"/>
  <c r="P64" i="13"/>
  <c r="O64" i="13"/>
  <c r="N64" i="13"/>
  <c r="M64" i="13"/>
  <c r="L64" i="13"/>
  <c r="K64" i="13"/>
  <c r="J64" i="13"/>
  <c r="I64" i="13"/>
  <c r="H64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K60" i="11" s="1"/>
  <c r="M60" i="11" s="1"/>
  <c r="L60" i="11" l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65" i="11"/>
  <c r="K26" i="11"/>
  <c r="K27" i="11"/>
  <c r="K28" i="11"/>
  <c r="K32" i="11"/>
  <c r="K33" i="11"/>
  <c r="K34" i="11"/>
  <c r="K35" i="11"/>
  <c r="K36" i="11"/>
  <c r="K37" i="11"/>
  <c r="K38" i="11"/>
  <c r="K39" i="11"/>
  <c r="K40" i="11"/>
  <c r="K41" i="11"/>
  <c r="K43" i="11"/>
  <c r="K44" i="11"/>
  <c r="K45" i="11"/>
  <c r="K46" i="11"/>
  <c r="K47" i="11"/>
  <c r="K48" i="11"/>
  <c r="K49" i="11"/>
  <c r="L49" i="11" s="1"/>
  <c r="K50" i="11"/>
  <c r="K51" i="11"/>
  <c r="K52" i="11"/>
  <c r="K53" i="11"/>
  <c r="K54" i="11"/>
  <c r="K58" i="11"/>
  <c r="K59" i="11"/>
  <c r="K63" i="11"/>
  <c r="K64" i="11"/>
  <c r="L64" i="11" s="1"/>
  <c r="K57" i="13"/>
  <c r="O57" i="13"/>
  <c r="H57" i="13"/>
  <c r="L57" i="13"/>
  <c r="P57" i="13"/>
  <c r="S58" i="13"/>
  <c r="T58" i="13" s="1"/>
  <c r="J57" i="13"/>
  <c r="N57" i="13"/>
  <c r="R57" i="13"/>
  <c r="S63" i="13"/>
  <c r="T63" i="13" s="1"/>
  <c r="G42" i="13"/>
  <c r="K42" i="13"/>
  <c r="O42" i="13"/>
  <c r="I42" i="13"/>
  <c r="M42" i="13"/>
  <c r="Q42" i="13"/>
  <c r="S48" i="13"/>
  <c r="T48" i="13" s="1"/>
  <c r="S52" i="13"/>
  <c r="T52" i="13" s="1"/>
  <c r="R11" i="13"/>
  <c r="P11" i="13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I11" i="13"/>
  <c r="M11" i="13"/>
  <c r="Q11" i="13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S32" i="13"/>
  <c r="T32" i="13" s="1"/>
  <c r="S44" i="13"/>
  <c r="T44" i="13" s="1"/>
  <c r="S65" i="13"/>
  <c r="T65" i="13" s="1"/>
  <c r="G11" i="13"/>
  <c r="Q106" i="13"/>
  <c r="S136" i="13"/>
  <c r="T136" i="13" s="1"/>
  <c r="S138" i="13"/>
  <c r="T138" i="13" s="1"/>
  <c r="R35" i="12"/>
  <c r="R19" i="12"/>
  <c r="M63" i="11" l="1"/>
  <c r="L63" i="11"/>
  <c r="L65" i="11"/>
  <c r="M65" i="11"/>
  <c r="K31" i="11"/>
  <c r="K57" i="11"/>
  <c r="K42" i="11"/>
  <c r="K11" i="11"/>
  <c r="L11" i="11" s="1"/>
  <c r="R10" i="13"/>
  <c r="Q10" i="13"/>
  <c r="P10" i="13"/>
  <c r="O10" i="13"/>
  <c r="N10" i="13"/>
  <c r="M10" i="13"/>
  <c r="L10" i="13"/>
  <c r="K10" i="13"/>
  <c r="J10" i="13"/>
  <c r="I10" i="13"/>
  <c r="H10" i="13"/>
  <c r="L29" i="13"/>
  <c r="P29" i="13"/>
  <c r="G29" i="13"/>
  <c r="O29" i="13"/>
  <c r="N29" i="13"/>
  <c r="S147" i="13"/>
  <c r="T147" i="13" s="1"/>
  <c r="S141" i="13"/>
  <c r="T141" i="13" s="1"/>
  <c r="S130" i="13"/>
  <c r="T130" i="13" s="1"/>
  <c r="J29" i="13"/>
  <c r="I29" i="13"/>
  <c r="S145" i="13"/>
  <c r="T145" i="13" s="1"/>
  <c r="S31" i="13"/>
  <c r="T31" i="13" s="1"/>
  <c r="S42" i="13"/>
  <c r="T42" i="13" s="1"/>
  <c r="R29" i="13"/>
  <c r="H29" i="13"/>
  <c r="H30" i="13" s="1"/>
  <c r="Q29" i="13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K29" i="11" l="1"/>
  <c r="K10" i="11"/>
  <c r="R30" i="13"/>
  <c r="P30" i="13"/>
  <c r="O30" i="13"/>
  <c r="N55" i="13"/>
  <c r="L30" i="13"/>
  <c r="J30" i="13"/>
  <c r="I30" i="13"/>
  <c r="G30" i="13"/>
  <c r="G124" i="13"/>
  <c r="P55" i="13"/>
  <c r="N30" i="13"/>
  <c r="L55" i="13"/>
  <c r="O55" i="13"/>
  <c r="J55" i="13"/>
  <c r="J61" i="13" s="1"/>
  <c r="I55" i="13"/>
  <c r="I61" i="13" s="1"/>
  <c r="S137" i="13"/>
  <c r="T137" i="13" s="1"/>
  <c r="R55" i="13"/>
  <c r="H55" i="13"/>
  <c r="S29" i="13"/>
  <c r="T29" i="13" s="1"/>
  <c r="K30" i="13"/>
  <c r="K55" i="13"/>
  <c r="Q30" i="13"/>
  <c r="Q55" i="13"/>
  <c r="M105" i="13"/>
  <c r="M30" i="13"/>
  <c r="M55" i="13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S114" i="13"/>
  <c r="T114" i="13" s="1"/>
  <c r="Q19" i="12"/>
  <c r="G61" i="13" l="1"/>
  <c r="K55" i="11"/>
  <c r="K30" i="11"/>
  <c r="Q61" i="13"/>
  <c r="Q66" i="13" s="1"/>
  <c r="O61" i="13"/>
  <c r="O66" i="13" s="1"/>
  <c r="N56" i="13"/>
  <c r="N61" i="13"/>
  <c r="M61" i="13"/>
  <c r="H61" i="13"/>
  <c r="H66" i="13" s="1"/>
  <c r="H62" i="13" s="1"/>
  <c r="R61" i="13"/>
  <c r="L61" i="13"/>
  <c r="K61" i="13"/>
  <c r="P56" i="13"/>
  <c r="P61" i="13"/>
  <c r="I56" i="13"/>
  <c r="L56" i="13"/>
  <c r="O56" i="13"/>
  <c r="J56" i="13"/>
  <c r="R56" i="13"/>
  <c r="H56" i="13"/>
  <c r="S30" i="13"/>
  <c r="T30" i="13" s="1"/>
  <c r="Q56" i="13"/>
  <c r="K56" i="13"/>
  <c r="M56" i="13"/>
  <c r="G125" i="13"/>
  <c r="G149" i="13"/>
  <c r="G156" i="13" s="1"/>
  <c r="S105" i="13"/>
  <c r="T105" i="13" s="1"/>
  <c r="S55" i="13"/>
  <c r="T55" i="13" s="1"/>
  <c r="G56" i="13"/>
  <c r="P64" i="12"/>
  <c r="P19" i="12"/>
  <c r="P35" i="12"/>
  <c r="K61" i="11" l="1"/>
  <c r="K56" i="11"/>
  <c r="R66" i="13"/>
  <c r="Q62" i="13"/>
  <c r="P66" i="13"/>
  <c r="O62" i="13"/>
  <c r="N66" i="13"/>
  <c r="M66" i="13"/>
  <c r="M62" i="13" s="1"/>
  <c r="L66" i="13"/>
  <c r="K66" i="13"/>
  <c r="J66" i="13"/>
  <c r="I66" i="13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3" i="12"/>
  <c r="L48" i="12"/>
  <c r="L35" i="12"/>
  <c r="G96" i="2"/>
  <c r="K35" i="12"/>
  <c r="G148" i="2"/>
  <c r="CY40" i="6"/>
  <c r="J35" i="12"/>
  <c r="G40" i="12"/>
  <c r="H35" i="12"/>
  <c r="I35" i="12"/>
  <c r="G244" i="2"/>
  <c r="N7" i="11" s="1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Y219" i="6"/>
  <c r="DY218" i="6" s="1"/>
  <c r="DZ219" i="6"/>
  <c r="DZ218" i="6" s="1"/>
  <c r="EA219" i="6"/>
  <c r="EA218" i="6" s="1"/>
  <c r="EB219" i="6"/>
  <c r="EB218" i="6" s="1"/>
  <c r="EC219" i="6"/>
  <c r="EC218" i="6" s="1"/>
  <c r="ED219" i="6"/>
  <c r="ED218" i="6" s="1"/>
  <c r="EE219" i="6"/>
  <c r="EE218" i="6" s="1"/>
  <c r="EF219" i="6"/>
  <c r="EF218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81" i="2"/>
  <c r="G279" i="2"/>
  <c r="G277" i="2"/>
  <c r="G268" i="2"/>
  <c r="G267" i="2"/>
  <c r="G262" i="2"/>
  <c r="G260" i="2"/>
  <c r="I8" i="11" s="1"/>
  <c r="P8" i="11" s="1"/>
  <c r="S8" i="11" s="1"/>
  <c r="G258" i="2"/>
  <c r="G257" i="2"/>
  <c r="G252" i="2"/>
  <c r="G251" i="2"/>
  <c r="B7" i="9" s="1"/>
  <c r="G248" i="2"/>
  <c r="G242" i="2"/>
  <c r="G241" i="2"/>
  <c r="G240" i="2"/>
  <c r="S8" i="8" s="1"/>
  <c r="S103" i="8" s="1"/>
  <c r="G239" i="2"/>
  <c r="G238" i="2"/>
  <c r="G237" i="2"/>
  <c r="G236" i="2"/>
  <c r="L8" i="4" s="1"/>
  <c r="L102" i="4" s="1"/>
  <c r="G235" i="2"/>
  <c r="G234" i="2"/>
  <c r="G233" i="2"/>
  <c r="G232" i="2"/>
  <c r="H8" i="9" s="1"/>
  <c r="H102" i="9" s="1"/>
  <c r="G231" i="2"/>
  <c r="G230" i="2"/>
  <c r="G229" i="2"/>
  <c r="G227" i="2"/>
  <c r="B54" i="11" s="1"/>
  <c r="G225" i="2"/>
  <c r="G224" i="2"/>
  <c r="G223" i="2"/>
  <c r="G222" i="2"/>
  <c r="B60" i="4" s="1"/>
  <c r="G221" i="2"/>
  <c r="G220" i="2"/>
  <c r="G219" i="2"/>
  <c r="G217" i="2"/>
  <c r="G216" i="2"/>
  <c r="G215" i="2"/>
  <c r="G214" i="2"/>
  <c r="G213" i="2"/>
  <c r="B53" i="12" s="1"/>
  <c r="G212" i="2"/>
  <c r="G211" i="2"/>
  <c r="G210" i="2"/>
  <c r="G209" i="2"/>
  <c r="B60" i="8" s="1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B48" i="11" s="1"/>
  <c r="G168" i="2"/>
  <c r="G167" i="2"/>
  <c r="G166" i="2"/>
  <c r="G165" i="2"/>
  <c r="B48" i="8" s="1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B45" i="9" s="1"/>
  <c r="G147" i="2"/>
  <c r="G146" i="2"/>
  <c r="G145" i="2"/>
  <c r="G144" i="2"/>
  <c r="G143" i="2"/>
  <c r="G142" i="2"/>
  <c r="G141" i="2"/>
  <c r="G140" i="2"/>
  <c r="B43" i="11" s="1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B35" i="11" s="1"/>
  <c r="G103" i="2"/>
  <c r="G102" i="2"/>
  <c r="G101" i="2"/>
  <c r="G100" i="2"/>
  <c r="G99" i="2"/>
  <c r="G98" i="2"/>
  <c r="G97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B24" i="4" s="1"/>
  <c r="G42" i="2"/>
  <c r="G41" i="2"/>
  <c r="G40" i="2"/>
  <c r="G39" i="2"/>
  <c r="G38" i="2"/>
  <c r="G37" i="2"/>
  <c r="G35" i="2"/>
  <c r="G34" i="2"/>
  <c r="B111" i="8" s="1"/>
  <c r="G33" i="2"/>
  <c r="G32" i="2"/>
  <c r="G31" i="2"/>
  <c r="G30" i="2"/>
  <c r="B12" i="11" s="1"/>
  <c r="G29" i="2"/>
  <c r="G28" i="2"/>
  <c r="G27" i="2"/>
  <c r="G26" i="2"/>
  <c r="G25" i="2"/>
  <c r="G24" i="2"/>
  <c r="G23" i="2"/>
  <c r="G22" i="2"/>
  <c r="H8" i="3" s="1"/>
  <c r="O8" i="3" s="1"/>
  <c r="G21" i="2"/>
  <c r="G20" i="2"/>
  <c r="G17" i="2"/>
  <c r="G16" i="2"/>
  <c r="G15" i="2"/>
  <c r="G14" i="2"/>
  <c r="G10" i="2"/>
  <c r="G9" i="2"/>
  <c r="G8" i="2"/>
  <c r="G7" i="2"/>
  <c r="G6" i="2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P390" i="6"/>
  <c r="DO390" i="6"/>
  <c r="DN390" i="6"/>
  <c r="DM390" i="6"/>
  <c r="DL390" i="6"/>
  <c r="DK390" i="6"/>
  <c r="DJ390" i="6"/>
  <c r="DI390" i="6"/>
  <c r="DH390" i="6"/>
  <c r="DG390" i="6"/>
  <c r="DF390" i="6"/>
  <c r="DE390" i="6"/>
  <c r="DD390" i="6"/>
  <c r="DC390" i="6"/>
  <c r="DB390" i="6"/>
  <c r="DA390" i="6"/>
  <c r="CZ390" i="6"/>
  <c r="CY390" i="6"/>
  <c r="CX390" i="6"/>
  <c r="CW390" i="6"/>
  <c r="CV390" i="6"/>
  <c r="CU390" i="6"/>
  <c r="CT390" i="6"/>
  <c r="CS390" i="6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R386" i="6" s="1"/>
  <c r="DQ387" i="6"/>
  <c r="DP387" i="6"/>
  <c r="DO387" i="6"/>
  <c r="DN387" i="6"/>
  <c r="DM387" i="6"/>
  <c r="DL387" i="6"/>
  <c r="DK387" i="6"/>
  <c r="DJ387" i="6"/>
  <c r="DJ386" i="6" s="1"/>
  <c r="DI387" i="6"/>
  <c r="DH387" i="6"/>
  <c r="DG387" i="6"/>
  <c r="DF387" i="6"/>
  <c r="DF386" i="6" s="1"/>
  <c r="DE387" i="6"/>
  <c r="DD387" i="6"/>
  <c r="DC387" i="6"/>
  <c r="DB387" i="6"/>
  <c r="DB386" i="6" s="1"/>
  <c r="DA387" i="6"/>
  <c r="CZ387" i="6"/>
  <c r="CY387" i="6"/>
  <c r="CX387" i="6"/>
  <c r="CX386" i="6" s="1"/>
  <c r="CW387" i="6"/>
  <c r="CV387" i="6"/>
  <c r="CU387" i="6"/>
  <c r="CT387" i="6"/>
  <c r="CR387" i="6"/>
  <c r="CQ387" i="6"/>
  <c r="CP387" i="6"/>
  <c r="CN387" i="6"/>
  <c r="CN386" i="6" s="1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P350" i="6" s="1"/>
  <c r="DO351" i="6"/>
  <c r="DN351" i="6"/>
  <c r="DM351" i="6"/>
  <c r="DL351" i="6"/>
  <c r="DL350" i="6" s="1"/>
  <c r="DK351" i="6"/>
  <c r="DJ351" i="6"/>
  <c r="DI351" i="6"/>
  <c r="DH351" i="6"/>
  <c r="DH350" i="6" s="1"/>
  <c r="DG351" i="6"/>
  <c r="DF351" i="6"/>
  <c r="DE351" i="6"/>
  <c r="DD351" i="6"/>
  <c r="DD350" i="6" s="1"/>
  <c r="DC351" i="6"/>
  <c r="DB351" i="6"/>
  <c r="DA351" i="6"/>
  <c r="CZ351" i="6"/>
  <c r="CZ350" i="6" s="1"/>
  <c r="CY351" i="6"/>
  <c r="CX351" i="6"/>
  <c r="CW351" i="6"/>
  <c r="CV351" i="6"/>
  <c r="CV350" i="6" s="1"/>
  <c r="CU351" i="6"/>
  <c r="CT351" i="6"/>
  <c r="CS351" i="6"/>
  <c r="CR351" i="6"/>
  <c r="CR350" i="6" s="1"/>
  <c r="CQ351" i="6"/>
  <c r="CP351" i="6"/>
  <c r="CO351" i="6"/>
  <c r="CN351" i="6"/>
  <c r="CN350" i="6" s="1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Q322" i="6"/>
  <c r="DP322" i="6"/>
  <c r="DO322" i="6"/>
  <c r="DN322" i="6"/>
  <c r="DM322" i="6"/>
  <c r="DL322" i="6"/>
  <c r="DK322" i="6"/>
  <c r="DJ322" i="6"/>
  <c r="DI322" i="6"/>
  <c r="DH322" i="6"/>
  <c r="DG322" i="6"/>
  <c r="DF322" i="6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B123" i="8" s="1"/>
  <c r="A124" i="8"/>
  <c r="O101" i="8"/>
  <c r="A128" i="8"/>
  <c r="A129" i="8"/>
  <c r="A130" i="8"/>
  <c r="A131" i="8"/>
  <c r="A132" i="8"/>
  <c r="A133" i="8"/>
  <c r="A134" i="8"/>
  <c r="A135" i="8"/>
  <c r="A136" i="8"/>
  <c r="A137" i="8"/>
  <c r="A139" i="8"/>
  <c r="A140" i="8"/>
  <c r="A141" i="8"/>
  <c r="A142" i="8"/>
  <c r="A143" i="8"/>
  <c r="A144" i="8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H8" i="8"/>
  <c r="H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E3" i="8"/>
  <c r="A106" i="4"/>
  <c r="G100" i="4"/>
  <c r="A132" i="4"/>
  <c r="A107" i="4"/>
  <c r="L100" i="4"/>
  <c r="A108" i="4"/>
  <c r="B108" i="4" s="1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8" i="4"/>
  <c r="R102" i="4" s="1"/>
  <c r="N8" i="4"/>
  <c r="N102" i="4" s="1"/>
  <c r="J8" i="4"/>
  <c r="J102" i="4" s="1"/>
  <c r="H8" i="4"/>
  <c r="H102" i="4" s="1"/>
  <c r="B49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O117" i="10" s="1"/>
  <c r="A118" i="10"/>
  <c r="A119" i="10"/>
  <c r="A120" i="10"/>
  <c r="A121" i="10"/>
  <c r="A122" i="10"/>
  <c r="A123" i="10"/>
  <c r="A127" i="10"/>
  <c r="A128" i="10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N115" i="10" s="1"/>
  <c r="A136" i="10"/>
  <c r="A138" i="10"/>
  <c r="A139" i="10"/>
  <c r="A140" i="10"/>
  <c r="J101" i="10"/>
  <c r="A141" i="10"/>
  <c r="M101" i="10"/>
  <c r="A142" i="10"/>
  <c r="A143" i="10"/>
  <c r="A144" i="10"/>
  <c r="O144" i="10" s="1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Q110" i="10" s="1"/>
  <c r="R101" i="10"/>
  <c r="A159" i="10"/>
  <c r="A155" i="10"/>
  <c r="A154" i="10"/>
  <c r="A150" i="10"/>
  <c r="A149" i="10"/>
  <c r="A148" i="10"/>
  <c r="A137" i="10"/>
  <c r="A126" i="10"/>
  <c r="A125" i="10"/>
  <c r="A124" i="10"/>
  <c r="A114" i="10"/>
  <c r="A106" i="10"/>
  <c r="A105" i="10"/>
  <c r="T103" i="10"/>
  <c r="N8" i="10"/>
  <c r="N103" i="10" s="1"/>
  <c r="H8" i="10"/>
  <c r="H103" i="10" s="1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R61" i="11" s="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B63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46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49" i="11"/>
  <c r="B45" i="11"/>
  <c r="B27" i="11"/>
  <c r="B15" i="11"/>
  <c r="E4" i="11"/>
  <c r="E3" i="11"/>
  <c r="D17" i="1"/>
  <c r="D21" i="1" s="1"/>
  <c r="S14" i="4"/>
  <c r="T14" i="4" s="1"/>
  <c r="S16" i="4"/>
  <c r="T16" i="4" s="1"/>
  <c r="S12" i="4"/>
  <c r="T12" i="4" s="1"/>
  <c r="H118" i="4"/>
  <c r="B113" i="4"/>
  <c r="B130" i="4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T39" i="4" s="1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/>
  <c r="S27" i="4"/>
  <c r="T27" i="4" s="1"/>
  <c r="S26" i="4"/>
  <c r="T26" i="4" s="1"/>
  <c r="S25" i="4"/>
  <c r="S24" i="4"/>
  <c r="T24" i="4" s="1"/>
  <c r="K112" i="4"/>
  <c r="Q119" i="8"/>
  <c r="M112" i="4"/>
  <c r="I112" i="4"/>
  <c r="J112" i="4"/>
  <c r="B110" i="8"/>
  <c r="B132" i="8"/>
  <c r="R111" i="9"/>
  <c r="DK321" i="6"/>
  <c r="DO321" i="6"/>
  <c r="DT350" i="6"/>
  <c r="T22" i="4"/>
  <c r="T34" i="4"/>
  <c r="T20" i="4"/>
  <c r="T25" i="4"/>
  <c r="T37" i="4"/>
  <c r="T17" i="4"/>
  <c r="T23" i="4"/>
  <c r="T33" i="4"/>
  <c r="T38" i="4"/>
  <c r="S11" i="4"/>
  <c r="T11" i="4" s="1"/>
  <c r="S31" i="4"/>
  <c r="T31" i="4" s="1"/>
  <c r="S57" i="4"/>
  <c r="T57" i="4" s="1"/>
  <c r="S65" i="4"/>
  <c r="T65" i="4" s="1"/>
  <c r="S64" i="4"/>
  <c r="T64" i="4"/>
  <c r="B156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33" i="9"/>
  <c r="B26" i="8"/>
  <c r="B42" i="9"/>
  <c r="B158" i="9"/>
  <c r="B115" i="8"/>
  <c r="B43" i="9"/>
  <c r="B145" i="9"/>
  <c r="B125" i="12"/>
  <c r="B122" i="12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B141" i="12"/>
  <c r="B159" i="12"/>
  <c r="M107" i="12"/>
  <c r="I113" i="12"/>
  <c r="M122" i="12"/>
  <c r="B144" i="10"/>
  <c r="Q116" i="4"/>
  <c r="R108" i="4"/>
  <c r="K119" i="8"/>
  <c r="P107" i="8"/>
  <c r="K117" i="8"/>
  <c r="R112" i="4"/>
  <c r="B109" i="8"/>
  <c r="B152" i="8"/>
  <c r="B108" i="9"/>
  <c r="DQ350" i="6"/>
  <c r="CQ386" i="6"/>
  <c r="CU386" i="6"/>
  <c r="B112" i="9"/>
  <c r="CY386" i="6"/>
  <c r="DC386" i="6"/>
  <c r="S61" i="4"/>
  <c r="T61" i="4" s="1"/>
  <c r="M116" i="9"/>
  <c r="K117" i="9"/>
  <c r="DG386" i="6"/>
  <c r="DK386" i="6"/>
  <c r="B132" i="4"/>
  <c r="B106" i="4"/>
  <c r="L115" i="4"/>
  <c r="B144" i="4"/>
  <c r="B141" i="4"/>
  <c r="P118" i="4"/>
  <c r="M111" i="8"/>
  <c r="G122" i="8"/>
  <c r="B133" i="8"/>
  <c r="H120" i="4"/>
  <c r="Q159" i="8"/>
  <c r="B113" i="8"/>
  <c r="R116" i="4"/>
  <c r="H109" i="4"/>
  <c r="G108" i="8"/>
  <c r="K121" i="8"/>
  <c r="R108" i="9"/>
  <c r="O116" i="9"/>
  <c r="L113" i="9"/>
  <c r="G113" i="9"/>
  <c r="B142" i="8"/>
  <c r="T119" i="8"/>
  <c r="B156" i="9"/>
  <c r="R116" i="9"/>
  <c r="N106" i="9"/>
  <c r="M107" i="9"/>
  <c r="J113" i="9"/>
  <c r="G110" i="9"/>
  <c r="M117" i="9"/>
  <c r="I115" i="9"/>
  <c r="G120" i="9"/>
  <c r="H109" i="9"/>
  <c r="S148" i="12"/>
  <c r="T148" i="12" s="1"/>
  <c r="N111" i="4"/>
  <c r="P117" i="8"/>
  <c r="B156" i="4"/>
  <c r="B118" i="4"/>
  <c r="P108" i="4"/>
  <c r="M116" i="8"/>
  <c r="K115" i="4"/>
  <c r="P116" i="4"/>
  <c r="B131" i="4"/>
  <c r="I118" i="9"/>
  <c r="CU350" i="6"/>
  <c r="DI350" i="6"/>
  <c r="G112" i="4"/>
  <c r="S112" i="4" s="1"/>
  <c r="T112" i="4" s="1"/>
  <c r="B158" i="4"/>
  <c r="P8" i="9"/>
  <c r="P102" i="9" s="1"/>
  <c r="O112" i="4"/>
  <c r="U120" i="8"/>
  <c r="B114" i="8"/>
  <c r="Q112" i="4"/>
  <c r="DU386" i="6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3" i="2"/>
  <c r="O119" i="4"/>
  <c r="R133" i="4"/>
  <c r="P112" i="4"/>
  <c r="O132" i="10"/>
  <c r="M120" i="4"/>
  <c r="M130" i="4"/>
  <c r="J123" i="10"/>
  <c r="L112" i="4"/>
  <c r="M121" i="4"/>
  <c r="N112" i="4"/>
  <c r="S121" i="8"/>
  <c r="CO321" i="6"/>
  <c r="CQ350" i="6"/>
  <c r="DO386" i="6"/>
  <c r="DS386" i="6"/>
  <c r="H153" i="4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N142" i="10"/>
  <c r="R142" i="10"/>
  <c r="M112" i="10"/>
  <c r="K112" i="10"/>
  <c r="I145" i="10"/>
  <c r="I107" i="10"/>
  <c r="I120" i="10"/>
  <c r="I117" i="10"/>
  <c r="I113" i="10"/>
  <c r="L130" i="10"/>
  <c r="B151" i="10"/>
  <c r="N144" i="10"/>
  <c r="B115" i="10"/>
  <c r="J115" i="10"/>
  <c r="R115" i="10"/>
  <c r="L115" i="10"/>
  <c r="P115" i="10"/>
  <c r="R111" i="10"/>
  <c r="I111" i="10"/>
  <c r="P153" i="10"/>
  <c r="H153" i="10"/>
  <c r="O122" i="10"/>
  <c r="G122" i="10"/>
  <c r="P118" i="10"/>
  <c r="G118" i="10"/>
  <c r="N118" i="10"/>
  <c r="P130" i="10"/>
  <c r="I157" i="10"/>
  <c r="K120" i="12"/>
  <c r="R158" i="12"/>
  <c r="J140" i="12"/>
  <c r="Q153" i="12"/>
  <c r="H154" i="12"/>
  <c r="H111" i="12"/>
  <c r="B158" i="12"/>
  <c r="M140" i="12"/>
  <c r="B127" i="4"/>
  <c r="B153" i="10" l="1"/>
  <c r="B110" i="4"/>
  <c r="B152" i="4"/>
  <c r="B154" i="9"/>
  <c r="B53" i="11"/>
  <c r="I8" i="3"/>
  <c r="L8" i="3" s="1"/>
  <c r="B25" i="3"/>
  <c r="B44" i="4"/>
  <c r="B36" i="9"/>
  <c r="B153" i="12"/>
  <c r="P8" i="4"/>
  <c r="P102" i="4" s="1"/>
  <c r="B152" i="9"/>
  <c r="B45" i="3"/>
  <c r="B7" i="10"/>
  <c r="B119" i="10"/>
  <c r="B124" i="10"/>
  <c r="B12" i="4"/>
  <c r="B54" i="4"/>
  <c r="B54" i="8"/>
  <c r="B60" i="9"/>
  <c r="B153" i="4"/>
  <c r="B144" i="8"/>
  <c r="B131" i="8"/>
  <c r="G8" i="3"/>
  <c r="N8" i="3" s="1"/>
  <c r="G8" i="11"/>
  <c r="L61" i="11"/>
  <c r="M61" i="11"/>
  <c r="R56" i="11"/>
  <c r="L138" i="10"/>
  <c r="L128" i="10"/>
  <c r="P121" i="10"/>
  <c r="DF321" i="6"/>
  <c r="DJ321" i="6"/>
  <c r="DN321" i="6"/>
  <c r="DR321" i="6"/>
  <c r="CP321" i="6"/>
  <c r="CT321" i="6"/>
  <c r="CX321" i="6"/>
  <c r="DU350" i="6"/>
  <c r="CM350" i="6"/>
  <c r="CY350" i="6"/>
  <c r="DC350" i="6"/>
  <c r="DG350" i="6"/>
  <c r="DK350" i="6"/>
  <c r="DO350" i="6"/>
  <c r="CS386" i="6"/>
  <c r="CW386" i="6"/>
  <c r="DA386" i="6"/>
  <c r="DE386" i="6"/>
  <c r="DI386" i="6"/>
  <c r="DQ386" i="6"/>
  <c r="N60" i="11"/>
  <c r="N17" i="11"/>
  <c r="N33" i="11"/>
  <c r="N49" i="11"/>
  <c r="N24" i="11"/>
  <c r="N13" i="11"/>
  <c r="N22" i="11"/>
  <c r="N26" i="11"/>
  <c r="N46" i="11"/>
  <c r="N50" i="11"/>
  <c r="N58" i="11"/>
  <c r="N23" i="11"/>
  <c r="N12" i="11"/>
  <c r="N45" i="11"/>
  <c r="N20" i="11"/>
  <c r="N65" i="11"/>
  <c r="N54" i="11"/>
  <c r="N36" i="11"/>
  <c r="N19" i="11"/>
  <c r="N25" i="11"/>
  <c r="N41" i="11"/>
  <c r="N16" i="11"/>
  <c r="N48" i="11"/>
  <c r="N18" i="11"/>
  <c r="N34" i="11"/>
  <c r="N38" i="11"/>
  <c r="N32" i="11"/>
  <c r="N52" i="11"/>
  <c r="N15" i="11"/>
  <c r="N35" i="11"/>
  <c r="N51" i="11"/>
  <c r="N64" i="11"/>
  <c r="N63" i="11"/>
  <c r="N47" i="11"/>
  <c r="N40" i="11"/>
  <c r="N43" i="11"/>
  <c r="N59" i="11"/>
  <c r="N21" i="11"/>
  <c r="N37" i="11"/>
  <c r="N53" i="11"/>
  <c r="N28" i="11"/>
  <c r="N14" i="11"/>
  <c r="N44" i="11"/>
  <c r="N27" i="11"/>
  <c r="N39" i="11"/>
  <c r="N57" i="11"/>
  <c r="N42" i="11"/>
  <c r="N31" i="11"/>
  <c r="N11" i="11"/>
  <c r="N10" i="11"/>
  <c r="N29" i="11"/>
  <c r="N30" i="11"/>
  <c r="N55" i="11"/>
  <c r="N61" i="11"/>
  <c r="T61" i="11" s="1"/>
  <c r="N56" i="11"/>
  <c r="N62" i="11"/>
  <c r="N66" i="11"/>
  <c r="EF217" i="6"/>
  <c r="EB217" i="6"/>
  <c r="DX217" i="6"/>
  <c r="R60" i="11"/>
  <c r="R64" i="11"/>
  <c r="R13" i="11"/>
  <c r="R17" i="11"/>
  <c r="R21" i="11"/>
  <c r="R25" i="11"/>
  <c r="R28" i="11"/>
  <c r="R33" i="11"/>
  <c r="R37" i="11"/>
  <c r="R41" i="11"/>
  <c r="R44" i="11"/>
  <c r="R46" i="11"/>
  <c r="R48" i="11"/>
  <c r="R52" i="11"/>
  <c r="R18" i="11"/>
  <c r="R27" i="11"/>
  <c r="R38" i="11"/>
  <c r="R43" i="11"/>
  <c r="R47" i="11"/>
  <c r="R51" i="11"/>
  <c r="R58" i="11"/>
  <c r="R63" i="11"/>
  <c r="R12" i="11"/>
  <c r="R14" i="11"/>
  <c r="R16" i="11"/>
  <c r="R20" i="11"/>
  <c r="R22" i="11"/>
  <c r="R24" i="11"/>
  <c r="R65" i="11"/>
  <c r="R34" i="11"/>
  <c r="R36" i="11"/>
  <c r="R45" i="11"/>
  <c r="R49" i="11"/>
  <c r="R53" i="11"/>
  <c r="R15" i="11"/>
  <c r="R19" i="11"/>
  <c r="R26" i="11"/>
  <c r="R35" i="11"/>
  <c r="R50" i="11"/>
  <c r="R54" i="11"/>
  <c r="R59" i="11"/>
  <c r="R32" i="11"/>
  <c r="R40" i="11"/>
  <c r="R23" i="11"/>
  <c r="R39" i="11"/>
  <c r="R31" i="11"/>
  <c r="R42" i="11"/>
  <c r="R11" i="11"/>
  <c r="R57" i="11"/>
  <c r="R10" i="11"/>
  <c r="R29" i="11"/>
  <c r="R55" i="11"/>
  <c r="R30" i="11"/>
  <c r="H117" i="10"/>
  <c r="H141" i="12"/>
  <c r="L121" i="12"/>
  <c r="P109" i="12"/>
  <c r="E3" i="3"/>
  <c r="E3" i="17"/>
  <c r="B14" i="12"/>
  <c r="B14" i="17"/>
  <c r="B109" i="17"/>
  <c r="B18" i="12"/>
  <c r="B113" i="17"/>
  <c r="B18" i="17"/>
  <c r="B22" i="12"/>
  <c r="B117" i="17"/>
  <c r="B22" i="17"/>
  <c r="B27" i="12"/>
  <c r="B27" i="17"/>
  <c r="B122" i="17"/>
  <c r="B63" i="12"/>
  <c r="B63" i="17"/>
  <c r="B158" i="17"/>
  <c r="B30" i="12"/>
  <c r="B30" i="17"/>
  <c r="B125" i="17"/>
  <c r="B36" i="12"/>
  <c r="B36" i="17"/>
  <c r="B131" i="17"/>
  <c r="B37" i="12"/>
  <c r="B37" i="17"/>
  <c r="B132" i="17"/>
  <c r="B45" i="12"/>
  <c r="B45" i="17"/>
  <c r="B140" i="17"/>
  <c r="B46" i="12"/>
  <c r="B46" i="17"/>
  <c r="B141" i="17"/>
  <c r="B49" i="12"/>
  <c r="B144" i="17"/>
  <c r="B49" i="17"/>
  <c r="B57" i="12"/>
  <c r="B56" i="17"/>
  <c r="B151" i="17"/>
  <c r="J8" i="13"/>
  <c r="J103" i="13" s="1"/>
  <c r="J8" i="17"/>
  <c r="J103" i="17" s="1"/>
  <c r="N8" i="13"/>
  <c r="N103" i="13" s="1"/>
  <c r="N8" i="17"/>
  <c r="N103" i="17" s="1"/>
  <c r="R8" i="13"/>
  <c r="R103" i="13" s="1"/>
  <c r="R8" i="17"/>
  <c r="R103" i="17" s="1"/>
  <c r="E4" i="4"/>
  <c r="E4" i="17"/>
  <c r="B11" i="12"/>
  <c r="B11" i="17"/>
  <c r="B106" i="17"/>
  <c r="B15" i="12"/>
  <c r="B15" i="17"/>
  <c r="B110" i="17"/>
  <c r="B19" i="12"/>
  <c r="B19" i="17"/>
  <c r="B114" i="17"/>
  <c r="B23" i="12"/>
  <c r="B23" i="17"/>
  <c r="B118" i="17"/>
  <c r="B25" i="12"/>
  <c r="B25" i="17"/>
  <c r="B120" i="17"/>
  <c r="B65" i="12"/>
  <c r="B65" i="17"/>
  <c r="B160" i="17"/>
  <c r="B64" i="12"/>
  <c r="B64" i="17"/>
  <c r="B159" i="17"/>
  <c r="B32" i="12"/>
  <c r="B32" i="17"/>
  <c r="B127" i="17"/>
  <c r="B32" i="11"/>
  <c r="B42" i="12"/>
  <c r="B42" i="17"/>
  <c r="B137" i="17"/>
  <c r="B41" i="12"/>
  <c r="B41" i="17"/>
  <c r="B136" i="17"/>
  <c r="B50" i="12"/>
  <c r="B50" i="17"/>
  <c r="B145" i="17"/>
  <c r="B59" i="12"/>
  <c r="B58" i="17"/>
  <c r="B153" i="17"/>
  <c r="B66" i="12"/>
  <c r="B66" i="17"/>
  <c r="B161" i="17"/>
  <c r="G8" i="13"/>
  <c r="G103" i="13" s="1"/>
  <c r="G8" i="17"/>
  <c r="G103" i="17" s="1"/>
  <c r="K8" i="13"/>
  <c r="K103" i="13" s="1"/>
  <c r="K8" i="17"/>
  <c r="K103" i="17" s="1"/>
  <c r="O8" i="13"/>
  <c r="O103" i="13" s="1"/>
  <c r="O8" i="17"/>
  <c r="O103" i="17" s="1"/>
  <c r="S7" i="13"/>
  <c r="S102" i="13" s="1"/>
  <c r="S7" i="17"/>
  <c r="S102" i="17" s="1"/>
  <c r="B12" i="12"/>
  <c r="B12" i="17"/>
  <c r="B107" i="17"/>
  <c r="B16" i="12"/>
  <c r="B16" i="17"/>
  <c r="B111" i="17"/>
  <c r="B20" i="12"/>
  <c r="B20" i="17"/>
  <c r="B115" i="17"/>
  <c r="B24" i="12"/>
  <c r="B24" i="17"/>
  <c r="B119" i="17"/>
  <c r="B29" i="12"/>
  <c r="B29" i="17"/>
  <c r="B124" i="17"/>
  <c r="B35" i="12"/>
  <c r="B130" i="17"/>
  <c r="B35" i="17"/>
  <c r="B43" i="12"/>
  <c r="B43" i="17"/>
  <c r="B138" i="17"/>
  <c r="B44" i="12"/>
  <c r="B44" i="17"/>
  <c r="B139" i="17"/>
  <c r="B47" i="12"/>
  <c r="B142" i="17"/>
  <c r="B47" i="17"/>
  <c r="B48" i="12"/>
  <c r="B48" i="17"/>
  <c r="B143" i="17"/>
  <c r="B60" i="12"/>
  <c r="B59" i="17"/>
  <c r="B154" i="17"/>
  <c r="B154" i="12"/>
  <c r="B53" i="17"/>
  <c r="B148" i="17"/>
  <c r="B61" i="12"/>
  <c r="B61" i="17"/>
  <c r="B156" i="17"/>
  <c r="B54" i="13"/>
  <c r="B54" i="17"/>
  <c r="H8" i="13"/>
  <c r="H103" i="13" s="1"/>
  <c r="H8" i="17"/>
  <c r="H103" i="17" s="1"/>
  <c r="L8" i="13"/>
  <c r="L103" i="13" s="1"/>
  <c r="L8" i="17"/>
  <c r="L103" i="17" s="1"/>
  <c r="P8" i="13"/>
  <c r="P103" i="13" s="1"/>
  <c r="P8" i="17"/>
  <c r="P103" i="17" s="1"/>
  <c r="B7" i="13"/>
  <c r="B7" i="17"/>
  <c r="E2" i="3"/>
  <c r="E2" i="17"/>
  <c r="B10" i="12"/>
  <c r="B10" i="17"/>
  <c r="B105" i="17"/>
  <c r="B13" i="12"/>
  <c r="B13" i="17"/>
  <c r="B108" i="17"/>
  <c r="B17" i="12"/>
  <c r="B17" i="17"/>
  <c r="B112" i="17"/>
  <c r="B22" i="8"/>
  <c r="B21" i="17"/>
  <c r="B116" i="17"/>
  <c r="B26" i="12"/>
  <c r="B26" i="17"/>
  <c r="B121" i="17"/>
  <c r="B28" i="12"/>
  <c r="B28" i="17"/>
  <c r="B123" i="17"/>
  <c r="B31" i="12"/>
  <c r="B31" i="17"/>
  <c r="B126" i="17"/>
  <c r="B33" i="12"/>
  <c r="B33" i="17"/>
  <c r="B128" i="17"/>
  <c r="B34" i="12"/>
  <c r="B34" i="17"/>
  <c r="B129" i="17"/>
  <c r="B38" i="12"/>
  <c r="B38" i="17"/>
  <c r="B133" i="17"/>
  <c r="B39" i="12"/>
  <c r="B39" i="17"/>
  <c r="B134" i="17"/>
  <c r="B40" i="12"/>
  <c r="B40" i="17"/>
  <c r="B135" i="17"/>
  <c r="B58" i="12"/>
  <c r="B57" i="17"/>
  <c r="B152" i="17"/>
  <c r="B52" i="12"/>
  <c r="B52" i="17"/>
  <c r="B147" i="17"/>
  <c r="B51" i="12"/>
  <c r="B51" i="17"/>
  <c r="B146" i="17"/>
  <c r="B55" i="12"/>
  <c r="B55" i="17"/>
  <c r="B150" i="17"/>
  <c r="B62" i="12"/>
  <c r="B62" i="17"/>
  <c r="B157" i="17"/>
  <c r="I8" i="13"/>
  <c r="I103" i="13" s="1"/>
  <c r="I8" i="17"/>
  <c r="I103" i="17" s="1"/>
  <c r="M8" i="13"/>
  <c r="M103" i="13" s="1"/>
  <c r="M8" i="17"/>
  <c r="M103" i="17" s="1"/>
  <c r="Q8" i="13"/>
  <c r="Q103" i="13" s="1"/>
  <c r="Q8" i="17"/>
  <c r="Q103" i="17" s="1"/>
  <c r="B102" i="13"/>
  <c r="B102" i="17"/>
  <c r="K66" i="11"/>
  <c r="L66" i="11" s="1"/>
  <c r="R66" i="11"/>
  <c r="H133" i="10"/>
  <c r="Q107" i="10"/>
  <c r="Q116" i="10"/>
  <c r="Q135" i="10"/>
  <c r="Q108" i="10"/>
  <c r="Q109" i="10"/>
  <c r="Q118" i="10"/>
  <c r="Q132" i="10"/>
  <c r="P121" i="12"/>
  <c r="H118" i="12"/>
  <c r="P122" i="12"/>
  <c r="P115" i="12"/>
  <c r="L117" i="12"/>
  <c r="H110" i="12"/>
  <c r="P113" i="12"/>
  <c r="L123" i="12"/>
  <c r="H115" i="12"/>
  <c r="R62" i="13"/>
  <c r="P62" i="13"/>
  <c r="H120" i="10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N8" i="11"/>
  <c r="B33" i="11"/>
  <c r="B39" i="11"/>
  <c r="B62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2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1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T115" i="8" s="1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P150" i="10" s="1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L62" i="13"/>
  <c r="K62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9" i="2"/>
  <c r="T9" i="17" s="1"/>
  <c r="T104" i="17" s="1"/>
  <c r="B63" i="9"/>
  <c r="B128" i="8"/>
  <c r="B51" i="8"/>
  <c r="B127" i="9"/>
  <c r="B66" i="8"/>
  <c r="B65" i="9"/>
  <c r="B138" i="8"/>
  <c r="G8" i="8"/>
  <c r="G103" i="8" s="1"/>
  <c r="B11" i="4"/>
  <c r="B151" i="9"/>
  <c r="B121" i="8"/>
  <c r="B65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6" i="2"/>
  <c r="S103" i="17" s="1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3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2" i="13"/>
  <c r="I62" i="13"/>
  <c r="O6" i="11"/>
  <c r="B157" i="4"/>
  <c r="B25" i="11"/>
  <c r="B41" i="11"/>
  <c r="B58" i="11"/>
  <c r="B66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4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P8" i="3"/>
  <c r="S8" i="3" s="1"/>
  <c r="Q144" i="8"/>
  <c r="H107" i="8"/>
  <c r="E253" i="2"/>
  <c r="G253" i="2" s="1"/>
  <c r="B7" i="11" s="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DH193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L25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 s="1"/>
  <c r="O8" i="12"/>
  <c r="O103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 s="1"/>
  <c r="L8" i="12"/>
  <c r="L103" i="12" s="1"/>
  <c r="N8" i="12"/>
  <c r="N103" i="12" s="1"/>
  <c r="Q8" i="12"/>
  <c r="Q103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 s="1"/>
  <c r="S7" i="12"/>
  <c r="S102" i="12" s="1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3" i="2"/>
  <c r="H11" i="1" s="1"/>
  <c r="S66" i="13"/>
  <c r="T66" i="13" s="1"/>
  <c r="G62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5" i="2"/>
  <c r="H19" i="1" s="1"/>
  <c r="G274" i="2"/>
  <c r="H15" i="1" s="1"/>
  <c r="G269" i="2"/>
  <c r="D11" i="1" s="1"/>
  <c r="G271" i="2"/>
  <c r="D19" i="1" s="1"/>
  <c r="G245" i="2"/>
  <c r="G7" i="11" s="1"/>
  <c r="R8" i="3"/>
  <c r="R8" i="11"/>
  <c r="G270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T55" i="11" l="1"/>
  <c r="T56" i="11"/>
  <c r="O60" i="11"/>
  <c r="Q60" i="11" s="1"/>
  <c r="O47" i="11"/>
  <c r="Q47" i="11" s="1"/>
  <c r="O59" i="11"/>
  <c r="P59" i="11" s="1"/>
  <c r="O37" i="11"/>
  <c r="Q37" i="11" s="1"/>
  <c r="O35" i="11"/>
  <c r="P35" i="11" s="1"/>
  <c r="O23" i="11"/>
  <c r="P23" i="11" s="1"/>
  <c r="O16" i="11"/>
  <c r="Q16" i="11" s="1"/>
  <c r="O65" i="11"/>
  <c r="O17" i="11"/>
  <c r="P17" i="11" s="1"/>
  <c r="O14" i="11"/>
  <c r="Q14" i="11" s="1"/>
  <c r="O58" i="11"/>
  <c r="Q58" i="11" s="1"/>
  <c r="O48" i="11"/>
  <c r="O42" i="11"/>
  <c r="Q42" i="11" s="1"/>
  <c r="O52" i="11"/>
  <c r="Q52" i="11" s="1"/>
  <c r="O44" i="11"/>
  <c r="Q44" i="11" s="1"/>
  <c r="O32" i="11"/>
  <c r="Q32" i="11" s="1"/>
  <c r="O50" i="11"/>
  <c r="P50" i="11" s="1"/>
  <c r="O11" i="11"/>
  <c r="P11" i="11" s="1"/>
  <c r="O27" i="11"/>
  <c r="Q27" i="11" s="1"/>
  <c r="O20" i="11"/>
  <c r="P20" i="11" s="1"/>
  <c r="O18" i="11"/>
  <c r="Q18" i="11" s="1"/>
  <c r="O21" i="11"/>
  <c r="P21" i="11" s="1"/>
  <c r="O22" i="11"/>
  <c r="P22" i="11" s="1"/>
  <c r="O43" i="11"/>
  <c r="O40" i="11"/>
  <c r="P40" i="11" s="1"/>
  <c r="O57" i="11"/>
  <c r="O36" i="11"/>
  <c r="P36" i="11" s="1"/>
  <c r="O34" i="11"/>
  <c r="O33" i="11"/>
  <c r="P33" i="11" s="1"/>
  <c r="O53" i="11"/>
  <c r="P53" i="11" s="1"/>
  <c r="O38" i="11"/>
  <c r="Q38" i="11" s="1"/>
  <c r="O15" i="11"/>
  <c r="P15" i="11" s="1"/>
  <c r="O64" i="11"/>
  <c r="O24" i="11"/>
  <c r="Q24" i="11" s="1"/>
  <c r="O26" i="11"/>
  <c r="P26" i="11" s="1"/>
  <c r="O25" i="11"/>
  <c r="P25" i="11" s="1"/>
  <c r="O63" i="11"/>
  <c r="O45" i="11"/>
  <c r="P45" i="11" s="1"/>
  <c r="O31" i="11"/>
  <c r="Q31" i="11" s="1"/>
  <c r="O41" i="11"/>
  <c r="O51" i="11"/>
  <c r="Q51" i="11" s="1"/>
  <c r="O46" i="11"/>
  <c r="P46" i="11" s="1"/>
  <c r="O19" i="11"/>
  <c r="P19" i="11" s="1"/>
  <c r="O12" i="11"/>
  <c r="O28" i="11"/>
  <c r="P28" i="11" s="1"/>
  <c r="O13" i="11"/>
  <c r="Q13" i="11" s="1"/>
  <c r="O54" i="11"/>
  <c r="P54" i="11" s="1"/>
  <c r="O39" i="11"/>
  <c r="P39" i="11" s="1"/>
  <c r="O49" i="11"/>
  <c r="Q49" i="11" s="1"/>
  <c r="O10" i="11"/>
  <c r="O29" i="11"/>
  <c r="O61" i="11"/>
  <c r="O30" i="11"/>
  <c r="O66" i="11"/>
  <c r="O56" i="11"/>
  <c r="O55" i="11"/>
  <c r="O62" i="11"/>
  <c r="Q62" i="11" s="1"/>
  <c r="R62" i="11"/>
  <c r="T62" i="11" s="1"/>
  <c r="K62" i="11"/>
  <c r="L62" i="11" s="1"/>
  <c r="S61" i="11"/>
  <c r="S65" i="11"/>
  <c r="T65" i="11"/>
  <c r="S8" i="13"/>
  <c r="S8" i="17"/>
  <c r="S64" i="11"/>
  <c r="T60" i="11"/>
  <c r="S60" i="11"/>
  <c r="S63" i="11"/>
  <c r="T63" i="1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N104" i="9" s="1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51" i="8"/>
  <c r="H138" i="8"/>
  <c r="J105" i="9"/>
  <c r="O29" i="10"/>
  <c r="O30" i="10" s="1"/>
  <c r="G137" i="4"/>
  <c r="G106" i="10"/>
  <c r="L114" i="4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L105" i="9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O105" i="9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6" i="11"/>
  <c r="T66" i="11"/>
  <c r="Q41" i="11"/>
  <c r="P43" i="11"/>
  <c r="Q48" i="11"/>
  <c r="Q12" i="11"/>
  <c r="Q34" i="11"/>
  <c r="T9" i="13"/>
  <c r="T104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3" i="13"/>
  <c r="W103" i="8"/>
  <c r="S103" i="12"/>
  <c r="S102" i="9"/>
  <c r="S102" i="4"/>
  <c r="S103" i="10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I59" i="11"/>
  <c r="H124" i="13"/>
  <c r="R126" i="4"/>
  <c r="S10" i="4"/>
  <c r="T10" i="4" s="1"/>
  <c r="Q15" i="11"/>
  <c r="R151" i="13"/>
  <c r="K124" i="13"/>
  <c r="K149" i="13" s="1"/>
  <c r="G161" i="13"/>
  <c r="M151" i="13"/>
  <c r="L151" i="13"/>
  <c r="R124" i="13"/>
  <c r="R125" i="13" s="1"/>
  <c r="M124" i="13"/>
  <c r="M149" i="13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J48" i="11"/>
  <c r="I151" i="13"/>
  <c r="S158" i="13"/>
  <c r="T158" i="13" s="1"/>
  <c r="L124" i="13"/>
  <c r="P151" i="13"/>
  <c r="N151" i="13"/>
  <c r="Q125" i="13"/>
  <c r="Q149" i="13"/>
  <c r="K151" i="13"/>
  <c r="I49" i="11"/>
  <c r="S144" i="13"/>
  <c r="T144" i="13" s="1"/>
  <c r="O124" i="13"/>
  <c r="S152" i="13"/>
  <c r="T152" i="13" s="1"/>
  <c r="H151" i="13"/>
  <c r="S159" i="13"/>
  <c r="T159" i="13" s="1"/>
  <c r="J151" i="13"/>
  <c r="S153" i="13"/>
  <c r="T153" i="13" s="1"/>
  <c r="J124" i="13"/>
  <c r="N124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P32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S33" i="11"/>
  <c r="T23" i="11"/>
  <c r="T58" i="11"/>
  <c r="T45" i="11"/>
  <c r="T19" i="11"/>
  <c r="S16" i="11"/>
  <c r="T41" i="11"/>
  <c r="T25" i="11"/>
  <c r="S47" i="11"/>
  <c r="S19" i="11"/>
  <c r="T16" i="11"/>
  <c r="S41" i="11"/>
  <c r="S62" i="13"/>
  <c r="T62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T36" i="11"/>
  <c r="T20" i="11"/>
  <c r="J15" i="11"/>
  <c r="S50" i="11"/>
  <c r="M43" i="11"/>
  <c r="S4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L38" i="11"/>
  <c r="L40" i="11"/>
  <c r="J12" i="11"/>
  <c r="L47" i="11"/>
  <c r="T22" i="11"/>
  <c r="S38" i="11"/>
  <c r="J46" i="11"/>
  <c r="L26" i="11"/>
  <c r="M39" i="11"/>
  <c r="J47" i="11"/>
  <c r="S25" i="11"/>
  <c r="T44" i="11"/>
  <c r="K8" i="11"/>
  <c r="K8" i="3"/>
  <c r="S8" i="12"/>
  <c r="S8" i="9"/>
  <c r="E254" i="2"/>
  <c r="F254" i="2"/>
  <c r="L48" i="11"/>
  <c r="I26" i="11"/>
  <c r="L34" i="11"/>
  <c r="T54" i="11"/>
  <c r="S58" i="12"/>
  <c r="T58" i="12" s="1"/>
  <c r="J27" i="11"/>
  <c r="J34" i="11"/>
  <c r="I28" i="11"/>
  <c r="I34" i="11"/>
  <c r="J53" i="11"/>
  <c r="M51" i="11"/>
  <c r="I35" i="11"/>
  <c r="L33" i="11"/>
  <c r="I17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P60" i="11" l="1"/>
  <c r="I125" i="8"/>
  <c r="I126" i="8" s="1"/>
  <c r="Q53" i="11"/>
  <c r="Q54" i="11"/>
  <c r="I21" i="1"/>
  <c r="I17" i="1"/>
  <c r="I13" i="1"/>
  <c r="L104" i="9"/>
  <c r="L148" i="9" s="1"/>
  <c r="L154" i="9" s="1"/>
  <c r="L159" i="9" s="1"/>
  <c r="L155" i="9" s="1"/>
  <c r="S62" i="11"/>
  <c r="O124" i="10"/>
  <c r="O125" i="10" s="1"/>
  <c r="P104" i="4"/>
  <c r="M105" i="8"/>
  <c r="L104" i="4"/>
  <c r="O104" i="9"/>
  <c r="Q20" i="11"/>
  <c r="G124" i="12"/>
  <c r="G125" i="12" s="1"/>
  <c r="H104" i="4"/>
  <c r="G105" i="12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04" i="4"/>
  <c r="S114" i="10"/>
  <c r="T114" i="10" s="1"/>
  <c r="S114" i="9"/>
  <c r="T114" i="9" s="1"/>
  <c r="J104" i="9"/>
  <c r="M156" i="13"/>
  <c r="I124" i="9"/>
  <c r="I125" i="9" s="1"/>
  <c r="Q124" i="10"/>
  <c r="Q125" i="10" s="1"/>
  <c r="I124" i="10"/>
  <c r="I125" i="10" s="1"/>
  <c r="Q156" i="13"/>
  <c r="O125" i="8"/>
  <c r="O126" i="8" s="1"/>
  <c r="Q124" i="12"/>
  <c r="Q125" i="12" s="1"/>
  <c r="Q105" i="12"/>
  <c r="G105" i="10"/>
  <c r="L124" i="10"/>
  <c r="L125" i="10" s="1"/>
  <c r="I104" i="4"/>
  <c r="I148" i="4" s="1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6" i="13"/>
  <c r="I161" i="13" s="1"/>
  <c r="I157" i="13" s="1"/>
  <c r="K156" i="13"/>
  <c r="P58" i="11"/>
  <c r="P63" i="11"/>
  <c r="Q63" i="11"/>
  <c r="P64" i="11"/>
  <c r="Q64" i="11"/>
  <c r="P65" i="11"/>
  <c r="Q65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P29" i="11"/>
  <c r="Q17" i="11"/>
  <c r="P27" i="11"/>
  <c r="P52" i="11"/>
  <c r="Q40" i="11"/>
  <c r="E17" i="1"/>
  <c r="E21" i="1" s="1"/>
  <c r="L31" i="9"/>
  <c r="S56" i="8"/>
  <c r="S61" i="8" s="1"/>
  <c r="S66" i="8" s="1"/>
  <c r="S62" i="8" s="1"/>
  <c r="S31" i="8"/>
  <c r="CV192" i="6"/>
  <c r="T31" i="8"/>
  <c r="P57" i="11"/>
  <c r="J57" i="11"/>
  <c r="K125" i="13"/>
  <c r="M125" i="13"/>
  <c r="J49" i="11"/>
  <c r="G157" i="13"/>
  <c r="R149" i="13"/>
  <c r="I48" i="11"/>
  <c r="M150" i="13"/>
  <c r="M161" i="13"/>
  <c r="M157" i="13" s="1"/>
  <c r="J59" i="11"/>
  <c r="J58" i="11"/>
  <c r="I58" i="11"/>
  <c r="O125" i="13"/>
  <c r="O149" i="13"/>
  <c r="O156" i="13" s="1"/>
  <c r="Q161" i="13"/>
  <c r="Q157" i="13" s="1"/>
  <c r="Q150" i="13"/>
  <c r="J125" i="13"/>
  <c r="J149" i="13"/>
  <c r="J156" i="13" s="1"/>
  <c r="I150" i="13"/>
  <c r="S151" i="13"/>
  <c r="T151" i="13" s="1"/>
  <c r="L125" i="13"/>
  <c r="L149" i="13"/>
  <c r="L156" i="13" s="1"/>
  <c r="P125" i="13"/>
  <c r="P149" i="13"/>
  <c r="P156" i="13" s="1"/>
  <c r="H125" i="13"/>
  <c r="H149" i="13"/>
  <c r="H156" i="13" s="1"/>
  <c r="S124" i="13"/>
  <c r="T124" i="13" s="1"/>
  <c r="N125" i="13"/>
  <c r="N149" i="13"/>
  <c r="N156" i="13" s="1"/>
  <c r="K150" i="13"/>
  <c r="K161" i="13"/>
  <c r="K157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4" i="2"/>
  <c r="S126" i="4"/>
  <c r="T126" i="4" s="1"/>
  <c r="I30" i="12"/>
  <c r="Q19" i="11"/>
  <c r="P42" i="1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J11" i="11"/>
  <c r="J31" i="11"/>
  <c r="I31" i="11"/>
  <c r="M148" i="10" l="1"/>
  <c r="G149" i="12"/>
  <c r="G150" i="12" s="1"/>
  <c r="K149" i="8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6" i="13"/>
  <c r="R161" i="13" s="1"/>
  <c r="R157" i="13" s="1"/>
  <c r="P30" i="11"/>
  <c r="S57" i="8"/>
  <c r="S31" i="9"/>
  <c r="T31" i="9" s="1"/>
  <c r="CU193" i="6"/>
  <c r="I57" i="11"/>
  <c r="Q57" i="11"/>
  <c r="R150" i="13"/>
  <c r="N61" i="12"/>
  <c r="N66" i="12" s="1"/>
  <c r="N62" i="12" s="1"/>
  <c r="N66" i="10"/>
  <c r="N62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P161" i="13"/>
  <c r="P157" i="13" s="1"/>
  <c r="P150" i="13"/>
  <c r="P149" i="9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Q29" i="11"/>
  <c r="M154" i="10"/>
  <c r="M159" i="10" s="1"/>
  <c r="M155" i="10" s="1"/>
  <c r="M149" i="10"/>
  <c r="D20" i="1"/>
  <c r="E20" i="1" s="1"/>
  <c r="J10" i="11"/>
  <c r="M155" i="12"/>
  <c r="M160" i="12" s="1"/>
  <c r="M156" i="12" s="1"/>
  <c r="M150" i="12"/>
  <c r="J29" i="11"/>
  <c r="I29" i="11"/>
  <c r="J155" i="12"/>
  <c r="J160" i="12" s="1"/>
  <c r="J156" i="12" s="1"/>
  <c r="J150" i="12"/>
  <c r="G155" i="12" l="1"/>
  <c r="G160" i="12" s="1"/>
  <c r="G156" i="12" s="1"/>
  <c r="K150" i="8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P56" i="11"/>
  <c r="I55" i="11"/>
  <c r="S150" i="13"/>
  <c r="T150" i="13" s="1"/>
  <c r="H161" i="13"/>
  <c r="S156" i="13"/>
  <c r="T156" i="13" s="1"/>
  <c r="G65" i="9"/>
  <c r="S60" i="9"/>
  <c r="T60" i="9" s="1"/>
  <c r="M30" i="11"/>
  <c r="S57" i="12"/>
  <c r="T57" i="12" s="1"/>
  <c r="L56" i="11"/>
  <c r="G66" i="12"/>
  <c r="L55" i="1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6" i="11"/>
  <c r="P66" i="11"/>
  <c r="P61" i="11"/>
  <c r="Q61" i="11"/>
  <c r="S159" i="4"/>
  <c r="T159" i="4" s="1"/>
  <c r="J55" i="11"/>
  <c r="H157" i="13"/>
  <c r="S161" i="13"/>
  <c r="T161" i="13" s="1"/>
  <c r="G61" i="9"/>
  <c r="S61" i="9" s="1"/>
  <c r="T61" i="9" s="1"/>
  <c r="S65" i="9"/>
  <c r="T65" i="9" s="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T66" i="12" l="1"/>
  <c r="S62" i="12"/>
  <c r="T62" i="12" s="1"/>
  <c r="G156" i="8"/>
  <c r="W156" i="8" s="1"/>
  <c r="X156" i="8" s="1"/>
  <c r="P62" i="11"/>
  <c r="S157" i="13"/>
  <c r="T157" i="13" s="1"/>
  <c r="M62" i="11"/>
  <c r="G62" i="8"/>
  <c r="W62" i="8" s="1"/>
  <c r="X62" i="8" s="1"/>
  <c r="W66" i="8"/>
  <c r="X66" i="8" s="1"/>
  <c r="S156" i="12"/>
  <c r="T156" i="12" s="1"/>
  <c r="J62" i="11" l="1"/>
  <c r="B102" i="16" l="1"/>
  <c r="B7" i="16"/>
  <c r="S7" i="16"/>
  <c r="S102" i="16" s="1"/>
  <c r="R8" i="16"/>
  <c r="R103" i="16" s="1"/>
  <c r="Q8" i="16"/>
  <c r="Q103" i="16" s="1"/>
  <c r="P8" i="16"/>
  <c r="P103" i="16" s="1"/>
  <c r="N8" i="16"/>
  <c r="N103" i="16" s="1"/>
  <c r="M8" i="16"/>
  <c r="M103" i="16" s="1"/>
  <c r="L8" i="16"/>
  <c r="L103" i="16" s="1"/>
  <c r="J8" i="16"/>
  <c r="J103" i="16" s="1"/>
  <c r="I8" i="16"/>
  <c r="I103" i="16" s="1"/>
  <c r="H8" i="16"/>
  <c r="H103" i="16" s="1"/>
  <c r="B54" i="16"/>
  <c r="E3" i="16"/>
  <c r="E2" i="16"/>
  <c r="S103" i="16"/>
  <c r="E4" i="16" l="1"/>
  <c r="B106" i="16"/>
  <c r="B11" i="16"/>
  <c r="B110" i="16"/>
  <c r="B15" i="16"/>
  <c r="B114" i="16"/>
  <c r="B19" i="16"/>
  <c r="B118" i="16"/>
  <c r="B23" i="16"/>
  <c r="B120" i="16"/>
  <c r="B25" i="16"/>
  <c r="B65" i="16"/>
  <c r="B159" i="16"/>
  <c r="B64" i="16"/>
  <c r="B158" i="16"/>
  <c r="B32" i="16"/>
  <c r="B127" i="16"/>
  <c r="B42" i="16"/>
  <c r="B137" i="16"/>
  <c r="B136" i="16"/>
  <c r="B41" i="16"/>
  <c r="B145" i="16"/>
  <c r="B50" i="16"/>
  <c r="B59" i="16"/>
  <c r="B152" i="16"/>
  <c r="B66" i="16"/>
  <c r="B160" i="16"/>
  <c r="G8" i="16"/>
  <c r="G103" i="16" s="1"/>
  <c r="K8" i="16"/>
  <c r="K103" i="16" s="1"/>
  <c r="O8" i="16"/>
  <c r="O103" i="16" s="1"/>
  <c r="B12" i="16"/>
  <c r="B107" i="16"/>
  <c r="B16" i="16"/>
  <c r="B111" i="16"/>
  <c r="B20" i="16"/>
  <c r="B115" i="16"/>
  <c r="B119" i="16"/>
  <c r="B24" i="16"/>
  <c r="B124" i="16"/>
  <c r="B29" i="16"/>
  <c r="B130" i="16"/>
  <c r="B35" i="16"/>
  <c r="B138" i="16"/>
  <c r="B43" i="16"/>
  <c r="B139" i="16"/>
  <c r="B44" i="16"/>
  <c r="B142" i="16"/>
  <c r="B47" i="16"/>
  <c r="B48" i="16"/>
  <c r="B143" i="16"/>
  <c r="B60" i="16"/>
  <c r="B153" i="16"/>
  <c r="B53" i="16"/>
  <c r="B154" i="16"/>
  <c r="B61" i="16"/>
  <c r="B155" i="16"/>
  <c r="B10" i="16"/>
  <c r="B105" i="16"/>
  <c r="B108" i="16"/>
  <c r="B13" i="16"/>
  <c r="B112" i="16"/>
  <c r="B17" i="16"/>
  <c r="B116" i="16"/>
  <c r="B21" i="16"/>
  <c r="B121" i="16"/>
  <c r="B26" i="16"/>
  <c r="B28" i="16"/>
  <c r="B123" i="16"/>
  <c r="B126" i="16"/>
  <c r="B31" i="16"/>
  <c r="B128" i="16"/>
  <c r="B33" i="16"/>
  <c r="B129" i="16"/>
  <c r="B34" i="16"/>
  <c r="B133" i="16"/>
  <c r="B38" i="16"/>
  <c r="B134" i="16"/>
  <c r="B39" i="16"/>
  <c r="B40" i="16"/>
  <c r="B135" i="16"/>
  <c r="B58" i="16"/>
  <c r="B151" i="16"/>
  <c r="B147" i="16"/>
  <c r="B52" i="16"/>
  <c r="B146" i="16"/>
  <c r="B51" i="16"/>
  <c r="B55" i="16"/>
  <c r="B149" i="16"/>
  <c r="B62" i="16"/>
  <c r="B156" i="16"/>
  <c r="T9" i="16"/>
  <c r="T104" i="16" s="1"/>
  <c r="B14" i="16"/>
  <c r="B109" i="16"/>
  <c r="B18" i="16"/>
  <c r="B113" i="16"/>
  <c r="B22" i="16"/>
  <c r="B117" i="16"/>
  <c r="B122" i="16"/>
  <c r="B27" i="16"/>
  <c r="B63" i="16"/>
  <c r="B157" i="16"/>
  <c r="B125" i="16"/>
  <c r="B30" i="16"/>
  <c r="B36" i="16"/>
  <c r="B131" i="16"/>
  <c r="B132" i="16"/>
  <c r="B37" i="16"/>
  <c r="B140" i="16"/>
  <c r="B45" i="16"/>
  <c r="B141" i="16"/>
  <c r="B46" i="16"/>
  <c r="B49" i="16"/>
  <c r="B144" i="16"/>
  <c r="B57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<sst xmlns="http://schemas.openxmlformats.org/spreadsheetml/2006/main" count="1609" uniqueCount="796">
  <si>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</si>
  <si>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</si>
  <si>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</si>
  <si>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</si>
  <si>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</si>
  <si>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</si>
  <si>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</si>
  <si>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</si>
  <si>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</si>
  <si>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</si>
  <si>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</si>
  <si>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</si>
  <si>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</si>
  <si>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</si>
  <si>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</si>
  <si>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</si>
  <si>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</si>
  <si>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</si>
  <si>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</si>
  <si>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</si>
  <si>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</si>
  <si>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</si>
  <si>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</si>
  <si>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</si>
  <si>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</si>
  <si>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</si>
  <si>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</si>
  <si>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</si>
  <si>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</si>
  <si>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</si>
  <si>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</si>
  <si>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</si>
  <si>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</si>
  <si>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</si>
  <si>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</si>
  <si>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</si>
  <si>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</si>
  <si>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</si>
  <si>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</si>
  <si>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</si>
  <si>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</si>
  <si>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</si>
  <si>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</si>
  <si>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</si>
  <si>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</si>
  <si>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</si>
  <si>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</si>
  <si>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</si>
  <si>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</si>
  <si>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</si>
  <si>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</si>
  <si>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</si>
  <si>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</si>
  <si>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</si>
  <si>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</si>
  <si>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</si>
  <si>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</si>
  <si>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</si>
  <si>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</si>
  <si>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</si>
  <si>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</si>
  <si>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</si>
  <si>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</si>
  <si>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</si>
  <si>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</si>
  <si>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</si>
  <si>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</si>
  <si>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</si>
  <si>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</si>
  <si>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</si>
  <si>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</si>
  <si>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</si>
  <si>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</si>
  <si>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</si>
  <si>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</si>
  <si>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</si>
  <si>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</si>
  <si>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</si>
  <si>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</si>
  <si>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</si>
  <si>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</si>
  <si>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</si>
  <si>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</si>
  <si>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</si>
  <si>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</si>
  <si>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</si>
  <si>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</si>
  <si>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</si>
  <si>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</si>
  <si>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</si>
  <si>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</si>
  <si>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</si>
  <si>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</si>
  <si>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</si>
  <si>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</si>
  <si>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</si>
  <si>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</si>
  <si>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</si>
  <si>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</si>
  <si>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</si>
  <si>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</si>
  <si>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</si>
  <si>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</si>
  <si>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</si>
  <si>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</si>
  <si>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</si>
  <si>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</si>
  <si>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</si>
  <si>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</si>
  <si>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</si>
  <si>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</si>
  <si>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</si>
  <si>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</si>
  <si>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</si>
  <si>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</si>
  <si>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</si>
  <si>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</si>
  <si>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</si>
  <si>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</si>
  <si>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</si>
  <si>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</si>
  <si>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</si>
  <si>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</si>
  <si>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</si>
  <si>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</si>
  <si>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</si>
  <si>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</si>
  <si>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</si>
  <si>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</si>
  <si>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</si>
  <si>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</si>
  <si>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</si>
  <si>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</si>
  <si>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</si>
  <si>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</si>
  <si>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</si>
  <si>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</si>
  <si>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</si>
  <si>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</si>
  <si>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</si>
  <si>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</si>
  <si>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</si>
  <si>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</si>
  <si>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</si>
  <si>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</si>
  <si>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</si>
  <si>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</si>
  <si>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</si>
  <si>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</si>
  <si>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</si>
  <si>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</si>
  <si>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</si>
  <si>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</si>
  <si>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</si>
  <si>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</si>
  <si>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</si>
  <si>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</si>
  <si>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</si>
  <si>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</si>
  <si>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</si>
  <si>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</si>
  <si>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</si>
  <si>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</si>
  <si>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</si>
  <si>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</si>
  <si>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</si>
  <si>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</si>
  <si>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</si>
  <si>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</si>
  <si>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</si>
  <si>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</si>
  <si>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</si>
  <si>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</si>
  <si>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</si>
  <si>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</si>
  <si>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</si>
  <si>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</si>
  <si>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</si>
  <si>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</si>
  <si>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</si>
  <si>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</si>
  <si>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</si>
  <si>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</si>
  <si>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</si>
  <si>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</si>
  <si>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</si>
  <si>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</si>
  <si>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</si>
  <si>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</si>
  <si>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</si>
  <si>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</si>
  <si>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</si>
  <si>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</si>
  <si>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</si>
  <si>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</si>
  <si>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</si>
  <si>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</si>
  <si>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</si>
  <si>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</si>
  <si>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</si>
  <si>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</si>
  <si>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</si>
  <si>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</si>
  <si>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</si>
  <si>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</si>
  <si>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</si>
  <si>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</si>
  <si>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</si>
  <si>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</si>
  <si>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</si>
  <si>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</si>
  <si>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</si>
  <si>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</si>
  <si>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</si>
  <si>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</si>
  <si>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</si>
  <si>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</si>
  <si>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</si>
  <si>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</si>
  <si>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</si>
  <si>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</si>
  <si>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</si>
  <si>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</si>
  <si>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</si>
  <si>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</si>
  <si>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</si>
  <si>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</si>
  <si>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</si>
  <si>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</si>
  <si>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</si>
  <si>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</si>
  <si>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</si>
  <si>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</si>
  <si>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</si>
  <si>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</si>
  <si>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</si>
  <si>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</si>
  <si>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</si>
  <si>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</si>
  <si>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</si>
  <si>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</si>
  <si>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</si>
  <si>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</si>
  <si>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</si>
  <si>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</si>
  <si>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</si>
  <si>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</si>
  <si>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</si>
  <si>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</si>
  <si>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</si>
  <si>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</si>
  <si>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</si>
  <si>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</si>
  <si>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</si>
  <si>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</si>
  <si>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</si>
  <si>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</si>
  <si>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</si>
  <si>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</si>
  <si>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</si>
  <si>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</si>
  <si>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</si>
  <si>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</si>
  <si>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</si>
  <si>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</si>
  <si>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</si>
  <si>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</si>
  <si>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</si>
  <si>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</si>
  <si>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</si>
  <si>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</si>
  <si>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</si>
  <si>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</si>
  <si>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</si>
  <si>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</si>
  <si>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</si>
  <si>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</si>
  <si>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</si>
  <si>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</si>
  <si>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</si>
  <si>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</si>
  <si>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</si>
  <si>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</si>
  <si>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</si>
  <si>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</si>
  <si>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</si>
  <si>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</si>
  <si>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</si>
  <si>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</si>
  <si>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</si>
  <si>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</si>
  <si>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</si>
  <si>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</si>
  <si>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</si>
  <si>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</si>
  <si>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</si>
  <si>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</si>
  <si>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</si>
  <si>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</si>
  <si>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</si>
  <si>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</si>
  <si>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</si>
  <si>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</si>
  <si>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</si>
  <si>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</si>
  <si>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</si>
  <si>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</si>
  <si>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</si>
  <si>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</si>
  <si>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</si>
  <si>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</si>
  <si>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</si>
  <si>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</si>
  <si>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</si>
  <si>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</si>
  <si>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</si>
  <si>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</si>
  <si>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</si>
  <si>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</si>
  <si>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</si>
  <si>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</si>
  <si>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</si>
  <si>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</si>
  <si>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</si>
  <si>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</si>
  <si>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</si>
  <si>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</si>
  <si>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</si>
  <si>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</si>
  <si>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</si>
  <si>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</si>
  <si>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</si>
  <si>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</si>
  <si>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</si>
  <si>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</si>
  <si>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</si>
  <si>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</si>
  <si>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</si>
  <si>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</si>
  <si>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</si>
  <si>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</si>
  <si>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</si>
  <si>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</si>
  <si>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</si>
  <si>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</si>
  <si>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</si>
  <si>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</si>
  <si>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</si>
  <si>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</si>
  <si>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</si>
  <si>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</si>
  <si>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</si>
  <si>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</si>
  <si>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</si>
  <si>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</si>
  <si>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</si>
  <si>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</si>
  <si>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</si>
  <si>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</si>
  <si>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</si>
  <si>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</si>
  <si>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</si>
  <si>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</si>
  <si>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</si>
  <si>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</si>
  <si>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</si>
  <si>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</si>
  <si>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</si>
  <si>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</si>
  <si>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</si>
  <si>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</si>
  <si>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</si>
  <si>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</si>
  <si>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</si>
  <si>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</si>
  <si>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</si>
  <si>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</si>
  <si>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</si>
  <si>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</si>
  <si>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</si>
  <si>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</si>
  <si>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</si>
  <si>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</si>
  <si>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</si>
  <si>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</si>
  <si>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</si>
  <si>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</si>
  <si>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</si>
  <si>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</si>
  <si>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</si>
  <si>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</si>
  <si>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</si>
  <si>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</si>
  <si>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</si>
  <si>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</si>
  <si>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</si>
  <si>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</si>
  <si>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</si>
  <si>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</si>
  <si>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</si>
  <si>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</si>
  <si>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</si>
  <si>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</si>
  <si>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</si>
  <si>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</si>
  <si>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</si>
  <si>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</si>
  <si>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</si>
  <si>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</si>
  <si>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</si>
  <si>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</si>
  <si>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</si>
  <si>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</si>
  <si>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</si>
  <si>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</si>
  <si>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</si>
  <si>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</si>
  <si>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</si>
  <si>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</si>
  <si>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</si>
  <si>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</si>
  <si>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</si>
  <si>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</si>
  <si>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</si>
  <si>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</si>
  <si>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</si>
  <si>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</si>
  <si>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</si>
  <si>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</si>
  <si>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</si>
  <si>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</si>
  <si>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</si>
  <si>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</si>
  <si>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</si>
  <si>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</si>
  <si>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</si>
  <si>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</si>
  <si>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</si>
  <si>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</si>
  <si>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</si>
  <si>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</si>
  <si>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</si>
  <si>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</si>
  <si>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</si>
  <si>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</si>
  <si>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</si>
  <si>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</si>
  <si>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</si>
  <si>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</si>
  <si>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</si>
  <si>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</si>
  <si>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</si>
  <si>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</si>
  <si>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</si>
  <si>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</si>
  <si>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</si>
  <si>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</si>
  <si>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</si>
  <si>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</si>
  <si>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</si>
  <si>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</si>
  <si>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</si>
  <si>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</si>
  <si>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</si>
  <si>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</si>
  <si>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</si>
  <si>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</si>
  <si>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</si>
  <si>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</si>
  <si>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</si>
  <si>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</si>
  <si>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</si>
  <si>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</si>
  <si>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</si>
  <si>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</si>
  <si>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</si>
  <si>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</si>
  <si>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</si>
  <si>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</si>
  <si>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</si>
  <si>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</si>
  <si>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</si>
  <si>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</si>
  <si>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</si>
  <si>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</si>
  <si>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</si>
  <si>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</si>
  <si>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</si>
  <si>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</si>
  <si>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</si>
  <si>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</si>
  <si>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</si>
  <si>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</si>
  <si>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</si>
  <si>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</si>
  <si>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</si>
  <si>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</si>
  <si>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</si>
  <si>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</si>
  <si>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</si>
  <si>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</si>
  <si>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</si>
  <si>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</si>
  <si>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</si>
  <si>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</si>
  <si>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</si>
  <si>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</si>
  <si>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</si>
  <si>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</si>
  <si>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</si>
  <si>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</si>
  <si>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</si>
  <si>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</si>
  <si>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</si>
  <si>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</si>
  <si>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</si>
  <si>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</si>
  <si>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</si>
  <si>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</si>
  <si>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</si>
  <si>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</si>
  <si>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</si>
  <si>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</si>
  <si>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</si>
  <si>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</si>
  <si>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</si>
  <si>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</si>
  <si>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</si>
  <si>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</si>
  <si>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</si>
  <si>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</si>
  <si>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</si>
  <si>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</si>
  <si>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</si>
  <si>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</si>
  <si>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</si>
  <si>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</si>
  <si>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</si>
  <si>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</si>
  <si>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</si>
  <si>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</si>
  <si>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</si>
  <si>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</si>
  <si>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</si>
  <si>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</si>
  <si>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</si>
  <si>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</si>
  <si>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</si>
  <si>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</si>
  <si>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</si>
  <si>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</si>
  <si>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</si>
  <si>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</si>
  <si>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</si>
  <si>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</si>
  <si>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</si>
  <si>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</si>
  <si>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</si>
  <si>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</si>
  <si>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</si>
  <si>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</si>
  <si>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</si>
  <si>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</si>
  <si>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</si>
  <si>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</si>
  <si>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</si>
  <si>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</si>
  <si>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</si>
  <si>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</si>
  <si>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</si>
  <si>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</si>
  <si>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</si>
  <si>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</si>
  <si>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</si>
  <si>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</si>
  <si>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</si>
  <si>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</si>
  <si>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</si>
  <si>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</si>
  <si>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</si>
  <si>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</si>
  <si>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</si>
  <si>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</si>
  <si>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</si>
  <si>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</si>
  <si>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</si>
  <si>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</si>
  <si>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</si>
  <si>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</si>
  <si>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</si>
  <si>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</si>
  <si>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</si>
  <si>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</si>
  <si>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</si>
  <si>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</si>
  <si>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</si>
  <si>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</si>
  <si>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</si>
  <si>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</si>
  <si>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</si>
  <si>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</si>
  <si>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</si>
  <si>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</si>
  <si>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</si>
  <si>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</si>
  <si>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</si>
  <si>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</si>
  <si>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</si>
  <si>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</si>
  <si>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</si>
  <si>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</si>
  <si>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</si>
  <si>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</si>
  <si>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</si>
  <si>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</si>
  <si>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</si>
  <si>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</si>
  <si>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</si>
  <si>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</si>
  <si>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</si>
  <si>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</si>
  <si>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</si>
  <si>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</si>
  <si>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</si>
  <si>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</si>
  <si>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</si>
  <si>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</si>
  <si>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</si>
  <si>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</si>
  <si>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</si>
  <si>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</si>
  <si>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</si>
  <si>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</si>
  <si>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</si>
  <si>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</si>
  <si>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</si>
  <si>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</si>
  <si>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</si>
  <si>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</si>
  <si>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</si>
  <si>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</si>
  <si>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</si>
  <si>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</si>
  <si>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</si>
  <si>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</si>
  <si>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</si>
  <si>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</si>
  <si>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</si>
  <si>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</si>
  <si>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</si>
  <si>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</si>
  <si>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</si>
  <si>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</si>
  <si>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</si>
  <si>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</si>
  <si>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</si>
  <si>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</si>
  <si>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</si>
  <si>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</si>
  <si>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</si>
  <si>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</si>
  <si>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</si>
  <si>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</si>
  <si>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</si>
  <si>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</si>
  <si>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</si>
  <si>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</si>
  <si>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</si>
  <si>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</si>
  <si>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</si>
  <si>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</si>
  <si>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</si>
  <si>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</si>
  <si>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</si>
  <si>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</si>
  <si>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</si>
  <si>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</si>
  <si>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</si>
  <si>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</si>
  <si>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</si>
  <si>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</si>
  <si>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</si>
  <si>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</si>
  <si>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</si>
  <si>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</si>
  <si>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</si>
  <si>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</si>
  <si>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</si>
  <si>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</si>
  <si>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</si>
  <si>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</si>
  <si>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</si>
  <si>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</si>
  <si>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</si>
  <si>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</si>
  <si>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</si>
  <si>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</si>
  <si>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</si>
  <si>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</si>
  <si>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</si>
  <si>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</si>
  <si>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</si>
  <si>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</si>
  <si>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</si>
  <si>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</si>
  <si>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</si>
  <si>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</si>
  <si>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</si>
  <si>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</si>
  <si>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</si>
  <si>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</si>
  <si>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</si>
  <si>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</si>
  <si>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</si>
  <si>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</si>
  <si>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</si>
  <si>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</si>
  <si>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</si>
  <si>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</si>
  <si>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</si>
  <si>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</si>
  <si>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</si>
  <si>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</si>
  <si>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</si>
  <si>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</si>
  <si>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</si>
  <si>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</si>
  <si>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</si>
  <si>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</si>
  <si>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</si>
  <si>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</si>
  <si>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</si>
  <si>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</si>
  <si>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</si>
  <si>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</si>
  <si>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</si>
  <si>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</si>
  <si>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</si>
  <si>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</si>
  <si>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</si>
  <si>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</si>
  <si>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</si>
  <si>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</si>
  <si>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</si>
  <si>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</si>
  <si>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</si>
  <si>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</si>
  <si>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</si>
  <si>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</si>
  <si>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</si>
  <si>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</si>
  <si>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</si>
  <si>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</si>
  <si>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</si>
  <si>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</si>
  <si>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</si>
  <si>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</si>
  <si>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</si>
  <si>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</si>
  <si>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</si>
  <si>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</si>
  <si>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</si>
  <si>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</si>
  <si>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</si>
  <si>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</si>
  <si>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</si>
  <si>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</si>
  <si>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</si>
  <si>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</si>
  <si>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</si>
  <si>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</si>
  <si>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</si>
  <si>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</si>
  <si>
    <t>Korigovani suficit/deficit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</si>
  <si>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</si>
  <si>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</si>
  <si>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</si>
  <si>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</si>
  <si>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</si>
  <si>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</si>
  <si>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</si>
  <si>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</si>
  <si>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</si>
  <si>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</si>
  <si>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</si>
  <si>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</si>
  <si>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</si>
  <si>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</si>
  <si>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</si>
  <si>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</si>
  <si>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</si>
  <si>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Suficit/Deficit za period Januar -</t>
  </si>
  <si>
    <t>Surplus/Deficit for period January -</t>
  </si>
  <si>
    <t>Surplus/Deficit for</t>
  </si>
  <si>
    <t>Current Budgetary Consumption</t>
  </si>
  <si>
    <t>Tekuća budžetska potrošnja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</si>
</sst>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</cellStyleXfs>
  <cellXfs count="56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3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7" fontId="6" fillId="3" borderId="5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7" fontId="27" fillId="9" borderId="23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7" fontId="6" fillId="9" borderId="39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167" fontId="29" fillId="8" borderId="15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7" fontId="28" fillId="9" borderId="15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7" fontId="27" fillId="8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 vertical="center"/>
    </xf>
    <xf numFmtId="167" fontId="26" fillId="8" borderId="15" xfId="0" applyNumberFormat="1" applyFont="1" applyFill="1" applyBorder="1" applyAlignment="1">
      <alignment horizontal="center" vertical="center"/>
    </xf>
    <xf numFmtId="166" fontId="27" fillId="9" borderId="21" xfId="0" applyNumberFormat="1" applyFont="1" applyFill="1" applyBorder="1" applyAlignment="1">
      <alignment horizontal="center" vertical="center"/>
    </xf>
    <xf numFmtId="167" fontId="27" fillId="9" borderId="23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7" fontId="27" fillId="9" borderId="26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7" fontId="27" fillId="9" borderId="29" xfId="0" applyNumberFormat="1" applyFont="1" applyFill="1" applyBorder="1" applyAlignment="1">
      <alignment horizontal="center" vertical="center"/>
    </xf>
    <xf numFmtId="166" fontId="26" fillId="4" borderId="13" xfId="0" applyNumberFormat="1" applyFont="1" applyFill="1" applyBorder="1" applyAlignment="1">
      <alignment horizontal="center" vertical="center"/>
    </xf>
    <xf numFmtId="167" fontId="26" fillId="4" borderId="15" xfId="0" applyNumberFormat="1" applyFont="1" applyFill="1" applyBorder="1" applyAlignment="1">
      <alignment horizontal="center" vertical="center"/>
    </xf>
    <xf numFmtId="166" fontId="26" fillId="9" borderId="13" xfId="0" applyNumberFormat="1" applyFont="1" applyFill="1" applyBorder="1" applyAlignment="1">
      <alignment horizontal="center" vertical="center"/>
    </xf>
    <xf numFmtId="167" fontId="26" fillId="9" borderId="15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167" fontId="6" fillId="3" borderId="10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0" fillId="2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27" fillId="9" borderId="23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6" fillId="3" borderId="5" xfId="0" applyNumberFormat="1" applyFont="1" applyFill="1" applyBorder="1" applyAlignment="1" applyProtection="1">
      <alignment horizontal="center" vertical="center"/>
      <protection hidden="1"/>
    </xf>
    <xf numFmtId="166" fontId="25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7" xfId="0" applyNumberFormat="1" applyFont="1" applyFill="1" applyBorder="1" applyAlignment="1" applyProtection="1">
      <alignment horizontal="center" vertical="center"/>
      <protection hidden="1"/>
    </xf>
    <xf numFmtId="167" fontId="27" fillId="9" borderId="29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6" fillId="4" borderId="15" xfId="0" applyNumberFormat="1" applyFont="1" applyFill="1" applyBorder="1" applyAlignment="1" applyProtection="1">
      <alignment horizontal="center" vertical="center"/>
      <protection hidden="1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6" fillId="3" borderId="8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7" fontId="29" fillId="8" borderId="15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7" fontId="27" fillId="9" borderId="23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7" fontId="6" fillId="3" borderId="5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7" fontId="28" fillId="9" borderId="15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7" fontId="27" fillId="8" borderId="15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167" fontId="6" fillId="9" borderId="39" xfId="0" applyNumberFormat="1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right" vertic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6" fontId="22" fillId="0" borderId="14" xfId="0" applyNumberFormat="1" applyFont="1" applyFill="1" applyBorder="1" applyAlignment="1" applyProtection="1">
      <alignment horizontal="center" vertical="center"/>
      <protection hidden="1"/>
    </xf>
    <xf numFmtId="166" fontId="29" fillId="0" borderId="13" xfId="0" applyNumberFormat="1" applyFont="1" applyFill="1" applyBorder="1" applyAlignment="1" applyProtection="1">
      <alignment horizontal="center"/>
      <protection hidden="1"/>
    </xf>
    <xf numFmtId="167" fontId="29" fillId="0" borderId="15" xfId="0" applyNumberFormat="1" applyFont="1" applyFill="1" applyBorder="1" applyAlignment="1" applyProtection="1">
      <alignment horizontal="center"/>
      <protection hidden="1"/>
    </xf>
    <xf numFmtId="166" fontId="24" fillId="0" borderId="33" xfId="0" applyNumberFormat="1" applyFont="1" applyFill="1" applyBorder="1" applyAlignment="1" applyProtection="1">
      <alignment horizontal="center" vertical="center"/>
      <protection hidden="1"/>
    </xf>
    <xf numFmtId="166" fontId="27" fillId="0" borderId="21" xfId="0" applyNumberFormat="1" applyFont="1" applyFill="1" applyBorder="1" applyAlignment="1" applyProtection="1">
      <alignment horizontal="center"/>
      <protection hidden="1"/>
    </xf>
    <xf numFmtId="167" fontId="27" fillId="0" borderId="23" xfId="0" applyNumberFormat="1" applyFont="1" applyFill="1" applyBorder="1" applyAlignment="1" applyProtection="1">
      <alignment horizontal="center"/>
      <protection hidden="1"/>
    </xf>
    <xf numFmtId="166" fontId="4" fillId="0" borderId="38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4" fillId="3" borderId="74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6" fontId="24" fillId="3" borderId="74" xfId="0" applyNumberFormat="1" applyFont="1" applyFill="1" applyBorder="1" applyAlignment="1">
      <alignment horizontal="center" vertical="center"/>
    </xf>
    <xf numFmtId="166" fontId="24" fillId="3" borderId="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hidden="1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2" fillId="4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 vertical="center"/>
      <protection hidden="1"/>
    </xf>
    <xf numFmtId="166" fontId="4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2" borderId="74" xfId="0" applyNumberFormat="1" applyFont="1" applyFill="1" applyBorder="1" applyAlignment="1" applyProtection="1">
      <alignment horizontal="center" vertical="center"/>
      <protection hidden="1"/>
    </xf>
    <xf numFmtId="166" fontId="4" fillId="3" borderId="25" xfId="0" applyNumberFormat="1" applyFont="1" applyFill="1" applyBorder="1" applyAlignment="1" applyProtection="1">
      <alignment horizontal="center" vertical="center"/>
      <protection hidden="1"/>
    </xf>
    <xf numFmtId="166" fontId="22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166" fontId="27" fillId="9" borderId="13" xfId="0" applyNumberFormat="1" applyFont="1" applyFill="1" applyBorder="1" applyAlignment="1" applyProtection="1">
      <alignment horizontal="center" vertical="center"/>
      <protection hidden="1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9" fontId="0" fillId="4" borderId="0" xfId="1" applyFont="1" applyFill="1" applyAlignment="1">
      <alignment horizontal="right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6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NumberFormat="1" applyFill="1" applyAlignment="1">
      <alignment horizontal="right"/>
    </xf>
    <xf numFmtId="0" fontId="0" fillId="4" borderId="0" xfId="0" applyNumberFormat="1" applyFill="1" applyAlignment="1">
      <alignment horizontal="right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2" fillId="0" borderId="13" xfId="0" applyFont="1" applyFill="1" applyBorder="1" applyAlignment="1" applyProtection="1">
      <alignment horizontal="left" vertical="center"/>
      <protection hidden="1"/>
    </xf>
    <xf numFmtId="0" fontId="22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6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 3" xfId="133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060288"/>
        <c:axId val="178694400"/>
      </c:lineChart>
      <c:catAx>
        <c:axId val="178060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178694400"/>
        <c:crosses val="autoZero"/>
        <c:auto val="1"/>
        <c:lblAlgn val="ctr"/>
        <c:lblOffset val="100"/>
        <c:tickLblSkip val="3"/>
        <c:noMultiLvlLbl val="0"/>
      </c:catAx>
      <c:valAx>
        <c:axId val="178694400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78060288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049280"/>
        <c:axId val="166050816"/>
      </c:lineChart>
      <c:catAx>
        <c:axId val="166049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166050816"/>
        <c:crosses val="autoZero"/>
        <c:auto val="1"/>
        <c:lblAlgn val="ctr"/>
        <c:lblOffset val="100"/>
        <c:tickLblSkip val="3"/>
        <c:noMultiLvlLbl val="0"/>
      </c:catAx>
      <c:valAx>
        <c:axId val="166050816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6604928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fmlaLink="Master!$B$2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9'!_2015plan"/><Relationship Id="rId4" Type="http://schemas.openxmlformats.org/officeDocument/2006/relationships/hyperlink" Target="#'2019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6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7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0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1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7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8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9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7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6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7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20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21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171</xdr:col>
      <xdr:colOff>133350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15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7019926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sr-Latn-ME" sz="1100"/>
            <a:t>SAOPŠTENJE</a:t>
          </a:r>
          <a:r>
            <a:rPr lang="sr-Latn-ME" sz="1100" baseline="0"/>
            <a:t>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januar-maj 2019. godine iznosili su 680,5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veći su za 24,5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3,7% u odnosu na plan. U odnosu na isti period prethodne godine prihodi su veći za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57,4 mil.€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ili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9,2%.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januar-maj 2019. godine iznosili su 733,9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15,3% BDP-a i viši su za 40,3 mil. € 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5,8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u odnosu na isti period prethodne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godine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U odnosu na plan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izdaci su manji za 125,6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14,6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periodu januar-maj 2019. godine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 53,4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1,1%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procijenjenog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BDP-a.</a:t>
          </a:r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 stavkama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"Bruto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zarade i doprinosi na teret poslodavca" i "Prava iz oblasti penzijskog i invalidskog osiguranja" dobijeni su na osnovu obračunskog usklađivanja, dok su ostale stavke prikazane po kešu.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48E85E4-3B54-4153-BE9E-2A87943BD4C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7BDB62-187A-468F-810B-CAD5404521F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99200F-FD47-469A-8724-81C1907DF868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657225</xdr:colOff>
      <xdr:row>2</xdr:row>
      <xdr:rowOff>9524</xdr:rowOff>
    </xdr:from>
    <xdr:to>
      <xdr:col>13</xdr:col>
      <xdr:colOff>447675</xdr:colOff>
      <xdr:row>3</xdr:row>
      <xdr:rowOff>152399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733425</xdr:colOff>
      <xdr:row>0</xdr:row>
      <xdr:rowOff>104775</xdr:rowOff>
    </xdr:from>
    <xdr:to>
      <xdr:col>16</xdr:col>
      <xdr:colOff>131456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5A3C00-4005-447D-B7D4-B56016177DB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/>
  </xdr:twoCellAnchor>
  <xdr:twoCellAnchor editAs="absolute">
    <xdr:from>
      <xdr:col>13</xdr:col>
      <xdr:colOff>733425</xdr:colOff>
      <xdr:row>2</xdr:row>
      <xdr:rowOff>9525</xdr:rowOff>
    </xdr:from>
    <xdr:to>
      <xdr:col>16</xdr:col>
      <xdr:colOff>131456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B0B3BB9-EF27-464E-9D1A-20F53B91270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13</xdr:col>
      <xdr:colOff>752475</xdr:colOff>
      <xdr:row>3</xdr:row>
      <xdr:rowOff>133350</xdr:rowOff>
    </xdr:from>
    <xdr:to>
      <xdr:col>16</xdr:col>
      <xdr:colOff>150506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8F11A2-BD6C-4458-A0CF-455DD0145AD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285750</xdr:colOff>
      <xdr:row>2</xdr:row>
      <xdr:rowOff>0</xdr:rowOff>
    </xdr:from>
    <xdr:to>
      <xdr:col>13</xdr:col>
      <xdr:colOff>38735</xdr:colOff>
      <xdr:row>3</xdr:row>
      <xdr:rowOff>76200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10</xdr:col>
      <xdr:colOff>285750</xdr:colOff>
      <xdr:row>4</xdr:row>
      <xdr:rowOff>0</xdr:rowOff>
    </xdr:from>
    <xdr:to>
      <xdr:col>13</xdr:col>
      <xdr:colOff>35560</xdr:colOff>
      <xdr:row>4</xdr:row>
      <xdr:rowOff>266700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13</xdr:col>
      <xdr:colOff>285750</xdr:colOff>
      <xdr:row>2</xdr:row>
      <xdr:rowOff>0</xdr:rowOff>
    </xdr:from>
    <xdr:to>
      <xdr:col>15</xdr:col>
      <xdr:colOff>143193</xdr:colOff>
      <xdr:row>3</xdr:row>
      <xdr:rowOff>9525</xdr:rowOff>
    </xdr:to>
    <xdr:sp macro="" textlink="Master!G2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285750</xdr:colOff>
      <xdr:row>4</xdr:row>
      <xdr:rowOff>0</xdr:rowOff>
    </xdr:from>
    <xdr:to>
      <xdr:col>15</xdr:col>
      <xdr:colOff>143193</xdr:colOff>
      <xdr:row>4</xdr:row>
      <xdr:rowOff>200025</xdr:rowOff>
    </xdr:to>
    <xdr:sp macro="" textlink="Master!G2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15</xdr:col>
      <xdr:colOff>285750</xdr:colOff>
      <xdr:row>1</xdr:row>
      <xdr:rowOff>57150</xdr:rowOff>
    </xdr:from>
    <xdr:to>
      <xdr:col>17</xdr:col>
      <xdr:colOff>647158</xdr:colOff>
      <xdr:row>2</xdr:row>
      <xdr:rowOff>82650</xdr:rowOff>
    </xdr:to>
    <xdr:sp macro="" textlink="Master!G11" fLocksText="0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44FB6B9-C28E-46F0-B911-46048C8D2C4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 fLocksWithSheet="0"/>
  </xdr:twoCellAnchor>
  <xdr:twoCellAnchor editAs="absolute">
    <xdr:from>
      <xdr:col>15</xdr:col>
      <xdr:colOff>285750</xdr:colOff>
      <xdr:row>2</xdr:row>
      <xdr:rowOff>152400</xdr:rowOff>
    </xdr:from>
    <xdr:to>
      <xdr:col>17</xdr:col>
      <xdr:colOff>671287</xdr:colOff>
      <xdr:row>3</xdr:row>
      <xdr:rowOff>177900</xdr:rowOff>
    </xdr:to>
    <xdr:sp macro="" textlink="Master!G12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AFF66A2-DFB4-4F62-9C18-8BD40D3E12A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15</xdr:col>
      <xdr:colOff>295275</xdr:colOff>
      <xdr:row>4</xdr:row>
      <xdr:rowOff>57150</xdr:rowOff>
    </xdr:from>
    <xdr:to>
      <xdr:col>17</xdr:col>
      <xdr:colOff>680812</xdr:colOff>
      <xdr:row>4</xdr:row>
      <xdr:rowOff>273150</xdr:rowOff>
    </xdr:to>
    <xdr:sp macro="" textlink="Master!G13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40B4CF9-1D04-422E-BA0E-D49D86491676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2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F7BB9B-A6AC-436F-B271-B6B9D0F872D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CF93FA0-58F7-4CB5-88CE-D8D3205CA5E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4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C3FF98-F682-44D8-A74C-6EA9AB2CA60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838200</xdr:colOff>
      <xdr:row>2</xdr:row>
      <xdr:rowOff>123824</xdr:rowOff>
    </xdr:from>
    <xdr:to>
      <xdr:col>13</xdr:col>
      <xdr:colOff>66675</xdr:colOff>
      <xdr:row>3</xdr:row>
      <xdr:rowOff>152399</xdr:rowOff>
    </xdr:to>
    <xdr:sp macro="" textlink="Master!G23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11</xdr:col>
      <xdr:colOff>819150</xdr:colOff>
      <xdr:row>4</xdr:row>
      <xdr:rowOff>28574</xdr:rowOff>
    </xdr:from>
    <xdr:to>
      <xdr:col>13</xdr:col>
      <xdr:colOff>66674</xdr:colOff>
      <xdr:row>4</xdr:row>
      <xdr:rowOff>247649</xdr:rowOff>
    </xdr:to>
    <xdr:sp macro="" textlink="Master!G22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11</xdr:col>
      <xdr:colOff>552450</xdr:colOff>
      <xdr:row>1</xdr:row>
      <xdr:rowOff>38100</xdr:rowOff>
    </xdr:from>
    <xdr:to>
      <xdr:col>13</xdr:col>
      <xdr:colOff>370933</xdr:colOff>
      <xdr:row>2</xdr:row>
      <xdr:rowOff>63600</xdr:rowOff>
    </xdr:to>
    <xdr:sp macro="" textlink="Master!G13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E8489D9-E018-4ACE-8B6A-55BDE33CAE5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14</xdr:col>
      <xdr:colOff>114300</xdr:colOff>
      <xdr:row>1</xdr:row>
      <xdr:rowOff>47625</xdr:rowOff>
    </xdr:from>
    <xdr:to>
      <xdr:col>16</xdr:col>
      <xdr:colOff>109312</xdr:colOff>
      <xdr:row>2</xdr:row>
      <xdr:rowOff>73125</xdr:rowOff>
    </xdr:to>
    <xdr:sp macro="" textlink="Master!G14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34D322D-B377-4A3C-A270-0D14772A68F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14</xdr:col>
      <xdr:colOff>114300</xdr:colOff>
      <xdr:row>3</xdr:row>
      <xdr:rowOff>9525</xdr:rowOff>
    </xdr:from>
    <xdr:to>
      <xdr:col>16</xdr:col>
      <xdr:colOff>109312</xdr:colOff>
      <xdr:row>4</xdr:row>
      <xdr:rowOff>35025</xdr:rowOff>
    </xdr:to>
    <xdr:sp macro="" textlink="Master!G15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6F25240-0A5B-4B38-81F5-83E58FBA451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9</xdr:col>
      <xdr:colOff>285750</xdr:colOff>
      <xdr:row>2</xdr:row>
      <xdr:rowOff>95250</xdr:rowOff>
    </xdr:from>
    <xdr:to>
      <xdr:col>11</xdr:col>
      <xdr:colOff>133985</xdr:colOff>
      <xdr:row>3</xdr:row>
      <xdr:rowOff>171450</xdr:rowOff>
    </xdr:to>
    <xdr:sp macro="" textlink="Master!G24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4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A6F011-3166-44D8-9BF0-66EECDAF55A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080063-F815-4F2E-BBED-639976182F8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5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3424760-1BD1-40B8-A3BC-879E2F7575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7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7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8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6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6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2019-05</v>
      </c>
      <c r="O6" s="168" t="str">
        <f>+CONCATENATE(N6,"p")</f>
        <v>2019-05p</v>
      </c>
      <c r="P6" s="152"/>
      <c r="Q6" s="152"/>
      <c r="R6" s="168" t="str">
        <f>+IF(Master!B3-10&gt;=0,CONCATENATE(Master!B4-1,"-",Master!B3),CONCATENATE(Master!B4-1,"-0",Master!B3))</f>
        <v>2018-05</v>
      </c>
      <c r="S6" s="152"/>
      <c r="T6" s="152"/>
    </row>
    <row r="7" spans="1:20">
      <c r="A7" s="169"/>
      <c r="B7" s="454" t="s">
        <v>702</v>
      </c>
      <c r="C7" s="455"/>
      <c r="D7" s="455"/>
      <c r="E7" s="455"/>
      <c r="F7" s="455"/>
      <c r="G7" s="463" t="s">
        <v>700</v>
      </c>
      <c r="H7" s="464"/>
      <c r="I7" s="464"/>
      <c r="J7" s="464"/>
      <c r="K7" s="464"/>
      <c r="L7" s="464"/>
      <c r="M7" s="465"/>
      <c r="N7" s="466" t="str">
        <f>+Master!G242</f>
        <v>Decembar</v>
      </c>
      <c r="O7" s="464"/>
      <c r="P7" s="464"/>
      <c r="Q7" s="464"/>
      <c r="R7" s="464"/>
      <c r="S7" s="464"/>
      <c r="T7" s="467"/>
    </row>
    <row r="8" spans="1:20">
      <c r="A8" s="169"/>
      <c r="B8" s="456"/>
      <c r="C8" s="457"/>
      <c r="D8" s="457"/>
      <c r="E8" s="457"/>
      <c r="F8" s="458"/>
      <c r="G8" s="170" t="str">
        <f>+Master!G23</f>
        <v>Ostvarenje</v>
      </c>
      <c r="H8" s="170" t="str">
        <f>+Master!G22</f>
        <v>Plan</v>
      </c>
      <c r="I8" s="450" t="str">
        <f>+Master!G260</f>
        <v>Odstupanje</v>
      </c>
      <c r="J8" s="450"/>
      <c r="K8" s="170" t="str">
        <f>+CONCATENATE(Master!G245," ",Master!B4-1)</f>
        <v>Jan - Maj 2018</v>
      </c>
      <c r="L8" s="450" t="str">
        <f>+I8</f>
        <v>Odstupanje</v>
      </c>
      <c r="M8" s="462"/>
      <c r="N8" s="171" t="str">
        <f>+G8</f>
        <v>Ostvarenje</v>
      </c>
      <c r="O8" s="170" t="str">
        <f>+H8</f>
        <v>Plan</v>
      </c>
      <c r="P8" s="450" t="str">
        <f>+I8</f>
        <v>Odstupanje</v>
      </c>
      <c r="Q8" s="450"/>
      <c r="R8" s="170" t="str">
        <f>+CONCATENATE(Master!G244," ",Master!B4-1)</f>
        <v>Maj 2018</v>
      </c>
      <c r="S8" s="450" t="str">
        <f>+P8</f>
        <v>Odstupanje</v>
      </c>
      <c r="T8" s="451"/>
    </row>
    <row r="9" spans="1:20" ht="15.75" thickBot="1">
      <c r="A9" s="169"/>
      <c r="B9" s="459"/>
      <c r="C9" s="460"/>
      <c r="D9" s="460"/>
      <c r="E9" s="460"/>
      <c r="F9" s="461"/>
      <c r="G9" s="162" t="s">
        <v>423</v>
      </c>
      <c r="H9" s="162" t="s">
        <v>423</v>
      </c>
      <c r="I9" s="162" t="s">
        <v>423</v>
      </c>
      <c r="J9" s="162" t="s">
        <v>688</v>
      </c>
      <c r="K9" s="162" t="s">
        <v>423</v>
      </c>
      <c r="L9" s="162" t="s">
        <v>423</v>
      </c>
      <c r="M9" s="172" t="s">
        <v>688</v>
      </c>
      <c r="N9" s="173" t="s">
        <v>423</v>
      </c>
      <c r="O9" s="162" t="s">
        <v>423</v>
      </c>
      <c r="P9" s="162" t="s">
        <v>423</v>
      </c>
      <c r="Q9" s="162" t="s">
        <v>688</v>
      </c>
      <c r="R9" s="162" t="s">
        <v>423</v>
      </c>
      <c r="S9" s="162" t="s">
        <v>423</v>
      </c>
      <c r="T9" s="174" t="s">
        <v>688</v>
      </c>
    </row>
    <row r="10" spans="1:20" ht="15.75" thickBot="1">
      <c r="A10" s="175">
        <v>7</v>
      </c>
      <c r="B10" s="496" t="str">
        <f>+VLOOKUP($A10,Master!$D$27:$G$225,4,FALSE)</f>
        <v>Prihodi budžeta</v>
      </c>
      <c r="C10" s="497"/>
      <c r="D10" s="497"/>
      <c r="E10" s="497"/>
      <c r="F10" s="497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498" t="str">
        <f>+VLOOKUP($A11,Master!$D$27:$G$225,4,FALSE)</f>
        <v>Porezi</v>
      </c>
      <c r="C11" s="499"/>
      <c r="D11" s="499"/>
      <c r="E11" s="499"/>
      <c r="F11" s="499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84" t="str">
        <f>+VLOOKUP($A12,Master!$D$27:$G$225,4,FALSE)</f>
        <v>Porez na dohodak fizičkih lica</v>
      </c>
      <c r="C12" s="485"/>
      <c r="D12" s="485"/>
      <c r="E12" s="485"/>
      <c r="F12" s="485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84" t="str">
        <f>+VLOOKUP($A13,Master!$D$27:$G$225,4,FALSE)</f>
        <v>Porez na dobit pravnih lica</v>
      </c>
      <c r="C13" s="485"/>
      <c r="D13" s="485"/>
      <c r="E13" s="485"/>
      <c r="F13" s="485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84" t="str">
        <f>+VLOOKUP($A14,Master!$D$27:$G$225,4,FALSE)</f>
        <v>Porez na promet nepokretnosti</v>
      </c>
      <c r="C14" s="485"/>
      <c r="D14" s="485"/>
      <c r="E14" s="485"/>
      <c r="F14" s="485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84" t="str">
        <f>+VLOOKUP($A15,Master!$D$27:$G$225,4,FALSE)</f>
        <v>Porez na dodatu vrijednost</v>
      </c>
      <c r="C15" s="485"/>
      <c r="D15" s="485"/>
      <c r="E15" s="485"/>
      <c r="F15" s="485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84" t="str">
        <f>+VLOOKUP($A16,Master!$D$27:$G$225,4,FALSE)</f>
        <v>Akcize</v>
      </c>
      <c r="C16" s="485"/>
      <c r="D16" s="485"/>
      <c r="E16" s="485"/>
      <c r="F16" s="485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84" t="str">
        <f>+VLOOKUP($A17,Master!$D$27:$G$225,4,FALSE)</f>
        <v>Porez na međunarodnu trgovinu i transakcije</v>
      </c>
      <c r="C17" s="485"/>
      <c r="D17" s="485"/>
      <c r="E17" s="485"/>
      <c r="F17" s="485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84" t="e">
        <f>+VLOOKUP($A18,Master!$D$27:$G$225,4,FALSE)</f>
        <v>#N/A</v>
      </c>
      <c r="C18" s="485"/>
      <c r="D18" s="485"/>
      <c r="E18" s="485"/>
      <c r="F18" s="485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84" t="str">
        <f>+VLOOKUP($A19,Master!$D$27:$G$225,4,FALSE)</f>
        <v>Ostali državni porezi</v>
      </c>
      <c r="C19" s="485"/>
      <c r="D19" s="485"/>
      <c r="E19" s="485"/>
      <c r="F19" s="485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94" t="str">
        <f>+VLOOKUP($A20,Master!$D$27:$G$225,4,FALSE)</f>
        <v>Doprinosi</v>
      </c>
      <c r="C20" s="495"/>
      <c r="D20" s="495"/>
      <c r="E20" s="495"/>
      <c r="F20" s="495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84" t="str">
        <f>+VLOOKUP($A21,Master!$D$27:$G$225,4,FALSE)</f>
        <v>Doprinosi za penzijsko i invalidsko osiguranje</v>
      </c>
      <c r="C21" s="485"/>
      <c r="D21" s="485"/>
      <c r="E21" s="485"/>
      <c r="F21" s="485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84" t="str">
        <f>+VLOOKUP($A22,Master!$D$27:$G$225,4,FALSE)</f>
        <v>Doprinosi za zdravstveno osiguranje</v>
      </c>
      <c r="C22" s="485"/>
      <c r="D22" s="485"/>
      <c r="E22" s="485"/>
      <c r="F22" s="485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84" t="str">
        <f>+VLOOKUP($A23,Master!$D$27:$G$225,4,FALSE)</f>
        <v>Doprinosi za osiguranje od nezaposlenosti</v>
      </c>
      <c r="C23" s="485"/>
      <c r="D23" s="485"/>
      <c r="E23" s="485"/>
      <c r="F23" s="485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84" t="str">
        <f>+VLOOKUP($A24,Master!$D$27:$G$225,4,FALSE)</f>
        <v>Ostali doprinosi</v>
      </c>
      <c r="C24" s="485"/>
      <c r="D24" s="485"/>
      <c r="E24" s="485"/>
      <c r="F24" s="485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86" t="str">
        <f>+VLOOKUP($A25,Master!$D$27:$G$225,4,FALSE)</f>
        <v>Takse</v>
      </c>
      <c r="C25" s="487"/>
      <c r="D25" s="487"/>
      <c r="E25" s="487"/>
      <c r="F25" s="487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86" t="str">
        <f>+VLOOKUP($A26,Master!$D$27:$G$225,4,FALSE)</f>
        <v>Naknade</v>
      </c>
      <c r="C26" s="487"/>
      <c r="D26" s="487"/>
      <c r="E26" s="487"/>
      <c r="F26" s="487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86" t="str">
        <f>+VLOOKUP($A27,Master!$D$27:$G$225,4,FALSE)</f>
        <v>Ostali prihodi</v>
      </c>
      <c r="C27" s="487"/>
      <c r="D27" s="487"/>
      <c r="E27" s="487"/>
      <c r="F27" s="487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86" t="str">
        <f>+VLOOKUP($A28,Master!$D$27:$G$225,4,FALSE)</f>
        <v>Primici od otplate kredita i sredstva prenesena iz prethodne godine</v>
      </c>
      <c r="C28" s="487"/>
      <c r="D28" s="487"/>
      <c r="E28" s="487"/>
      <c r="F28" s="487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88" t="str">
        <f>+VLOOKUP($A29,Master!$D$27:$G$225,4,FALSE)</f>
        <v>Donacije i transferi</v>
      </c>
      <c r="C29" s="489"/>
      <c r="D29" s="489"/>
      <c r="E29" s="489"/>
      <c r="F29" s="489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74" t="str">
        <f>+VLOOKUP($A30,Master!$D$27:$G$225,4,FALSE)</f>
        <v>Budžetski izdaci</v>
      </c>
      <c r="C30" s="475"/>
      <c r="D30" s="475"/>
      <c r="E30" s="475"/>
      <c r="F30" s="475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90" t="str">
        <f>+VLOOKUP($A31,Master!$D$27:$G$225,4,FALSE)</f>
        <v>Tekuća budžetska potrošnja</v>
      </c>
      <c r="C31" s="491"/>
      <c r="D31" s="491"/>
      <c r="E31" s="491"/>
      <c r="F31" s="491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92" t="str">
        <f>+VLOOKUP($A32,Master!$D$27:$G$225,4,FALSE)</f>
        <v>Tekući izdaci</v>
      </c>
      <c r="C32" s="493"/>
      <c r="D32" s="493"/>
      <c r="E32" s="493"/>
      <c r="F32" s="493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84" t="str">
        <f>+VLOOKUP($A33,Master!$D$27:$G$225,4,FALSE)</f>
        <v>Bruto zarade i doprinosi na teret poslodavca</v>
      </c>
      <c r="C33" s="485"/>
      <c r="D33" s="485"/>
      <c r="E33" s="485"/>
      <c r="F33" s="485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84" t="str">
        <f>+VLOOKUP($A34,Master!$D$27:$G$225,4,FALSE)</f>
        <v>Ostala lična primanja</v>
      </c>
      <c r="C34" s="485"/>
      <c r="D34" s="485"/>
      <c r="E34" s="485"/>
      <c r="F34" s="485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84" t="str">
        <f>+VLOOKUP($A35,Master!$D$27:$G$225,4,FALSE)</f>
        <v>Rashodi za materijal</v>
      </c>
      <c r="C35" s="485"/>
      <c r="D35" s="485"/>
      <c r="E35" s="485"/>
      <c r="F35" s="485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84" t="str">
        <f>+VLOOKUP($A36,Master!$D$27:$G$225,4,FALSE)</f>
        <v>Rashodi za usluge</v>
      </c>
      <c r="C36" s="485"/>
      <c r="D36" s="485"/>
      <c r="E36" s="485"/>
      <c r="F36" s="485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84" t="str">
        <f>+VLOOKUP($A37,Master!$D$27:$G$225,4,FALSE)</f>
        <v>Rashodi za tekuće održavanje</v>
      </c>
      <c r="C37" s="485"/>
      <c r="D37" s="485"/>
      <c r="E37" s="485"/>
      <c r="F37" s="485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84" t="str">
        <f>+VLOOKUP($A38,Master!$D$27:$G$225,4,FALSE)</f>
        <v>Kamate</v>
      </c>
      <c r="C38" s="485"/>
      <c r="D38" s="485"/>
      <c r="E38" s="485"/>
      <c r="F38" s="485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84" t="str">
        <f>+VLOOKUP($A39,Master!$D$27:$G$225,4,FALSE)</f>
        <v>Renta</v>
      </c>
      <c r="C39" s="485"/>
      <c r="D39" s="485"/>
      <c r="E39" s="485"/>
      <c r="F39" s="485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84" t="str">
        <f>+VLOOKUP($A40,Master!$D$27:$G$225,4,FALSE)</f>
        <v>Subvencije</v>
      </c>
      <c r="C40" s="485"/>
      <c r="D40" s="485"/>
      <c r="E40" s="485"/>
      <c r="F40" s="485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84" t="str">
        <f>+VLOOKUP($A41,Master!$D$27:$G$225,4,FALSE)</f>
        <v>Ostali izdaci</v>
      </c>
      <c r="C41" s="485"/>
      <c r="D41" s="485"/>
      <c r="E41" s="485"/>
      <c r="F41" s="485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84" t="str">
        <f>+VLOOKUP($A42,Master!$D$27:$G$225,4,FALSE)</f>
        <v>Kapitalni izdaci u tekućem budžetu</v>
      </c>
      <c r="C42" s="485"/>
      <c r="D42" s="485"/>
      <c r="E42" s="485"/>
      <c r="F42" s="485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80" t="str">
        <f>+VLOOKUP($A43,Master!$D$27:$G$225,4,FALSE)</f>
        <v>Transferi za socijalnu zaštitu</v>
      </c>
      <c r="C43" s="481"/>
      <c r="D43" s="481"/>
      <c r="E43" s="481"/>
      <c r="F43" s="481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84" t="str">
        <f>+VLOOKUP($A44,Master!$D$27:$G$225,4,FALSE)</f>
        <v>Prava iz oblasti socijalne zaštite</v>
      </c>
      <c r="C44" s="485"/>
      <c r="D44" s="485"/>
      <c r="E44" s="485"/>
      <c r="F44" s="485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84" t="str">
        <f>+VLOOKUP($A45,Master!$D$27:$G$225,4,FALSE)</f>
        <v>Sredstva za tehnološke viškove</v>
      </c>
      <c r="C45" s="485"/>
      <c r="D45" s="485"/>
      <c r="E45" s="485"/>
      <c r="F45" s="485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84" t="str">
        <f>+VLOOKUP($A46,Master!$D$27:$G$225,4,FALSE)</f>
        <v>Prava iz oblasti penzijskog i invalidskog osiguranja</v>
      </c>
      <c r="C46" s="485"/>
      <c r="D46" s="485"/>
      <c r="E46" s="485"/>
      <c r="F46" s="485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84" t="str">
        <f>+VLOOKUP($A47,Master!$D$27:$G$225,4,FALSE)</f>
        <v>Ostala prava iz oblasti zdravstvene zaštite</v>
      </c>
      <c r="C47" s="485"/>
      <c r="D47" s="485"/>
      <c r="E47" s="485"/>
      <c r="F47" s="485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84" t="str">
        <f>+VLOOKUP($A48,Master!$D$27:$G$225,4,FALSE)</f>
        <v>Ostala prava iz zdravstvenog osiguranja</v>
      </c>
      <c r="C48" s="485"/>
      <c r="D48" s="485"/>
      <c r="E48" s="485"/>
      <c r="F48" s="485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82" t="str">
        <f>+VLOOKUP($A49,Master!$D$27:$G$225,4,FALSE)</f>
        <v xml:space="preserve">Transferi institucijama, pojedincima, nevladinom i javnom sektoru </v>
      </c>
      <c r="C49" s="483"/>
      <c r="D49" s="483"/>
      <c r="E49" s="483"/>
      <c r="F49" s="483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82" t="str">
        <f>+VLOOKUP($A50,Master!$D$27:$G$225,4,FALSE)</f>
        <v>Kapitalni budžet</v>
      </c>
      <c r="C50" s="483"/>
      <c r="D50" s="483"/>
      <c r="E50" s="483"/>
      <c r="F50" s="483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52" t="str">
        <f>+VLOOKUP($A51,Master!$D$27:$G$225,4,FALSE)</f>
        <v>Pozajmice i krediti</v>
      </c>
      <c r="C51" s="453"/>
      <c r="D51" s="453"/>
      <c r="E51" s="453"/>
      <c r="F51" s="453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52" t="str">
        <f>+VLOOKUP($A52,Master!$D$27:$G$225,4,FALSE)</f>
        <v>Rezerve</v>
      </c>
      <c r="C52" s="453"/>
      <c r="D52" s="453"/>
      <c r="E52" s="453"/>
      <c r="F52" s="453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70" t="str">
        <f>+VLOOKUP($A53,Master!$D$27:$G$225,4,FALSE)</f>
        <v>Otplata garancija</v>
      </c>
      <c r="C53" s="471"/>
      <c r="D53" s="471"/>
      <c r="E53" s="471"/>
      <c r="F53" s="471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70" t="str">
        <f>+VLOOKUP($A54,Master!$D$27:$G$225,4,FALSE)</f>
        <v>Otplata obaveza iz prethodnih godina</v>
      </c>
      <c r="C54" s="471"/>
      <c r="D54" s="471"/>
      <c r="E54" s="471"/>
      <c r="F54" s="471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70" t="str">
        <f>+VLOOKUP($A55,Master!$D$27:$G$227,4,FALSE)</f>
        <v>Neto povećanje obaveza</v>
      </c>
      <c r="C55" s="471"/>
      <c r="D55" s="471"/>
      <c r="E55" s="471"/>
      <c r="F55" s="471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76" t="str">
        <f>+VLOOKUP($A56,Master!$D$27:$G$225,4,FALSE)</f>
        <v>Suficit / deficit</v>
      </c>
      <c r="C56" s="477"/>
      <c r="D56" s="477"/>
      <c r="E56" s="477"/>
      <c r="F56" s="477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78" t="str">
        <f>+VLOOKUP($A57,Master!$D$27:$G$225,4,FALSE)</f>
        <v>Primarni bilans</v>
      </c>
      <c r="C57" s="479"/>
      <c r="D57" s="479"/>
      <c r="E57" s="479"/>
      <c r="F57" s="479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80" t="str">
        <f>+VLOOKUP($A58,Master!$D$27:$G$225,4,FALSE)</f>
        <v>Otplata dugova</v>
      </c>
      <c r="C58" s="481"/>
      <c r="D58" s="481"/>
      <c r="E58" s="481"/>
      <c r="F58" s="481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68" t="str">
        <f>+VLOOKUP($A59,Master!$D$27:$G$225,4,FALSE)</f>
        <v>Otplata hartija od vrijednosti i kredita rezidentima</v>
      </c>
      <c r="C59" s="469"/>
      <c r="D59" s="469"/>
      <c r="E59" s="469"/>
      <c r="F59" s="469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52" t="str">
        <f>+VLOOKUP($A60,Master!$D$27:$G$225,4,FALSE)</f>
        <v>Otplata hartija od vrijednosti i kredita nerezidentima</v>
      </c>
      <c r="C60" s="453"/>
      <c r="D60" s="453"/>
      <c r="E60" s="453"/>
      <c r="F60" s="453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693</v>
      </c>
      <c r="B61" s="299" t="str">
        <f>+B54</f>
        <v>Otplata obaveza iz prethodnih godina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72" t="str">
        <f>+VLOOKUP($A62,Master!$D$27:$G$225,4,FALSE)</f>
        <v>Nedostajuća sredstva</v>
      </c>
      <c r="C62" s="473"/>
      <c r="D62" s="473"/>
      <c r="E62" s="473"/>
      <c r="F62" s="473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74" t="str">
        <f>+VLOOKUP($A63,Master!$D$27:$G$225,4,FALSE)</f>
        <v>Finansiranje</v>
      </c>
      <c r="C63" s="475"/>
      <c r="D63" s="475"/>
      <c r="E63" s="475"/>
      <c r="F63" s="475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68" t="str">
        <f>+VLOOKUP($A64,Master!$D$27:$G$225,4,FALSE)</f>
        <v>Pozajmice i krediti od domaćih izvora</v>
      </c>
      <c r="C64" s="469"/>
      <c r="D64" s="469"/>
      <c r="E64" s="469"/>
      <c r="F64" s="469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52" t="str">
        <f>+VLOOKUP($A65,Master!$D$27:$G$225,4,FALSE)</f>
        <v>Pozajmice i krediti od inostranih izvora</v>
      </c>
      <c r="C65" s="453"/>
      <c r="D65" s="453"/>
      <c r="E65" s="453"/>
      <c r="F65" s="453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52" t="str">
        <f>+VLOOKUP($A66,Master!$D$27:$G$225,4,FALSE)</f>
        <v>Primici od prodaje imovine</v>
      </c>
      <c r="C66" s="453"/>
      <c r="D66" s="453"/>
      <c r="E66" s="453"/>
      <c r="F66" s="453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+VLOOKUP($A67,Master!$D$27:$G$225,4,FALSE)</f>
        <v>Povećanje / smanjenje depozita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513</v>
      </c>
      <c r="H6" s="69" t="s">
        <v>514</v>
      </c>
      <c r="I6" s="69" t="s">
        <v>515</v>
      </c>
      <c r="J6" s="69"/>
      <c r="K6" s="69" t="s">
        <v>516</v>
      </c>
      <c r="L6" s="69" t="s">
        <v>517</v>
      </c>
      <c r="M6" s="69" t="s">
        <v>518</v>
      </c>
      <c r="N6" s="69"/>
      <c r="O6" s="69" t="s">
        <v>519</v>
      </c>
      <c r="P6" s="69" t="s">
        <v>520</v>
      </c>
      <c r="Q6" s="69" t="s">
        <v>521</v>
      </c>
      <c r="R6" s="69"/>
      <c r="S6" s="69" t="s">
        <v>522</v>
      </c>
      <c r="T6" s="69" t="s">
        <v>523</v>
      </c>
      <c r="U6" s="69" t="s">
        <v>524</v>
      </c>
      <c r="V6" s="69"/>
    </row>
    <row r="7" spans="1:24" ht="15" customHeight="1" thickBot="1">
      <c r="B7" s="537" t="str">
        <f>+Master!G251</f>
        <v>Ostvarenje budžeta</v>
      </c>
      <c r="C7" s="538"/>
      <c r="D7" s="538"/>
      <c r="E7" s="538"/>
      <c r="F7" s="538"/>
      <c r="G7" s="530">
        <v>2013</v>
      </c>
      <c r="H7" s="531"/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1"/>
      <c r="U7" s="532"/>
      <c r="V7" s="360"/>
      <c r="W7" s="115" t="str">
        <f>+Master!G248</f>
        <v>BDP</v>
      </c>
      <c r="X7" s="116">
        <v>3327000000</v>
      </c>
    </row>
    <row r="8" spans="1:24" ht="16.5" customHeight="1">
      <c r="B8" s="539"/>
      <c r="C8" s="540"/>
      <c r="D8" s="540"/>
      <c r="E8" s="540"/>
      <c r="F8" s="541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/>
      <c r="K8" s="73" t="str">
        <f>+Master!G234</f>
        <v>April</v>
      </c>
      <c r="L8" s="73" t="str">
        <f>+Master!G235</f>
        <v>Maj</v>
      </c>
      <c r="M8" s="73" t="str">
        <f>+Master!G236</f>
        <v>Jun</v>
      </c>
      <c r="N8" s="73"/>
      <c r="O8" s="73" t="str">
        <f>+Master!G237</f>
        <v>Jul</v>
      </c>
      <c r="P8" s="73" t="str">
        <f>+Master!G238</f>
        <v>Avgust</v>
      </c>
      <c r="Q8" s="73" t="str">
        <f>+Master!G239</f>
        <v>Septembar</v>
      </c>
      <c r="R8" s="73"/>
      <c r="S8" s="73" t="str">
        <f>+Master!G240</f>
        <v>Oktobar</v>
      </c>
      <c r="T8" s="73" t="str">
        <f>+Master!G241</f>
        <v>Novembar</v>
      </c>
      <c r="U8" s="73" t="str">
        <f>+Master!G242</f>
        <v>Decembar</v>
      </c>
      <c r="V8" s="73"/>
      <c r="W8" s="530" t="s">
        <v>701</v>
      </c>
      <c r="X8" s="532"/>
    </row>
    <row r="9" spans="1:24" ht="13.5" thickBot="1">
      <c r="B9" s="542"/>
      <c r="C9" s="543"/>
      <c r="D9" s="543"/>
      <c r="E9" s="543"/>
      <c r="F9" s="544"/>
      <c r="G9" s="68" t="s">
        <v>423</v>
      </c>
      <c r="H9" s="68" t="s">
        <v>423</v>
      </c>
      <c r="I9" s="68" t="s">
        <v>423</v>
      </c>
      <c r="J9" s="68"/>
      <c r="K9" s="68" t="s">
        <v>423</v>
      </c>
      <c r="L9" s="68" t="s">
        <v>423</v>
      </c>
      <c r="M9" s="68" t="s">
        <v>423</v>
      </c>
      <c r="N9" s="68"/>
      <c r="O9" s="68" t="s">
        <v>423</v>
      </c>
      <c r="P9" s="68" t="s">
        <v>423</v>
      </c>
      <c r="Q9" s="68" t="s">
        <v>423</v>
      </c>
      <c r="R9" s="68"/>
      <c r="S9" s="68" t="s">
        <v>423</v>
      </c>
      <c r="T9" s="68" t="s">
        <v>423</v>
      </c>
      <c r="U9" s="68" t="s">
        <v>423</v>
      </c>
      <c r="V9" s="68"/>
      <c r="W9" s="66" t="s">
        <v>423</v>
      </c>
      <c r="X9" s="67" t="str">
        <f>+Master!G249</f>
        <v>% BDP</v>
      </c>
    </row>
    <row r="10" spans="1:24" ht="13.5" thickBot="1">
      <c r="A10" s="72">
        <v>7</v>
      </c>
      <c r="B10" s="533" t="str">
        <f>+VLOOKUP($A10,Master!$D$27:$G$225,4,FALSE)</f>
        <v>Prihodi budžeta</v>
      </c>
      <c r="C10" s="534"/>
      <c r="D10" s="534"/>
      <c r="E10" s="534"/>
      <c r="F10" s="534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35" t="str">
        <f>+VLOOKUP($A11,Master!$D$27:$G$225,4,FALSE)</f>
        <v>Porezi</v>
      </c>
      <c r="C11" s="536"/>
      <c r="D11" s="536"/>
      <c r="E11" s="536"/>
      <c r="F11" s="536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16" t="str">
        <f>+VLOOKUP($A12,Master!$D$27:$G$225,4,FALSE)</f>
        <v>Porez na dohodak fizičkih lica</v>
      </c>
      <c r="C12" s="517"/>
      <c r="D12" s="517"/>
      <c r="E12" s="517"/>
      <c r="F12" s="517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16" t="str">
        <f>+VLOOKUP($A13,Master!$D$27:$G$225,4,FALSE)</f>
        <v>Porez na dobit pravnih lica</v>
      </c>
      <c r="C13" s="517"/>
      <c r="D13" s="517"/>
      <c r="E13" s="517"/>
      <c r="F13" s="517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16" t="str">
        <f>+VLOOKUP($A14,Master!$D$27:$G$225,4,FALSE)</f>
        <v>Porez na promet nepokretnosti</v>
      </c>
      <c r="C14" s="517"/>
      <c r="D14" s="517"/>
      <c r="E14" s="517"/>
      <c r="F14" s="517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16" t="str">
        <f>+VLOOKUP($A15,Master!$D$27:$G$225,4,FALSE)</f>
        <v>Porez na dodatu vrijednost</v>
      </c>
      <c r="C15" s="517"/>
      <c r="D15" s="517"/>
      <c r="E15" s="517"/>
      <c r="F15" s="517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16" t="str">
        <f>+VLOOKUP($A16,Master!$D$27:$G$225,4,FALSE)</f>
        <v>Akcize</v>
      </c>
      <c r="C16" s="517"/>
      <c r="D16" s="517"/>
      <c r="E16" s="517"/>
      <c r="F16" s="517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16" t="str">
        <f>+VLOOKUP($A17,Master!$D$27:$G$225,4,FALSE)</f>
        <v>Porez na međunarodnu trgovinu i transakcije</v>
      </c>
      <c r="C17" s="517"/>
      <c r="D17" s="517"/>
      <c r="E17" s="517"/>
      <c r="F17" s="517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16" t="e">
        <f>+VLOOKUP($A18,Master!$D$27:$G$225,4,FALSE)</f>
        <v>#N/A</v>
      </c>
      <c r="C18" s="517"/>
      <c r="D18" s="517"/>
      <c r="E18" s="517"/>
      <c r="F18" s="517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16" t="str">
        <f>+VLOOKUP($A19,Master!$D$27:$G$225,4,FALSE)</f>
        <v>Ostali državni porezi</v>
      </c>
      <c r="C19" s="517"/>
      <c r="D19" s="517"/>
      <c r="E19" s="517"/>
      <c r="F19" s="517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28" t="str">
        <f>+VLOOKUP($A20,Master!$D$27:$G$225,4,FALSE)</f>
        <v>Doprinosi</v>
      </c>
      <c r="C20" s="529"/>
      <c r="D20" s="529"/>
      <c r="E20" s="529"/>
      <c r="F20" s="529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16" t="str">
        <f>+VLOOKUP($A21,Master!$D$27:$G$225,4,FALSE)</f>
        <v>Doprinosi za penzijsko i invalidsko osiguranje</v>
      </c>
      <c r="C21" s="517"/>
      <c r="D21" s="517"/>
      <c r="E21" s="517"/>
      <c r="F21" s="517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16" t="str">
        <f>+VLOOKUP($A22,Master!$D$27:$G$225,4,FALSE)</f>
        <v>Doprinosi za zdravstveno osiguranje</v>
      </c>
      <c r="C22" s="517"/>
      <c r="D22" s="517"/>
      <c r="E22" s="517"/>
      <c r="F22" s="517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16" t="str">
        <f>+VLOOKUP($A23,Master!$D$27:$G$225,4,FALSE)</f>
        <v>Doprinosi za osiguranje od nezaposlenosti</v>
      </c>
      <c r="C23" s="517"/>
      <c r="D23" s="517"/>
      <c r="E23" s="517"/>
      <c r="F23" s="517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16" t="str">
        <f>+VLOOKUP($A24,Master!$D$27:$G$225,4,FALSE)</f>
        <v>Ostali doprinosi</v>
      </c>
      <c r="C24" s="517"/>
      <c r="D24" s="517"/>
      <c r="E24" s="517"/>
      <c r="F24" s="517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20" t="str">
        <f>+VLOOKUP($A25,Master!$D$27:$G$225,4,FALSE)</f>
        <v>Takse</v>
      </c>
      <c r="C25" s="521"/>
      <c r="D25" s="521"/>
      <c r="E25" s="521"/>
      <c r="F25" s="521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20" t="str">
        <f>+VLOOKUP($A26,Master!$D$27:$G$225,4,FALSE)</f>
        <v>Naknade</v>
      </c>
      <c r="C26" s="521"/>
      <c r="D26" s="521"/>
      <c r="E26" s="521"/>
      <c r="F26" s="521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20" t="str">
        <f>+VLOOKUP($A27,Master!$D$27:$G$225,4,FALSE)</f>
        <v>Ostali prihodi</v>
      </c>
      <c r="C27" s="521"/>
      <c r="D27" s="521"/>
      <c r="E27" s="521"/>
      <c r="F27" s="521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20" t="str">
        <f>+VLOOKUP($A28,Master!$D$27:$G$225,4,FALSE)</f>
        <v>Primici od otplate kredita i sredstva prenesena iz prethodne godine</v>
      </c>
      <c r="C28" s="521"/>
      <c r="D28" s="521"/>
      <c r="E28" s="521"/>
      <c r="F28" s="521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22" t="str">
        <f>+VLOOKUP($A29,Master!$D$27:$G$225,4,FALSE)</f>
        <v>Donacije i transferi</v>
      </c>
      <c r="C29" s="523"/>
      <c r="D29" s="523"/>
      <c r="E29" s="523"/>
      <c r="F29" s="523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08" t="str">
        <f>+VLOOKUP($A30,Master!$D$27:$G$225,4,FALSE)</f>
        <v>Budžetski izdaci</v>
      </c>
      <c r="C30" s="509"/>
      <c r="D30" s="509"/>
      <c r="E30" s="509"/>
      <c r="F30" s="509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24" t="str">
        <f>+VLOOKUP($A31,Master!$D$27:$G$225,4,FALSE)</f>
        <v>Tekuća budžetska potrošnja</v>
      </c>
      <c r="C31" s="525"/>
      <c r="D31" s="525"/>
      <c r="E31" s="525"/>
      <c r="F31" s="525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26" t="str">
        <f>+VLOOKUP($A32,Master!$D$27:$G$225,4,FALSE)</f>
        <v>Tekući izdaci</v>
      </c>
      <c r="C32" s="527"/>
      <c r="D32" s="527"/>
      <c r="E32" s="527"/>
      <c r="F32" s="527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16" t="str">
        <f>+VLOOKUP($A33,Master!$D$27:$G$225,4,FALSE)</f>
        <v>Bruto zarade i doprinosi na teret poslodavca</v>
      </c>
      <c r="C33" s="517"/>
      <c r="D33" s="517"/>
      <c r="E33" s="517"/>
      <c r="F33" s="517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16" t="str">
        <f>+VLOOKUP($A34,Master!$D$27:$G$225,4,FALSE)</f>
        <v>Ostala lična primanja</v>
      </c>
      <c r="C34" s="517"/>
      <c r="D34" s="517"/>
      <c r="E34" s="517"/>
      <c r="F34" s="517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16" t="str">
        <f>+VLOOKUP($A35,Master!$D$27:$G$225,4,FALSE)</f>
        <v>Rashodi za materijal</v>
      </c>
      <c r="C35" s="517"/>
      <c r="D35" s="517"/>
      <c r="E35" s="517"/>
      <c r="F35" s="517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16" t="str">
        <f>+VLOOKUP($A36,Master!$D$27:$G$225,4,FALSE)</f>
        <v>Rashodi za usluge</v>
      </c>
      <c r="C36" s="517"/>
      <c r="D36" s="517"/>
      <c r="E36" s="517"/>
      <c r="F36" s="517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16" t="str">
        <f>+VLOOKUP($A37,Master!$D$27:$G$225,4,FALSE)</f>
        <v>Rashodi za tekuće održavanje</v>
      </c>
      <c r="C37" s="517"/>
      <c r="D37" s="517"/>
      <c r="E37" s="517"/>
      <c r="F37" s="517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16" t="str">
        <f>+VLOOKUP($A38,Master!$D$27:$G$225,4,FALSE)</f>
        <v>Kamate</v>
      </c>
      <c r="C38" s="517"/>
      <c r="D38" s="517"/>
      <c r="E38" s="517"/>
      <c r="F38" s="517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16" t="str">
        <f>+VLOOKUP($A39,Master!$D$27:$G$225,4,FALSE)</f>
        <v>Renta</v>
      </c>
      <c r="C39" s="517"/>
      <c r="D39" s="517"/>
      <c r="E39" s="517"/>
      <c r="F39" s="517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16" t="str">
        <f>+VLOOKUP($A40,Master!$D$27:$G$225,4,FALSE)</f>
        <v>Subvencije</v>
      </c>
      <c r="C40" s="517"/>
      <c r="D40" s="517"/>
      <c r="E40" s="517"/>
      <c r="F40" s="517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16" t="str">
        <f>+VLOOKUP($A41,Master!$D$27:$G$225,4,FALSE)</f>
        <v>Ostali izdaci</v>
      </c>
      <c r="C41" s="517"/>
      <c r="D41" s="517"/>
      <c r="E41" s="517"/>
      <c r="F41" s="517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16" t="str">
        <f>+VLOOKUP($A42,Master!$D$27:$G$225,4,FALSE)</f>
        <v>Kapitalni izdaci u tekućem budžetu</v>
      </c>
      <c r="C42" s="517"/>
      <c r="D42" s="517"/>
      <c r="E42" s="517"/>
      <c r="F42" s="517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14" t="str">
        <f>+VLOOKUP($A43,Master!$D$27:$G$225,4,FALSE)</f>
        <v>Transferi za socijalnu zaštitu</v>
      </c>
      <c r="C43" s="515"/>
      <c r="D43" s="515"/>
      <c r="E43" s="515"/>
      <c r="F43" s="515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16" t="str">
        <f>+VLOOKUP($A44,Master!$D$27:$G$225,4,FALSE)</f>
        <v>Prava iz oblasti socijalne zaštite</v>
      </c>
      <c r="C44" s="517"/>
      <c r="D44" s="517"/>
      <c r="E44" s="517"/>
      <c r="F44" s="517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16" t="str">
        <f>+VLOOKUP($A45,Master!$D$27:$G$225,4,FALSE)</f>
        <v>Sredstva za tehnološke viškove</v>
      </c>
      <c r="C45" s="517"/>
      <c r="D45" s="517"/>
      <c r="E45" s="517"/>
      <c r="F45" s="517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16" t="str">
        <f>+VLOOKUP($A46,Master!$D$27:$G$225,4,FALSE)</f>
        <v>Prava iz oblasti penzijskog i invalidskog osiguranja</v>
      </c>
      <c r="C46" s="517"/>
      <c r="D46" s="517"/>
      <c r="E46" s="517"/>
      <c r="F46" s="517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16" t="str">
        <f>+VLOOKUP($A47,Master!$D$27:$G$225,4,FALSE)</f>
        <v>Ostala prava iz oblasti zdravstvene zaštite</v>
      </c>
      <c r="C47" s="517"/>
      <c r="D47" s="517"/>
      <c r="E47" s="517"/>
      <c r="F47" s="517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16" t="str">
        <f>+VLOOKUP($A48,Master!$D$27:$G$225,4,FALSE)</f>
        <v>Ostala prava iz zdravstvenog osiguranja</v>
      </c>
      <c r="C48" s="517"/>
      <c r="D48" s="517"/>
      <c r="E48" s="517"/>
      <c r="F48" s="517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18" t="str">
        <f>+VLOOKUP($A49,Master!$D$27:$G$225,4,FALSE)</f>
        <v xml:space="preserve">Transferi institucijama, pojedincima, nevladinom i javnom sektoru </v>
      </c>
      <c r="C49" s="519"/>
      <c r="D49" s="519"/>
      <c r="E49" s="519"/>
      <c r="F49" s="519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18" t="str">
        <f>+VLOOKUP($A50,Master!$D$27:$G$225,4,FALSE)</f>
        <v>Kapitalni budžet</v>
      </c>
      <c r="C50" s="519"/>
      <c r="D50" s="519"/>
      <c r="E50" s="519"/>
      <c r="F50" s="519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02" t="str">
        <f>+VLOOKUP($A51,Master!$D$27:$G$225,4,FALSE)</f>
        <v>Pozajmice i krediti</v>
      </c>
      <c r="C51" s="503"/>
      <c r="D51" s="503"/>
      <c r="E51" s="503"/>
      <c r="F51" s="503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02" t="str">
        <f>+VLOOKUP($A52,Master!$D$27:$G$225,4,FALSE)</f>
        <v>Rezerve</v>
      </c>
      <c r="C52" s="503"/>
      <c r="D52" s="503"/>
      <c r="E52" s="503"/>
      <c r="F52" s="503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56" t="str">
        <f>+VLOOKUP($A53,Master!$D$27:$G$225,4,FALSE)</f>
        <v>Otplata garancija</v>
      </c>
      <c r="C53" s="557"/>
      <c r="D53" s="557"/>
      <c r="E53" s="557"/>
      <c r="F53" s="557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56" t="str">
        <f>+VLOOKUP($A54,Master!$D$27:$G$225,4,FALSE)</f>
        <v>Otplata obaveza iz prethodnih godina</v>
      </c>
      <c r="C54" s="557"/>
      <c r="D54" s="557"/>
      <c r="E54" s="557"/>
      <c r="F54" s="557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56" t="str">
        <f>+VLOOKUP($A55,Master!$D$27:$G$227,4,FALSE)</f>
        <v>Neto povećanje obaveza</v>
      </c>
      <c r="C55" s="557"/>
      <c r="D55" s="557"/>
      <c r="E55" s="557"/>
      <c r="F55" s="557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10" t="str">
        <f>+VLOOKUP($A56,Master!$D$27:$G$225,4,FALSE)</f>
        <v>Suficit / deficit</v>
      </c>
      <c r="C56" s="511"/>
      <c r="D56" s="511"/>
      <c r="E56" s="511"/>
      <c r="F56" s="511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12" t="str">
        <f>+VLOOKUP($A57,Master!$D$27:$G$225,4,FALSE)</f>
        <v>Primarni bilans</v>
      </c>
      <c r="C57" s="513"/>
      <c r="D57" s="513"/>
      <c r="E57" s="513"/>
      <c r="F57" s="513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14" t="str">
        <f>+VLOOKUP($A58,Master!$D$27:$G$225,4,FALSE)</f>
        <v>Otplata dugova</v>
      </c>
      <c r="C58" s="515"/>
      <c r="D58" s="515"/>
      <c r="E58" s="515"/>
      <c r="F58" s="515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04" t="str">
        <f>+VLOOKUP($A59,Master!$D$27:$G$225,4,FALSE)</f>
        <v>Otplata hartija od vrijednosti i kredita rezidentima</v>
      </c>
      <c r="C59" s="505"/>
      <c r="D59" s="505"/>
      <c r="E59" s="505"/>
      <c r="F59" s="505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02" t="str">
        <f>+VLOOKUP($A60,Master!$D$27:$G$225,4,FALSE)</f>
        <v>Otplata hartija od vrijednosti i kredita nerezidentima</v>
      </c>
      <c r="C60" s="503"/>
      <c r="D60" s="503"/>
      <c r="E60" s="503"/>
      <c r="F60" s="503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06" t="str">
        <f>+VLOOKUP($A61,Master!$D$27:$G$225,4,FALSE)</f>
        <v>Nedostajuća sredstva</v>
      </c>
      <c r="C61" s="507"/>
      <c r="D61" s="507"/>
      <c r="E61" s="507"/>
      <c r="F61" s="507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08" t="str">
        <f>+VLOOKUP($A62,Master!$D$27:$G$225,4,FALSE)</f>
        <v>Finansiranje</v>
      </c>
      <c r="C62" s="509"/>
      <c r="D62" s="509"/>
      <c r="E62" s="509"/>
      <c r="F62" s="509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04" t="str">
        <f>+VLOOKUP($A63,Master!$D$27:$G$225,4,FALSE)</f>
        <v>Pozajmice i krediti od domaćih izvora</v>
      </c>
      <c r="C63" s="505"/>
      <c r="D63" s="505"/>
      <c r="E63" s="505"/>
      <c r="F63" s="505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02" t="str">
        <f>+VLOOKUP($A64,Master!$D$27:$G$225,4,FALSE)</f>
        <v>Pozajmice i krediti od inostranih izvora</v>
      </c>
      <c r="C64" s="503"/>
      <c r="D64" s="503"/>
      <c r="E64" s="503"/>
      <c r="F64" s="503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02" t="str">
        <f>+VLOOKUP($A65,Master!$D$27:$G$225,4,FALSE)</f>
        <v>Primici od prodaje imovine</v>
      </c>
      <c r="C65" s="503"/>
      <c r="D65" s="503"/>
      <c r="E65" s="503"/>
      <c r="F65" s="503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+VLOOKUP($A66,Master!$D$27:$G$225,4,FALSE)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55" t="str">
        <f>+Master!G252</f>
        <v>Plan ostvarenja budžeta</v>
      </c>
      <c r="C102" s="455"/>
      <c r="D102" s="455"/>
      <c r="E102" s="455"/>
      <c r="F102" s="455"/>
      <c r="G102" s="463">
        <v>2013</v>
      </c>
      <c r="H102" s="464"/>
      <c r="I102" s="464"/>
      <c r="J102" s="464"/>
      <c r="K102" s="464"/>
      <c r="L102" s="464"/>
      <c r="M102" s="464"/>
      <c r="N102" s="464"/>
      <c r="O102" s="464"/>
      <c r="P102" s="464"/>
      <c r="Q102" s="464"/>
      <c r="R102" s="464"/>
      <c r="S102" s="464"/>
      <c r="T102" s="464"/>
      <c r="U102" s="467"/>
      <c r="V102" s="363"/>
      <c r="W102" s="260" t="str">
        <f>+W7</f>
        <v>BDP</v>
      </c>
      <c r="X102" s="261">
        <v>3393200615</v>
      </c>
    </row>
    <row r="103" spans="1:24" ht="15.75" customHeight="1">
      <c r="A103" s="169"/>
      <c r="B103" s="456"/>
      <c r="C103" s="457"/>
      <c r="D103" s="457"/>
      <c r="E103" s="457"/>
      <c r="F103" s="458"/>
      <c r="G103" s="170" t="str">
        <f t="shared" ref="G103:U103" si="20">+G8</f>
        <v>Januar</v>
      </c>
      <c r="H103" s="170" t="str">
        <f t="shared" si="20"/>
        <v>Februar</v>
      </c>
      <c r="I103" s="170" t="str">
        <f t="shared" si="20"/>
        <v>Mart</v>
      </c>
      <c r="J103" s="170"/>
      <c r="K103" s="170" t="str">
        <f t="shared" si="20"/>
        <v>April</v>
      </c>
      <c r="L103" s="170" t="str">
        <f t="shared" si="20"/>
        <v>Maj</v>
      </c>
      <c r="M103" s="170" t="str">
        <f t="shared" si="20"/>
        <v>Jun</v>
      </c>
      <c r="N103" s="170"/>
      <c r="O103" s="170" t="str">
        <f t="shared" si="20"/>
        <v>Jul</v>
      </c>
      <c r="P103" s="170" t="str">
        <f t="shared" si="20"/>
        <v>Avgust</v>
      </c>
      <c r="Q103" s="170" t="str">
        <f t="shared" si="20"/>
        <v>Septembar</v>
      </c>
      <c r="R103" s="170"/>
      <c r="S103" s="170" t="str">
        <f t="shared" si="20"/>
        <v>Oktobar</v>
      </c>
      <c r="T103" s="170" t="str">
        <f t="shared" si="20"/>
        <v>Novembar</v>
      </c>
      <c r="U103" s="170" t="str">
        <f t="shared" si="20"/>
        <v>Decembar</v>
      </c>
      <c r="V103" s="170"/>
      <c r="W103" s="463" t="str">
        <f>+Master!G246</f>
        <v>Jan - Dec</v>
      </c>
      <c r="X103" s="467">
        <f>+X8</f>
        <v>0</v>
      </c>
    </row>
    <row r="104" spans="1:24" ht="13.5" thickBot="1">
      <c r="A104" s="169"/>
      <c r="B104" s="459"/>
      <c r="C104" s="460"/>
      <c r="D104" s="460"/>
      <c r="E104" s="460"/>
      <c r="F104" s="461"/>
      <c r="G104" s="162" t="s">
        <v>423</v>
      </c>
      <c r="H104" s="162" t="s">
        <v>423</v>
      </c>
      <c r="I104" s="162" t="s">
        <v>423</v>
      </c>
      <c r="J104" s="162"/>
      <c r="K104" s="162" t="s">
        <v>423</v>
      </c>
      <c r="L104" s="162" t="s">
        <v>423</v>
      </c>
      <c r="M104" s="162" t="s">
        <v>423</v>
      </c>
      <c r="N104" s="162"/>
      <c r="O104" s="162" t="s">
        <v>423</v>
      </c>
      <c r="P104" s="162" t="s">
        <v>423</v>
      </c>
      <c r="Q104" s="162" t="s">
        <v>423</v>
      </c>
      <c r="R104" s="162"/>
      <c r="S104" s="162" t="s">
        <v>423</v>
      </c>
      <c r="T104" s="162" t="s">
        <v>423</v>
      </c>
      <c r="U104" s="162" t="s">
        <v>423</v>
      </c>
      <c r="V104" s="162"/>
      <c r="W104" s="262" t="s">
        <v>423</v>
      </c>
      <c r="X104" s="263" t="str">
        <f>+X9</f>
        <v>% BDP</v>
      </c>
    </row>
    <row r="105" spans="1:24" ht="13.5" thickBot="1">
      <c r="A105" s="297" t="str">
        <f t="shared" ref="A105:A148" si="21">+CONCATENATE(A10,"p")</f>
        <v>7p</v>
      </c>
      <c r="B105" s="496" t="str">
        <f>+VLOOKUP(LEFT($A105,LEN(A105)-1)*1,Master!$D$27:$G$225,4,FALSE)</f>
        <v>Prihodi budžeta</v>
      </c>
      <c r="C105" s="497"/>
      <c r="D105" s="497"/>
      <c r="E105" s="497"/>
      <c r="F105" s="497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498" t="str">
        <f>+VLOOKUP(LEFT($A106,LEN(A106)-1)*1,Master!$D$27:$G$225,4,FALSE)</f>
        <v>Porezi</v>
      </c>
      <c r="C106" s="499"/>
      <c r="D106" s="499"/>
      <c r="E106" s="499"/>
      <c r="F106" s="499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84" t="str">
        <f>+VLOOKUP(LEFT($A107,LEN(A107)-1)*1,Master!$D$27:$G$225,4,FALSE)</f>
        <v>Porez na dohodak fizičkih lica</v>
      </c>
      <c r="C107" s="485"/>
      <c r="D107" s="485"/>
      <c r="E107" s="485"/>
      <c r="F107" s="485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84" t="str">
        <f>+VLOOKUP(LEFT($A108,LEN(A108)-1)*1,Master!$D$27:$G$225,4,FALSE)</f>
        <v>Porez na dobit pravnih lica</v>
      </c>
      <c r="C108" s="485"/>
      <c r="D108" s="485"/>
      <c r="E108" s="485"/>
      <c r="F108" s="485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84" t="str">
        <f>+VLOOKUP(LEFT($A109,LEN(A109)-1)*1,Master!$D$27:$G$225,4,FALSE)</f>
        <v>Porez na promet nepokretnosti</v>
      </c>
      <c r="C109" s="485"/>
      <c r="D109" s="485"/>
      <c r="E109" s="485"/>
      <c r="F109" s="485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84" t="str">
        <f>+VLOOKUP(LEFT($A110,LEN(A110)-1)*1,Master!$D$27:$G$225,4,FALSE)</f>
        <v>Porez na dodatu vrijednost</v>
      </c>
      <c r="C110" s="485"/>
      <c r="D110" s="485"/>
      <c r="E110" s="485"/>
      <c r="F110" s="485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84" t="str">
        <f>+VLOOKUP(LEFT($A111,LEN(A111)-1)*1,Master!$D$27:$G$225,4,FALSE)</f>
        <v>Akcize</v>
      </c>
      <c r="C111" s="485"/>
      <c r="D111" s="485"/>
      <c r="E111" s="485"/>
      <c r="F111" s="485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84" t="str">
        <f>+VLOOKUP(LEFT($A112,LEN(A112)-1)*1,Master!$D$27:$G$225,4,FALSE)</f>
        <v>Porez na međunarodnu trgovinu i transakcije</v>
      </c>
      <c r="C112" s="485"/>
      <c r="D112" s="485"/>
      <c r="E112" s="485"/>
      <c r="F112" s="485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84" t="e">
        <f>+VLOOKUP(LEFT($A113,LEN(A113)-1)*1,Master!$D$27:$G$225,4,FALSE)</f>
        <v>#N/A</v>
      </c>
      <c r="C113" s="485"/>
      <c r="D113" s="485"/>
      <c r="E113" s="485"/>
      <c r="F113" s="485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84" t="str">
        <f>+VLOOKUP(LEFT($A114,LEN(A114)-1)*1,Master!$D$27:$G$225,4,FALSE)</f>
        <v>Ostali državni porezi</v>
      </c>
      <c r="C114" s="485"/>
      <c r="D114" s="485"/>
      <c r="E114" s="485"/>
      <c r="F114" s="485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94" t="str">
        <f>+VLOOKUP(LEFT($A115,LEN(A115)-1)*1,Master!$D$27:$G$225,4,FALSE)</f>
        <v>Doprinosi</v>
      </c>
      <c r="C115" s="495"/>
      <c r="D115" s="495"/>
      <c r="E115" s="495"/>
      <c r="F115" s="495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84" t="str">
        <f>+VLOOKUP(LEFT($A116,LEN(A116)-1)*1,Master!$D$27:$G$225,4,FALSE)</f>
        <v>Doprinosi za penzijsko i invalidsko osiguranje</v>
      </c>
      <c r="C116" s="485"/>
      <c r="D116" s="485"/>
      <c r="E116" s="485"/>
      <c r="F116" s="485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84" t="str">
        <f>+VLOOKUP(LEFT($A117,LEN(A117)-1)*1,Master!$D$27:$G$225,4,FALSE)</f>
        <v>Doprinosi za zdravstveno osiguranje</v>
      </c>
      <c r="C117" s="485"/>
      <c r="D117" s="485"/>
      <c r="E117" s="485"/>
      <c r="F117" s="485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84" t="str">
        <f>+VLOOKUP(LEFT($A118,LEN(A118)-1)*1,Master!$D$27:$G$225,4,FALSE)</f>
        <v>Doprinosi za osiguranje od nezaposlenosti</v>
      </c>
      <c r="C118" s="485"/>
      <c r="D118" s="485"/>
      <c r="E118" s="485"/>
      <c r="F118" s="485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84" t="str">
        <f>+VLOOKUP(LEFT($A119,LEN(A119)-1)*1,Master!$D$27:$G$225,4,FALSE)</f>
        <v>Ostali doprinosi</v>
      </c>
      <c r="C119" s="485"/>
      <c r="D119" s="485"/>
      <c r="E119" s="485"/>
      <c r="F119" s="485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86" t="str">
        <f>+VLOOKUP(LEFT($A120,LEN(A120)-1)*1,Master!$D$27:$G$225,4,FALSE)</f>
        <v>Takse</v>
      </c>
      <c r="C120" s="487"/>
      <c r="D120" s="487"/>
      <c r="E120" s="487"/>
      <c r="F120" s="487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86" t="str">
        <f>+VLOOKUP(LEFT($A121,LEN(A121)-1)*1,Master!$D$27:$G$225,4,FALSE)</f>
        <v>Naknade</v>
      </c>
      <c r="C121" s="487"/>
      <c r="D121" s="487"/>
      <c r="E121" s="487"/>
      <c r="F121" s="487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86" t="str">
        <f>+VLOOKUP(LEFT($A122,LEN(A122)-1)*1,Master!$D$27:$G$225,4,FALSE)</f>
        <v>Ostali prihodi</v>
      </c>
      <c r="C122" s="487"/>
      <c r="D122" s="487"/>
      <c r="E122" s="487"/>
      <c r="F122" s="487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86" t="str">
        <f>+VLOOKUP(LEFT($A123,LEN(A123)-1)*1,Master!$D$27:$G$225,4,FALSE)</f>
        <v>Primici od otplate kredita i sredstva prenesena iz prethodne godine</v>
      </c>
      <c r="C123" s="487"/>
      <c r="D123" s="487"/>
      <c r="E123" s="487"/>
      <c r="F123" s="487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88" t="str">
        <f>+VLOOKUP(LEFT($A124,LEN(A124)-1)*1,Master!$D$27:$G$225,4,FALSE)</f>
        <v>Donacije i transferi</v>
      </c>
      <c r="C124" s="489"/>
      <c r="D124" s="489"/>
      <c r="E124" s="489"/>
      <c r="F124" s="489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74" t="str">
        <f>+VLOOKUP(LEFT($A125,LEN(A125)-1)*1,Master!$D$27:$G$225,4,FALSE)</f>
        <v>Budžetski izdaci</v>
      </c>
      <c r="C125" s="475"/>
      <c r="D125" s="475"/>
      <c r="E125" s="475"/>
      <c r="F125" s="475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90" t="str">
        <f>+VLOOKUP(LEFT($A126,LEN(A126)-1)*1,Master!$D$27:$G$225,4,FALSE)</f>
        <v>Tekuća budžetska potrošnja</v>
      </c>
      <c r="C126" s="491"/>
      <c r="D126" s="491"/>
      <c r="E126" s="491"/>
      <c r="F126" s="491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92" t="str">
        <f>+VLOOKUP(LEFT($A127,LEN(A127)-1)*1,Master!$D$27:$G$225,4,FALSE)</f>
        <v>Tekući izdaci</v>
      </c>
      <c r="C127" s="493"/>
      <c r="D127" s="493"/>
      <c r="E127" s="493"/>
      <c r="F127" s="493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84" t="str">
        <f>+VLOOKUP(LEFT($A128,LEN(A128)-1)*1,Master!$D$27:$G$225,4,FALSE)</f>
        <v>Bruto zarade i doprinosi na teret poslodavca</v>
      </c>
      <c r="C128" s="485"/>
      <c r="D128" s="485"/>
      <c r="E128" s="485"/>
      <c r="F128" s="485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84" t="str">
        <f>+VLOOKUP(LEFT($A129,LEN(A129)-1)*1,Master!$D$27:$G$225,4,FALSE)</f>
        <v>Ostala lična primanja</v>
      </c>
      <c r="C129" s="485"/>
      <c r="D129" s="485"/>
      <c r="E129" s="485"/>
      <c r="F129" s="485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84" t="str">
        <f>+VLOOKUP(LEFT($A130,LEN(A130)-1)*1,Master!$D$27:$G$225,4,FALSE)</f>
        <v>Rashodi za materijal</v>
      </c>
      <c r="C130" s="485"/>
      <c r="D130" s="485"/>
      <c r="E130" s="485"/>
      <c r="F130" s="485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84" t="str">
        <f>+VLOOKUP(LEFT($A131,LEN(A131)-1)*1,Master!$D$27:$G$225,4,FALSE)</f>
        <v>Rashodi za usluge</v>
      </c>
      <c r="C131" s="485"/>
      <c r="D131" s="485"/>
      <c r="E131" s="485"/>
      <c r="F131" s="485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84" t="str">
        <f>+VLOOKUP(LEFT($A132,LEN(A132)-1)*1,Master!$D$27:$G$225,4,FALSE)</f>
        <v>Rashodi za tekuće održavanje</v>
      </c>
      <c r="C132" s="485"/>
      <c r="D132" s="485"/>
      <c r="E132" s="485"/>
      <c r="F132" s="485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84" t="str">
        <f>+VLOOKUP(LEFT($A133,LEN(A133)-1)*1,Master!$D$27:$G$225,4,FALSE)</f>
        <v>Kamate</v>
      </c>
      <c r="C133" s="485"/>
      <c r="D133" s="485"/>
      <c r="E133" s="485"/>
      <c r="F133" s="485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84" t="str">
        <f>+VLOOKUP(LEFT($A134,LEN(A134)-1)*1,Master!$D$27:$G$225,4,FALSE)</f>
        <v>Renta</v>
      </c>
      <c r="C134" s="485"/>
      <c r="D134" s="485"/>
      <c r="E134" s="485"/>
      <c r="F134" s="485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84" t="str">
        <f>+VLOOKUP(LEFT($A135,LEN(A135)-1)*1,Master!$D$27:$G$225,4,FALSE)</f>
        <v>Subvencije</v>
      </c>
      <c r="C135" s="485"/>
      <c r="D135" s="485"/>
      <c r="E135" s="485"/>
      <c r="F135" s="485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84" t="str">
        <f>+VLOOKUP(LEFT($A136,LEN(A136)-1)*1,Master!$D$27:$G$225,4,FALSE)</f>
        <v>Ostali izdaci</v>
      </c>
      <c r="C136" s="485"/>
      <c r="D136" s="485"/>
      <c r="E136" s="485"/>
      <c r="F136" s="485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84" t="str">
        <f>+VLOOKUP(LEFT($A137,LEN(A137)-1)*1,Master!$D$27:$G$225,4,FALSE)</f>
        <v>Kapitalni izdaci u tekućem budžetu</v>
      </c>
      <c r="C137" s="485"/>
      <c r="D137" s="485"/>
      <c r="E137" s="485"/>
      <c r="F137" s="485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80" t="str">
        <f>+VLOOKUP(LEFT($A138,LEN(A138)-1)*1,Master!$D$27:$G$225,4,FALSE)</f>
        <v>Transferi za socijalnu zaštitu</v>
      </c>
      <c r="C138" s="481"/>
      <c r="D138" s="481"/>
      <c r="E138" s="481"/>
      <c r="F138" s="481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84" t="str">
        <f>+VLOOKUP(LEFT($A139,LEN(A139)-1)*1,Master!$D$27:$G$225,4,FALSE)</f>
        <v>Prava iz oblasti socijalne zaštite</v>
      </c>
      <c r="C139" s="485"/>
      <c r="D139" s="485"/>
      <c r="E139" s="485"/>
      <c r="F139" s="485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84" t="str">
        <f>+VLOOKUP(LEFT($A140,LEN(A140)-1)*1,Master!$D$27:$G$225,4,FALSE)</f>
        <v>Sredstva za tehnološke viškove</v>
      </c>
      <c r="C140" s="485"/>
      <c r="D140" s="485"/>
      <c r="E140" s="485"/>
      <c r="F140" s="485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84" t="str">
        <f>+VLOOKUP(LEFT($A141,LEN(A141)-1)*1,Master!$D$27:$G$225,4,FALSE)</f>
        <v>Prava iz oblasti penzijskog i invalidskog osiguranja</v>
      </c>
      <c r="C141" s="485"/>
      <c r="D141" s="485"/>
      <c r="E141" s="485"/>
      <c r="F141" s="485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84" t="str">
        <f>+VLOOKUP(LEFT($A142,LEN(A142)-1)*1,Master!$D$27:$G$225,4,FALSE)</f>
        <v>Ostala prava iz oblasti zdravstvene zaštite</v>
      </c>
      <c r="C142" s="485"/>
      <c r="D142" s="485"/>
      <c r="E142" s="485"/>
      <c r="F142" s="485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84" t="str">
        <f>+VLOOKUP(LEFT($A143,LEN(A143)-1)*1,Master!$D$27:$G$225,4,FALSE)</f>
        <v>Ostala prava iz zdravstvenog osiguranja</v>
      </c>
      <c r="C143" s="485"/>
      <c r="D143" s="485"/>
      <c r="E143" s="485"/>
      <c r="F143" s="485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82" t="str">
        <f>+VLOOKUP(LEFT($A144,LEN(A144)-1)*1,Master!$D$27:$G$225,4,FALSE)</f>
        <v xml:space="preserve">Transferi institucijama, pojedincima, nevladinom i javnom sektoru </v>
      </c>
      <c r="C144" s="483"/>
      <c r="D144" s="483"/>
      <c r="E144" s="483"/>
      <c r="F144" s="483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82" t="str">
        <f>+VLOOKUP(LEFT($A145,LEN(A145)-1)*1,Master!$D$27:$G$225,4,FALSE)</f>
        <v>Kapitalni budžet</v>
      </c>
      <c r="C145" s="483"/>
      <c r="D145" s="483"/>
      <c r="E145" s="483"/>
      <c r="F145" s="483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52" t="str">
        <f>+VLOOKUP(LEFT($A146,LEN(A146)-1)*1,Master!$D$27:$G$225,4,FALSE)</f>
        <v>Pozajmice i krediti</v>
      </c>
      <c r="C146" s="453"/>
      <c r="D146" s="453"/>
      <c r="E146" s="453"/>
      <c r="F146" s="453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52" t="str">
        <f>+VLOOKUP(LEFT($A147,LEN(A147)-1)*1,Master!$D$27:$G$225,4,FALSE)</f>
        <v>Rezerve</v>
      </c>
      <c r="C147" s="453"/>
      <c r="D147" s="453"/>
      <c r="E147" s="453"/>
      <c r="F147" s="453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70" t="str">
        <f>+VLOOKUP(LEFT($A148,LEN(A148)-1)*1,Master!$D$27:$G$225,4,FALSE)</f>
        <v>Otplata garancija</v>
      </c>
      <c r="C148" s="471"/>
      <c r="D148" s="471"/>
      <c r="E148" s="471"/>
      <c r="F148" s="471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76" t="str">
        <f>+VLOOKUP(LEFT($A149,LEN(A149)-1)*1,Master!$D$27:$G$225,4,FALSE)</f>
        <v>Suficit / deficit</v>
      </c>
      <c r="C149" s="477"/>
      <c r="D149" s="477"/>
      <c r="E149" s="477"/>
      <c r="F149" s="477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78" t="str">
        <f>+VLOOKUP(LEFT($A150,LEN(A150)-1)*1,Master!$D$27:$G$225,4,FALSE)</f>
        <v>Primarni bilans</v>
      </c>
      <c r="C150" s="479"/>
      <c r="D150" s="479"/>
      <c r="E150" s="479"/>
      <c r="F150" s="479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80" t="str">
        <f>+VLOOKUP(LEFT($A151,LEN(A151)-1)*1,Master!$D$27:$G$225,4,FALSE)</f>
        <v>Otplata dugova</v>
      </c>
      <c r="C151" s="481"/>
      <c r="D151" s="481"/>
      <c r="E151" s="481"/>
      <c r="F151" s="481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68" t="str">
        <f>+VLOOKUP(LEFT($A152,LEN(A152)-1)*1,Master!$D$27:$G$225,4,FALSE)</f>
        <v>Otplata hartija od vrijednosti i kredita rezidentima</v>
      </c>
      <c r="C152" s="469"/>
      <c r="D152" s="469"/>
      <c r="E152" s="469"/>
      <c r="F152" s="469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52" t="str">
        <f>+VLOOKUP(LEFT($A153,LEN(A153)-1)*1,Master!$D$27:$G$225,4,FALSE)</f>
        <v>Otplata hartija od vrijednosti i kredita nerezidentima</v>
      </c>
      <c r="C153" s="453"/>
      <c r="D153" s="453"/>
      <c r="E153" s="453"/>
      <c r="F153" s="453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70" t="str">
        <f>+VLOOKUP(LEFT($A154,LEN(A154)-1)*1,Master!$D$27:$G$225,4,FALSE)</f>
        <v>Otplata obaveza iz prethodnih godina</v>
      </c>
      <c r="C154" s="471"/>
      <c r="D154" s="471"/>
      <c r="E154" s="471"/>
      <c r="F154" s="471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72" t="str">
        <f>+VLOOKUP(LEFT($A155,LEN(A155)-1)*1,Master!$D$27:$G$225,4,FALSE)</f>
        <v>Nedostajuća sredstva</v>
      </c>
      <c r="C155" s="473"/>
      <c r="D155" s="473"/>
      <c r="E155" s="473"/>
      <c r="F155" s="473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74" t="str">
        <f>+VLOOKUP(LEFT($A156,LEN(A156)-1)*1,Master!$D$27:$G$225,4,FALSE)</f>
        <v>Finansiranje</v>
      </c>
      <c r="C156" s="475"/>
      <c r="D156" s="475"/>
      <c r="E156" s="475"/>
      <c r="F156" s="475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68" t="str">
        <f>+VLOOKUP(LEFT($A157,LEN(A157)-1)*1,Master!$D$27:$G$225,4,FALSE)</f>
        <v>Pozajmice i krediti od domaćih izvora</v>
      </c>
      <c r="C157" s="469"/>
      <c r="D157" s="469"/>
      <c r="E157" s="469"/>
      <c r="F157" s="469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52" t="str">
        <f>+VLOOKUP(LEFT($A158,LEN(A158)-1)*1,Master!$D$27:$G$225,4,FALSE)</f>
        <v>Pozajmice i krediti od inostranih izvora</v>
      </c>
      <c r="C158" s="453"/>
      <c r="D158" s="453"/>
      <c r="E158" s="453"/>
      <c r="F158" s="453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52" t="str">
        <f>+VLOOKUP(LEFT($A159,LEN(A159)-1)*1,Master!$D$27:$G$225,4,FALSE)</f>
        <v>Primici od prodaje imovine</v>
      </c>
      <c r="C159" s="453"/>
      <c r="D159" s="453"/>
      <c r="E159" s="453"/>
      <c r="F159" s="453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+VLOOKUP(LEFT($A160,LEN(A160)-1)*1,Master!$D$27:$G$225,4,FALSE)</f>
        <v>Povećanje / smanjenje depozita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513</v>
      </c>
      <c r="H6" s="69" t="s">
        <v>514</v>
      </c>
      <c r="I6" s="69" t="s">
        <v>515</v>
      </c>
      <c r="J6" s="69" t="s">
        <v>516</v>
      </c>
      <c r="K6" s="69" t="s">
        <v>517</v>
      </c>
      <c r="L6" s="69" t="s">
        <v>518</v>
      </c>
      <c r="M6" s="69" t="s">
        <v>519</v>
      </c>
      <c r="N6" s="69" t="s">
        <v>520</v>
      </c>
      <c r="O6" s="69" t="s">
        <v>521</v>
      </c>
      <c r="P6" s="69" t="s">
        <v>522</v>
      </c>
      <c r="Q6" s="69" t="s">
        <v>523</v>
      </c>
      <c r="R6" s="69" t="s">
        <v>524</v>
      </c>
    </row>
    <row r="7" spans="1:20" ht="15" customHeight="1" thickBot="1">
      <c r="B7" s="537" t="str">
        <f>+Master!G251</f>
        <v>Ostvarenje budžeta</v>
      </c>
      <c r="C7" s="538"/>
      <c r="D7" s="538"/>
      <c r="E7" s="538"/>
      <c r="F7" s="538"/>
      <c r="G7" s="530">
        <v>2013</v>
      </c>
      <c r="H7" s="531"/>
      <c r="I7" s="531"/>
      <c r="J7" s="531"/>
      <c r="K7" s="531"/>
      <c r="L7" s="531"/>
      <c r="M7" s="531"/>
      <c r="N7" s="531"/>
      <c r="O7" s="531"/>
      <c r="P7" s="531"/>
      <c r="Q7" s="531"/>
      <c r="R7" s="532"/>
      <c r="S7" s="115" t="str">
        <f>+Master!G248</f>
        <v>BDP</v>
      </c>
      <c r="T7" s="116">
        <v>3393200615</v>
      </c>
    </row>
    <row r="8" spans="1:20" ht="16.5" customHeight="1">
      <c r="B8" s="539"/>
      <c r="C8" s="540"/>
      <c r="D8" s="540"/>
      <c r="E8" s="540"/>
      <c r="F8" s="541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 t="str">
        <f>+Master!G234</f>
        <v>April</v>
      </c>
      <c r="K8" s="73" t="str">
        <f>+Master!G235</f>
        <v>Maj</v>
      </c>
      <c r="L8" s="73" t="str">
        <f>+Master!G236</f>
        <v>Jun</v>
      </c>
      <c r="M8" s="73" t="str">
        <f>+Master!G237</f>
        <v>Jul</v>
      </c>
      <c r="N8" s="73" t="str">
        <f>+Master!G238</f>
        <v>Avgust</v>
      </c>
      <c r="O8" s="73" t="str">
        <f>+Master!G239</f>
        <v>Septembar</v>
      </c>
      <c r="P8" s="73" t="str">
        <f>+Master!G240</f>
        <v>Oktobar</v>
      </c>
      <c r="Q8" s="73" t="str">
        <f>+Master!G241</f>
        <v>Novembar</v>
      </c>
      <c r="R8" s="73" t="str">
        <f>+Master!G242</f>
        <v>Decembar</v>
      </c>
      <c r="S8" s="530" t="str">
        <f>+Master!G245</f>
        <v>Jan - Maj</v>
      </c>
      <c r="T8" s="532"/>
    </row>
    <row r="9" spans="1:20" ht="13.5" thickBot="1">
      <c r="B9" s="542"/>
      <c r="C9" s="543"/>
      <c r="D9" s="543"/>
      <c r="E9" s="543"/>
      <c r="F9" s="544"/>
      <c r="G9" s="68" t="s">
        <v>423</v>
      </c>
      <c r="H9" s="68" t="s">
        <v>423</v>
      </c>
      <c r="I9" s="68" t="s">
        <v>423</v>
      </c>
      <c r="J9" s="68" t="s">
        <v>423</v>
      </c>
      <c r="K9" s="68" t="s">
        <v>423</v>
      </c>
      <c r="L9" s="68" t="s">
        <v>423</v>
      </c>
      <c r="M9" s="68" t="s">
        <v>423</v>
      </c>
      <c r="N9" s="68" t="s">
        <v>423</v>
      </c>
      <c r="O9" s="68" t="s">
        <v>423</v>
      </c>
      <c r="P9" s="68" t="s">
        <v>423</v>
      </c>
      <c r="Q9" s="68" t="s">
        <v>423</v>
      </c>
      <c r="R9" s="68" t="s">
        <v>423</v>
      </c>
      <c r="S9" s="66" t="s">
        <v>423</v>
      </c>
      <c r="T9" s="67" t="str">
        <f>+Master!G249</f>
        <v>% BDP</v>
      </c>
    </row>
    <row r="10" spans="1:20" ht="13.5" thickBot="1">
      <c r="A10" s="72">
        <v>7</v>
      </c>
      <c r="B10" s="533" t="str">
        <f>+VLOOKUP($A10,Master!$D$27:$G$225,4,FALSE)</f>
        <v>Prihodi budžeta</v>
      </c>
      <c r="C10" s="534"/>
      <c r="D10" s="534"/>
      <c r="E10" s="534"/>
      <c r="F10" s="534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35" t="str">
        <f>+VLOOKUP($A11,Master!$D$27:$G$225,4,FALSE)</f>
        <v>Porezi</v>
      </c>
      <c r="C11" s="536"/>
      <c r="D11" s="536"/>
      <c r="E11" s="536"/>
      <c r="F11" s="536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16" t="str">
        <f>+VLOOKUP($A12,Master!$D$27:$G$225,4,FALSE)</f>
        <v>Porez na dohodak fizičkih lica</v>
      </c>
      <c r="C12" s="517"/>
      <c r="D12" s="517"/>
      <c r="E12" s="517"/>
      <c r="F12" s="517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16" t="str">
        <f>+VLOOKUP($A13,Master!$D$27:$G$225,4,FALSE)</f>
        <v>Porez na dobit pravnih lica</v>
      </c>
      <c r="C13" s="517"/>
      <c r="D13" s="517"/>
      <c r="E13" s="517"/>
      <c r="F13" s="517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16" t="str">
        <f>+VLOOKUP($A14,Master!$D$27:$G$225,4,FALSE)</f>
        <v>Porez na promet nepokretnosti</v>
      </c>
      <c r="C14" s="517"/>
      <c r="D14" s="517"/>
      <c r="E14" s="517"/>
      <c r="F14" s="517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16" t="str">
        <f>+VLOOKUP($A15,Master!$D$27:$G$225,4,FALSE)</f>
        <v>Porez na dodatu vrijednost</v>
      </c>
      <c r="C15" s="517"/>
      <c r="D15" s="517"/>
      <c r="E15" s="517"/>
      <c r="F15" s="517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16" t="str">
        <f>+VLOOKUP($A16,Master!$D$27:$G$225,4,FALSE)</f>
        <v>Akcize</v>
      </c>
      <c r="C16" s="517"/>
      <c r="D16" s="517"/>
      <c r="E16" s="517"/>
      <c r="F16" s="517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16" t="str">
        <f>+VLOOKUP($A17,Master!$D$27:$G$225,4,FALSE)</f>
        <v>Porez na međunarodnu trgovinu i transakcije</v>
      </c>
      <c r="C17" s="517"/>
      <c r="D17" s="517"/>
      <c r="E17" s="517"/>
      <c r="F17" s="517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16" t="e">
        <f>+VLOOKUP($A18,Master!$D$27:$G$225,4,FALSE)</f>
        <v>#N/A</v>
      </c>
      <c r="C18" s="517"/>
      <c r="D18" s="517"/>
      <c r="E18" s="517"/>
      <c r="F18" s="517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16" t="str">
        <f>+VLOOKUP($A19,Master!$D$27:$G$225,4,FALSE)</f>
        <v>Ostali državni porezi</v>
      </c>
      <c r="C19" s="517"/>
      <c r="D19" s="517"/>
      <c r="E19" s="517"/>
      <c r="F19" s="517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28" t="str">
        <f>+VLOOKUP($A20,Master!$D$27:$G$225,4,FALSE)</f>
        <v>Doprinosi</v>
      </c>
      <c r="C20" s="529"/>
      <c r="D20" s="529"/>
      <c r="E20" s="529"/>
      <c r="F20" s="529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16" t="str">
        <f>+VLOOKUP($A21,Master!$D$27:$G$225,4,FALSE)</f>
        <v>Doprinosi za penzijsko i invalidsko osiguranje</v>
      </c>
      <c r="C21" s="517"/>
      <c r="D21" s="517"/>
      <c r="E21" s="517"/>
      <c r="F21" s="517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16" t="str">
        <f>+VLOOKUP($A22,Master!$D$27:$G$225,4,FALSE)</f>
        <v>Doprinosi za zdravstveno osiguranje</v>
      </c>
      <c r="C22" s="517"/>
      <c r="D22" s="517"/>
      <c r="E22" s="517"/>
      <c r="F22" s="517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16" t="str">
        <f>+VLOOKUP($A23,Master!$D$27:$G$225,4,FALSE)</f>
        <v>Doprinosi za osiguranje od nezaposlenosti</v>
      </c>
      <c r="C23" s="517"/>
      <c r="D23" s="517"/>
      <c r="E23" s="517"/>
      <c r="F23" s="517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16" t="str">
        <f>+VLOOKUP($A24,Master!$D$27:$G$225,4,FALSE)</f>
        <v>Ostali doprinosi</v>
      </c>
      <c r="C24" s="517"/>
      <c r="D24" s="517"/>
      <c r="E24" s="517"/>
      <c r="F24" s="517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20" t="str">
        <f>+VLOOKUP($A25,Master!$D$27:$G$225,4,FALSE)</f>
        <v>Takse</v>
      </c>
      <c r="C25" s="521"/>
      <c r="D25" s="521"/>
      <c r="E25" s="521"/>
      <c r="F25" s="521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20" t="str">
        <f>+VLOOKUP($A26,Master!$D$27:$G$225,4,FALSE)</f>
        <v>Naknade</v>
      </c>
      <c r="C26" s="521"/>
      <c r="D26" s="521"/>
      <c r="E26" s="521"/>
      <c r="F26" s="521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20" t="str">
        <f>+VLOOKUP($A27,Master!$D$27:$G$225,4,FALSE)</f>
        <v>Ostali prihodi</v>
      </c>
      <c r="C27" s="521"/>
      <c r="D27" s="521"/>
      <c r="E27" s="521"/>
      <c r="F27" s="521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20" t="str">
        <f>+VLOOKUP($A28,Master!$D$27:$G$225,4,FALSE)</f>
        <v>Primici od otplate kredita i sredstva prenesena iz prethodne godine</v>
      </c>
      <c r="C28" s="521"/>
      <c r="D28" s="521"/>
      <c r="E28" s="521"/>
      <c r="F28" s="521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22" t="str">
        <f>+VLOOKUP($A29,Master!$D$27:$G$225,4,FALSE)</f>
        <v>Donacije i transferi</v>
      </c>
      <c r="C29" s="523"/>
      <c r="D29" s="523"/>
      <c r="E29" s="523"/>
      <c r="F29" s="523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08" t="str">
        <f>+VLOOKUP($A30,Master!$D$27:$G$225,4,FALSE)</f>
        <v>Budžetski izdaci</v>
      </c>
      <c r="C30" s="509"/>
      <c r="D30" s="509"/>
      <c r="E30" s="509"/>
      <c r="F30" s="509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24" t="str">
        <f>+VLOOKUP($A31,Master!$D$27:$G$225,4,FALSE)</f>
        <v>Tekuća budžetska potrošnja</v>
      </c>
      <c r="C31" s="525"/>
      <c r="D31" s="525"/>
      <c r="E31" s="525"/>
      <c r="F31" s="525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26" t="str">
        <f>+VLOOKUP($A32,Master!$D$27:$G$225,4,FALSE)</f>
        <v>Tekući izdaci</v>
      </c>
      <c r="C32" s="527"/>
      <c r="D32" s="527"/>
      <c r="E32" s="527"/>
      <c r="F32" s="527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16" t="str">
        <f>+VLOOKUP($A33,Master!$D$27:$G$225,4,FALSE)</f>
        <v>Bruto zarade i doprinosi na teret poslodavca</v>
      </c>
      <c r="C33" s="517"/>
      <c r="D33" s="517"/>
      <c r="E33" s="517"/>
      <c r="F33" s="517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16" t="str">
        <f>+VLOOKUP($A34,Master!$D$27:$G$225,4,FALSE)</f>
        <v>Ostala lična primanja</v>
      </c>
      <c r="C34" s="517"/>
      <c r="D34" s="517"/>
      <c r="E34" s="517"/>
      <c r="F34" s="517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16" t="str">
        <f>+VLOOKUP($A35,Master!$D$27:$G$225,4,FALSE)</f>
        <v>Rashodi za materijal</v>
      </c>
      <c r="C35" s="517"/>
      <c r="D35" s="517"/>
      <c r="E35" s="517"/>
      <c r="F35" s="517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16" t="str">
        <f>+VLOOKUP($A36,Master!$D$27:$G$225,4,FALSE)</f>
        <v>Rashodi za usluge</v>
      </c>
      <c r="C36" s="517"/>
      <c r="D36" s="517"/>
      <c r="E36" s="517"/>
      <c r="F36" s="517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16" t="str">
        <f>+VLOOKUP($A37,Master!$D$27:$G$225,4,FALSE)</f>
        <v>Rashodi za tekuće održavanje</v>
      </c>
      <c r="C37" s="517"/>
      <c r="D37" s="517"/>
      <c r="E37" s="517"/>
      <c r="F37" s="517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16" t="str">
        <f>+VLOOKUP($A38,Master!$D$27:$G$225,4,FALSE)</f>
        <v>Kamate</v>
      </c>
      <c r="C38" s="517"/>
      <c r="D38" s="517"/>
      <c r="E38" s="517"/>
      <c r="F38" s="517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16" t="str">
        <f>+VLOOKUP($A39,Master!$D$27:$G$225,4,FALSE)</f>
        <v>Renta</v>
      </c>
      <c r="C39" s="517"/>
      <c r="D39" s="517"/>
      <c r="E39" s="517"/>
      <c r="F39" s="517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16" t="str">
        <f>+VLOOKUP($A40,Master!$D$27:$G$225,4,FALSE)</f>
        <v>Subvencije</v>
      </c>
      <c r="C40" s="517"/>
      <c r="D40" s="517"/>
      <c r="E40" s="517"/>
      <c r="F40" s="517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16" t="str">
        <f>+VLOOKUP($A41,Master!$D$27:$G$225,4,FALSE)</f>
        <v>Ostali izdaci</v>
      </c>
      <c r="C41" s="517"/>
      <c r="D41" s="517"/>
      <c r="E41" s="517"/>
      <c r="F41" s="517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16" t="str">
        <f>+VLOOKUP($A42,Master!$D$27:$G$225,4,FALSE)</f>
        <v>Kapitalni izdaci u tekućem budžetu</v>
      </c>
      <c r="C42" s="517"/>
      <c r="D42" s="517"/>
      <c r="E42" s="517"/>
      <c r="F42" s="517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14" t="str">
        <f>+VLOOKUP($A43,Master!$D$27:$G$225,4,FALSE)</f>
        <v>Transferi za socijalnu zaštitu</v>
      </c>
      <c r="C43" s="515"/>
      <c r="D43" s="515"/>
      <c r="E43" s="515"/>
      <c r="F43" s="515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16" t="str">
        <f>+VLOOKUP($A44,Master!$D$27:$G$225,4,FALSE)</f>
        <v>Prava iz oblasti socijalne zaštite</v>
      </c>
      <c r="C44" s="517"/>
      <c r="D44" s="517"/>
      <c r="E44" s="517"/>
      <c r="F44" s="517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16" t="str">
        <f>+VLOOKUP($A45,Master!$D$27:$G$225,4,FALSE)</f>
        <v>Sredstva za tehnološke viškove</v>
      </c>
      <c r="C45" s="517"/>
      <c r="D45" s="517"/>
      <c r="E45" s="517"/>
      <c r="F45" s="517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16" t="str">
        <f>+VLOOKUP($A46,Master!$D$27:$G$225,4,FALSE)</f>
        <v>Prava iz oblasti penzijskog i invalidskog osiguranja</v>
      </c>
      <c r="C46" s="517"/>
      <c r="D46" s="517"/>
      <c r="E46" s="517"/>
      <c r="F46" s="517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16" t="str">
        <f>+VLOOKUP($A47,Master!$D$27:$G$225,4,FALSE)</f>
        <v>Ostala prava iz oblasti zdravstvene zaštite</v>
      </c>
      <c r="C47" s="517"/>
      <c r="D47" s="517"/>
      <c r="E47" s="517"/>
      <c r="F47" s="517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16" t="str">
        <f>+VLOOKUP($A48,Master!$D$27:$G$225,4,FALSE)</f>
        <v>Ostala prava iz zdravstvenog osiguranja</v>
      </c>
      <c r="C48" s="517"/>
      <c r="D48" s="517"/>
      <c r="E48" s="517"/>
      <c r="F48" s="517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18" t="str">
        <f>+VLOOKUP($A49,Master!$D$27:$G$225,4,FALSE)</f>
        <v xml:space="preserve">Transferi institucijama, pojedincima, nevladinom i javnom sektoru </v>
      </c>
      <c r="C49" s="519"/>
      <c r="D49" s="519"/>
      <c r="E49" s="519"/>
      <c r="F49" s="519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18" t="str">
        <f>+VLOOKUP($A50,Master!$D$27:$G$225,4,FALSE)</f>
        <v>Kapitalni budžet</v>
      </c>
      <c r="C50" s="519"/>
      <c r="D50" s="519"/>
      <c r="E50" s="519"/>
      <c r="F50" s="519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02" t="str">
        <f>+VLOOKUP($A51,Master!$D$27:$G$225,4,FALSE)</f>
        <v>Pozajmice i krediti</v>
      </c>
      <c r="C51" s="503"/>
      <c r="D51" s="503"/>
      <c r="E51" s="503"/>
      <c r="F51" s="503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02" t="str">
        <f>+VLOOKUP($A52,Master!$D$27:$G$225,4,FALSE)</f>
        <v>Rezerve</v>
      </c>
      <c r="C52" s="503"/>
      <c r="D52" s="503"/>
      <c r="E52" s="503"/>
      <c r="F52" s="503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56" t="str">
        <f>+VLOOKUP($A53,Master!$D$27:$G$225,4,FALSE)</f>
        <v>Otplata garancija</v>
      </c>
      <c r="C53" s="557"/>
      <c r="D53" s="557"/>
      <c r="E53" s="557"/>
      <c r="F53" s="557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10" t="str">
        <f>+VLOOKUP($A54,Master!$D$27:$G$225,4,FALSE)</f>
        <v>Suficit / deficit</v>
      </c>
      <c r="C54" s="511"/>
      <c r="D54" s="511"/>
      <c r="E54" s="511"/>
      <c r="F54" s="511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12" t="str">
        <f>+VLOOKUP($A55,Master!$D$27:$G$225,4,FALSE)</f>
        <v>Primarni bilans</v>
      </c>
      <c r="C55" s="513"/>
      <c r="D55" s="513"/>
      <c r="E55" s="513"/>
      <c r="F55" s="513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14" t="str">
        <f>+VLOOKUP($A56,Master!$D$27:$G$225,4,FALSE)</f>
        <v>Otplata dugova</v>
      </c>
      <c r="C56" s="515"/>
      <c r="D56" s="515"/>
      <c r="E56" s="515"/>
      <c r="F56" s="515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04" t="str">
        <f>+VLOOKUP($A57,Master!$D$27:$G$225,4,FALSE)</f>
        <v>Otplata hartija od vrijednosti i kredita rezidentima</v>
      </c>
      <c r="C57" s="505"/>
      <c r="D57" s="505"/>
      <c r="E57" s="505"/>
      <c r="F57" s="505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02" t="str">
        <f>+VLOOKUP($A58,Master!$D$27:$G$225,4,FALSE)</f>
        <v>Otplata hartija od vrijednosti i kredita nerezidentima</v>
      </c>
      <c r="C58" s="503"/>
      <c r="D58" s="503"/>
      <c r="E58" s="503"/>
      <c r="F58" s="503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56" t="str">
        <f>+VLOOKUP($A59,Master!$D$27:$G$225,4,FALSE)</f>
        <v>Otplata obaveza iz prethodnih godina</v>
      </c>
      <c r="C59" s="557"/>
      <c r="D59" s="557"/>
      <c r="E59" s="557"/>
      <c r="F59" s="557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06" t="str">
        <f>+VLOOKUP($A60,Master!$D$27:$G$225,4,FALSE)</f>
        <v>Nedostajuća sredstva</v>
      </c>
      <c r="C60" s="507"/>
      <c r="D60" s="507"/>
      <c r="E60" s="507"/>
      <c r="F60" s="507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08" t="str">
        <f>+VLOOKUP($A61,Master!$D$27:$G$225,4,FALSE)</f>
        <v>Finansiranje</v>
      </c>
      <c r="C61" s="509"/>
      <c r="D61" s="509"/>
      <c r="E61" s="509"/>
      <c r="F61" s="509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04" t="str">
        <f>+VLOOKUP($A62,Master!$D$27:$G$225,4,FALSE)</f>
        <v>Pozajmice i krediti od domaćih izvora</v>
      </c>
      <c r="C62" s="505"/>
      <c r="D62" s="505"/>
      <c r="E62" s="505"/>
      <c r="F62" s="505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02" t="str">
        <f>+VLOOKUP($A63,Master!$D$27:$G$225,4,FALSE)</f>
        <v>Pozajmice i krediti od inostranih izvora</v>
      </c>
      <c r="C63" s="503"/>
      <c r="D63" s="503"/>
      <c r="E63" s="503"/>
      <c r="F63" s="503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02" t="str">
        <f>+VLOOKUP($A64,Master!$D$27:$G$225,4,FALSE)</f>
        <v>Primici od prodaje imovine</v>
      </c>
      <c r="C64" s="503"/>
      <c r="D64" s="503"/>
      <c r="E64" s="503"/>
      <c r="F64" s="503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+VLOOKUP($A65,Master!$D$27:$G$225,4,FALSE)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55" t="str">
        <f>+Master!G252</f>
        <v>Plan ostvarenja budžeta</v>
      </c>
      <c r="C101" s="455"/>
      <c r="D101" s="455"/>
      <c r="E101" s="455"/>
      <c r="F101" s="455"/>
      <c r="G101" s="463">
        <v>2014</v>
      </c>
      <c r="H101" s="464"/>
      <c r="I101" s="464"/>
      <c r="J101" s="464"/>
      <c r="K101" s="464"/>
      <c r="L101" s="464"/>
      <c r="M101" s="464"/>
      <c r="N101" s="464"/>
      <c r="O101" s="464"/>
      <c r="P101" s="464"/>
      <c r="Q101" s="464"/>
      <c r="R101" s="467"/>
      <c r="S101" s="260" t="str">
        <f>+S7</f>
        <v>BDP</v>
      </c>
      <c r="T101" s="261">
        <v>3393200615</v>
      </c>
    </row>
    <row r="102" spans="1:20" ht="15.75" customHeight="1">
      <c r="A102" s="169"/>
      <c r="B102" s="456"/>
      <c r="C102" s="457"/>
      <c r="D102" s="457"/>
      <c r="E102" s="457"/>
      <c r="F102" s="458"/>
      <c r="G102" s="170" t="str">
        <f>+G8</f>
        <v>Januar</v>
      </c>
      <c r="H102" s="170" t="str">
        <f t="shared" ref="H102:T102" si="16">+H8</f>
        <v>Februar</v>
      </c>
      <c r="I102" s="170" t="str">
        <f t="shared" si="16"/>
        <v>Mart</v>
      </c>
      <c r="J102" s="170" t="str">
        <f t="shared" si="16"/>
        <v>April</v>
      </c>
      <c r="K102" s="170" t="str">
        <f t="shared" si="16"/>
        <v>Maj</v>
      </c>
      <c r="L102" s="170" t="str">
        <f t="shared" si="16"/>
        <v>Jun</v>
      </c>
      <c r="M102" s="170" t="str">
        <f t="shared" si="16"/>
        <v>Jul</v>
      </c>
      <c r="N102" s="170" t="str">
        <f t="shared" si="16"/>
        <v>Avgust</v>
      </c>
      <c r="O102" s="170" t="str">
        <f t="shared" si="16"/>
        <v>Septembar</v>
      </c>
      <c r="P102" s="170" t="str">
        <f t="shared" si="16"/>
        <v>Oktobar</v>
      </c>
      <c r="Q102" s="170" t="str">
        <f t="shared" si="16"/>
        <v>Novembar</v>
      </c>
      <c r="R102" s="170" t="str">
        <f t="shared" si="16"/>
        <v>Decembar</v>
      </c>
      <c r="S102" s="463" t="str">
        <f>+Master!G246</f>
        <v>Jan - Dec</v>
      </c>
      <c r="T102" s="467">
        <f t="shared" si="16"/>
        <v>0</v>
      </c>
    </row>
    <row r="103" spans="1:20" ht="13.5" thickBot="1">
      <c r="A103" s="169"/>
      <c r="B103" s="459"/>
      <c r="C103" s="460"/>
      <c r="D103" s="460"/>
      <c r="E103" s="460"/>
      <c r="F103" s="461"/>
      <c r="G103" s="162" t="s">
        <v>423</v>
      </c>
      <c r="H103" s="162" t="s">
        <v>423</v>
      </c>
      <c r="I103" s="162" t="s">
        <v>423</v>
      </c>
      <c r="J103" s="162" t="s">
        <v>423</v>
      </c>
      <c r="K103" s="162" t="s">
        <v>423</v>
      </c>
      <c r="L103" s="162" t="s">
        <v>423</v>
      </c>
      <c r="M103" s="162" t="s">
        <v>423</v>
      </c>
      <c r="N103" s="162" t="s">
        <v>423</v>
      </c>
      <c r="O103" s="162" t="s">
        <v>423</v>
      </c>
      <c r="P103" s="162" t="s">
        <v>423</v>
      </c>
      <c r="Q103" s="162" t="s">
        <v>423</v>
      </c>
      <c r="R103" s="162" t="s">
        <v>423</v>
      </c>
      <c r="S103" s="262" t="s">
        <v>423</v>
      </c>
      <c r="T103" s="263" t="str">
        <f>+T9</f>
        <v>% BDP</v>
      </c>
    </row>
    <row r="104" spans="1:20" ht="13.5" thickBot="1">
      <c r="A104" s="297" t="str">
        <f>+CONCATENATE(A10,"p")</f>
        <v>7p</v>
      </c>
      <c r="B104" s="496" t="str">
        <f>+VLOOKUP(LEFT($A104,LEN(A104)-1)*1,Master!$D$27:$G$225,4,FALSE)</f>
        <v>Prihodi budžeta</v>
      </c>
      <c r="C104" s="497"/>
      <c r="D104" s="497"/>
      <c r="E104" s="497"/>
      <c r="F104" s="497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498" t="str">
        <f>+VLOOKUP(LEFT($A105,LEN(A105)-1)*1,Master!$D$27:$G$225,4,FALSE)</f>
        <v>Porezi</v>
      </c>
      <c r="C105" s="499"/>
      <c r="D105" s="499"/>
      <c r="E105" s="499"/>
      <c r="F105" s="499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84" t="str">
        <f>+VLOOKUP(LEFT($A106,LEN(A106)-1)*1,Master!$D$27:$G$225,4,FALSE)</f>
        <v>Porez na dohodak fizičkih lica</v>
      </c>
      <c r="C106" s="485"/>
      <c r="D106" s="485"/>
      <c r="E106" s="485"/>
      <c r="F106" s="485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84" t="str">
        <f>+VLOOKUP(LEFT($A107,LEN(A107)-1)*1,Master!$D$27:$G$225,4,FALSE)</f>
        <v>Porez na dobit pravnih lica</v>
      </c>
      <c r="C107" s="485"/>
      <c r="D107" s="485"/>
      <c r="E107" s="485"/>
      <c r="F107" s="485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84" t="str">
        <f>+VLOOKUP(LEFT($A108,LEN(A108)-1)*1,Master!$D$27:$G$225,4,FALSE)</f>
        <v>Porez na promet nepokretnosti</v>
      </c>
      <c r="C108" s="485"/>
      <c r="D108" s="485"/>
      <c r="E108" s="485"/>
      <c r="F108" s="485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84" t="str">
        <f>+VLOOKUP(LEFT($A109,LEN(A109)-1)*1,Master!$D$27:$G$225,4,FALSE)</f>
        <v>Porez na dodatu vrijednost</v>
      </c>
      <c r="C109" s="485"/>
      <c r="D109" s="485"/>
      <c r="E109" s="485"/>
      <c r="F109" s="485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84" t="str">
        <f>+VLOOKUP(LEFT($A110,LEN(A110)-1)*1,Master!$D$27:$G$225,4,FALSE)</f>
        <v>Akcize</v>
      </c>
      <c r="C110" s="485"/>
      <c r="D110" s="485"/>
      <c r="E110" s="485"/>
      <c r="F110" s="485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84" t="str">
        <f>+VLOOKUP(LEFT($A111,LEN(A111)-1)*1,Master!$D$27:$G$225,4,FALSE)</f>
        <v>Porez na međunarodnu trgovinu i transakcije</v>
      </c>
      <c r="C111" s="485"/>
      <c r="D111" s="485"/>
      <c r="E111" s="485"/>
      <c r="F111" s="485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84" t="e">
        <f>+VLOOKUP(LEFT($A112,LEN(A112)-1)*1,Master!$D$27:$G$225,4,FALSE)</f>
        <v>#N/A</v>
      </c>
      <c r="C112" s="485"/>
      <c r="D112" s="485"/>
      <c r="E112" s="485"/>
      <c r="F112" s="485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84" t="str">
        <f>+VLOOKUP(LEFT($A113,LEN(A113)-1)*1,Master!$D$27:$G$225,4,FALSE)</f>
        <v>Ostali državni porezi</v>
      </c>
      <c r="C113" s="485"/>
      <c r="D113" s="485"/>
      <c r="E113" s="485"/>
      <c r="F113" s="485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94" t="str">
        <f>+VLOOKUP(LEFT($A114,LEN(A114)-1)*1,Master!$D$27:$G$225,4,FALSE)</f>
        <v>Doprinosi</v>
      </c>
      <c r="C114" s="495"/>
      <c r="D114" s="495"/>
      <c r="E114" s="495"/>
      <c r="F114" s="495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84" t="str">
        <f>+VLOOKUP(LEFT($A115,LEN(A115)-1)*1,Master!$D$27:$G$225,4,FALSE)</f>
        <v>Doprinosi za penzijsko i invalidsko osiguranje</v>
      </c>
      <c r="C115" s="485"/>
      <c r="D115" s="485"/>
      <c r="E115" s="485"/>
      <c r="F115" s="485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84" t="str">
        <f>+VLOOKUP(LEFT($A116,LEN(A116)-1)*1,Master!$D$27:$G$225,4,FALSE)</f>
        <v>Doprinosi za zdravstveno osiguranje</v>
      </c>
      <c r="C116" s="485"/>
      <c r="D116" s="485"/>
      <c r="E116" s="485"/>
      <c r="F116" s="485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84" t="str">
        <f>+VLOOKUP(LEFT($A117,LEN(A117)-1)*1,Master!$D$27:$G$225,4,FALSE)</f>
        <v>Doprinosi za osiguranje od nezaposlenosti</v>
      </c>
      <c r="C117" s="485"/>
      <c r="D117" s="485"/>
      <c r="E117" s="485"/>
      <c r="F117" s="485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84" t="str">
        <f>+VLOOKUP(LEFT($A118,LEN(A118)-1)*1,Master!$D$27:$G$225,4,FALSE)</f>
        <v>Ostali doprinosi</v>
      </c>
      <c r="C118" s="485"/>
      <c r="D118" s="485"/>
      <c r="E118" s="485"/>
      <c r="F118" s="485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86" t="str">
        <f>+VLOOKUP(LEFT($A119,LEN(A119)-1)*1,Master!$D$27:$G$225,4,FALSE)</f>
        <v>Takse</v>
      </c>
      <c r="C119" s="487"/>
      <c r="D119" s="487"/>
      <c r="E119" s="487"/>
      <c r="F119" s="487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86" t="str">
        <f>+VLOOKUP(LEFT($A120,LEN(A120)-1)*1,Master!$D$27:$G$225,4,FALSE)</f>
        <v>Naknade</v>
      </c>
      <c r="C120" s="487"/>
      <c r="D120" s="487"/>
      <c r="E120" s="487"/>
      <c r="F120" s="487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86" t="str">
        <f>+VLOOKUP(LEFT($A121,LEN(A121)-1)*1,Master!$D$27:$G$225,4,FALSE)</f>
        <v>Ostali prihodi</v>
      </c>
      <c r="C121" s="487"/>
      <c r="D121" s="487"/>
      <c r="E121" s="487"/>
      <c r="F121" s="487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86" t="str">
        <f>+VLOOKUP(LEFT($A122,LEN(A122)-1)*1,Master!$D$27:$G$225,4,FALSE)</f>
        <v>Primici od otplate kredita i sredstva prenesena iz prethodne godine</v>
      </c>
      <c r="C122" s="487"/>
      <c r="D122" s="487"/>
      <c r="E122" s="487"/>
      <c r="F122" s="487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88" t="str">
        <f>+VLOOKUP(LEFT($A123,LEN(A123)-1)*1,Master!$D$27:$G$225,4,FALSE)</f>
        <v>Donacije i transferi</v>
      </c>
      <c r="C123" s="489"/>
      <c r="D123" s="489"/>
      <c r="E123" s="489"/>
      <c r="F123" s="489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74" t="str">
        <f>+VLOOKUP(LEFT($A124,LEN(A124)-1)*1,Master!$D$27:$G$225,4,FALSE)</f>
        <v>Budžetski izdaci</v>
      </c>
      <c r="C124" s="475"/>
      <c r="D124" s="475"/>
      <c r="E124" s="475"/>
      <c r="F124" s="475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90" t="str">
        <f>+VLOOKUP(LEFT($A125,LEN(A125)-1)*1,Master!$D$27:$G$225,4,FALSE)</f>
        <v>Tekuća budžetska potrošnja</v>
      </c>
      <c r="C125" s="491"/>
      <c r="D125" s="491"/>
      <c r="E125" s="491"/>
      <c r="F125" s="491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92" t="str">
        <f>+VLOOKUP(LEFT($A126,LEN(A126)-1)*1,Master!$D$27:$G$225,4,FALSE)</f>
        <v>Tekući izdaci</v>
      </c>
      <c r="C126" s="493"/>
      <c r="D126" s="493"/>
      <c r="E126" s="493"/>
      <c r="F126" s="493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84" t="str">
        <f>+VLOOKUP(LEFT($A127,LEN(A127)-1)*1,Master!$D$27:$G$225,4,FALSE)</f>
        <v>Bruto zarade i doprinosi na teret poslodavca</v>
      </c>
      <c r="C127" s="485"/>
      <c r="D127" s="485"/>
      <c r="E127" s="485"/>
      <c r="F127" s="485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84" t="str">
        <f>+VLOOKUP(LEFT($A128,LEN(A128)-1)*1,Master!$D$27:$G$225,4,FALSE)</f>
        <v>Ostala lična primanja</v>
      </c>
      <c r="C128" s="485"/>
      <c r="D128" s="485"/>
      <c r="E128" s="485"/>
      <c r="F128" s="485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84" t="str">
        <f>+VLOOKUP(LEFT($A129,LEN(A129)-1)*1,Master!$D$27:$G$225,4,FALSE)</f>
        <v>Rashodi za materijal</v>
      </c>
      <c r="C129" s="485"/>
      <c r="D129" s="485"/>
      <c r="E129" s="485"/>
      <c r="F129" s="485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84" t="str">
        <f>+VLOOKUP(LEFT($A130,LEN(A130)-1)*1,Master!$D$27:$G$225,4,FALSE)</f>
        <v>Rashodi za usluge</v>
      </c>
      <c r="C130" s="485"/>
      <c r="D130" s="485"/>
      <c r="E130" s="485"/>
      <c r="F130" s="485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84" t="str">
        <f>+VLOOKUP(LEFT($A131,LEN(A131)-1)*1,Master!$D$27:$G$225,4,FALSE)</f>
        <v>Rashodi za tekuće održavanje</v>
      </c>
      <c r="C131" s="485"/>
      <c r="D131" s="485"/>
      <c r="E131" s="485"/>
      <c r="F131" s="485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84" t="str">
        <f>+VLOOKUP(LEFT($A132,LEN(A132)-1)*1,Master!$D$27:$G$225,4,FALSE)</f>
        <v>Kamate</v>
      </c>
      <c r="C132" s="485"/>
      <c r="D132" s="485"/>
      <c r="E132" s="485"/>
      <c r="F132" s="485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84" t="str">
        <f>+VLOOKUP(LEFT($A133,LEN(A133)-1)*1,Master!$D$27:$G$225,4,FALSE)</f>
        <v>Renta</v>
      </c>
      <c r="C133" s="485"/>
      <c r="D133" s="485"/>
      <c r="E133" s="485"/>
      <c r="F133" s="485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84" t="str">
        <f>+VLOOKUP(LEFT($A134,LEN(A134)-1)*1,Master!$D$27:$G$225,4,FALSE)</f>
        <v>Subvencije</v>
      </c>
      <c r="C134" s="485"/>
      <c r="D134" s="485"/>
      <c r="E134" s="485"/>
      <c r="F134" s="485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84" t="str">
        <f>+VLOOKUP(LEFT($A135,LEN(A135)-1)*1,Master!$D$27:$G$225,4,FALSE)</f>
        <v>Ostali izdaci</v>
      </c>
      <c r="C135" s="485"/>
      <c r="D135" s="485"/>
      <c r="E135" s="485"/>
      <c r="F135" s="485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84" t="str">
        <f>+VLOOKUP(LEFT($A136,LEN(A136)-1)*1,Master!$D$27:$G$225,4,FALSE)</f>
        <v>Kapitalni izdaci u tekućem budžetu</v>
      </c>
      <c r="C136" s="485"/>
      <c r="D136" s="485"/>
      <c r="E136" s="485"/>
      <c r="F136" s="485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80" t="str">
        <f>+VLOOKUP(LEFT($A137,LEN(A137)-1)*1,Master!$D$27:$G$225,4,FALSE)</f>
        <v>Transferi za socijalnu zaštitu</v>
      </c>
      <c r="C137" s="481"/>
      <c r="D137" s="481"/>
      <c r="E137" s="481"/>
      <c r="F137" s="481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84" t="str">
        <f>+VLOOKUP(LEFT($A138,LEN(A138)-1)*1,Master!$D$27:$G$225,4,FALSE)</f>
        <v>Prava iz oblasti socijalne zaštite</v>
      </c>
      <c r="C138" s="485"/>
      <c r="D138" s="485"/>
      <c r="E138" s="485"/>
      <c r="F138" s="485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84" t="str">
        <f>+VLOOKUP(LEFT($A139,LEN(A139)-1)*1,Master!$D$27:$G$225,4,FALSE)</f>
        <v>Sredstva za tehnološke viškove</v>
      </c>
      <c r="C139" s="485"/>
      <c r="D139" s="485"/>
      <c r="E139" s="485"/>
      <c r="F139" s="485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84" t="str">
        <f>+VLOOKUP(LEFT($A140,LEN(A140)-1)*1,Master!$D$27:$G$225,4,FALSE)</f>
        <v>Prava iz oblasti penzijskog i invalidskog osiguranja</v>
      </c>
      <c r="C140" s="485"/>
      <c r="D140" s="485"/>
      <c r="E140" s="485"/>
      <c r="F140" s="485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84" t="str">
        <f>+VLOOKUP(LEFT($A141,LEN(A141)-1)*1,Master!$D$27:$G$225,4,FALSE)</f>
        <v>Ostala prava iz oblasti zdravstvene zaštite</v>
      </c>
      <c r="C141" s="485"/>
      <c r="D141" s="485"/>
      <c r="E141" s="485"/>
      <c r="F141" s="485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84" t="str">
        <f>+VLOOKUP(LEFT($A142,LEN(A142)-1)*1,Master!$D$27:$G$225,4,FALSE)</f>
        <v>Ostala prava iz zdravstvenog osiguranja</v>
      </c>
      <c r="C142" s="485"/>
      <c r="D142" s="485"/>
      <c r="E142" s="485"/>
      <c r="F142" s="485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82" t="str">
        <f>+VLOOKUP(LEFT($A143,LEN(A143)-1)*1,Master!$D$27:$G$225,4,FALSE)</f>
        <v xml:space="preserve">Transferi institucijama, pojedincima, nevladinom i javnom sektoru </v>
      </c>
      <c r="C143" s="483"/>
      <c r="D143" s="483"/>
      <c r="E143" s="483"/>
      <c r="F143" s="483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82" t="str">
        <f>+VLOOKUP(LEFT($A144,LEN(A144)-1)*1,Master!$D$27:$G$225,4,FALSE)</f>
        <v>Kapitalni budžet</v>
      </c>
      <c r="C144" s="483"/>
      <c r="D144" s="483"/>
      <c r="E144" s="483"/>
      <c r="F144" s="483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52" t="str">
        <f>+VLOOKUP(LEFT($A145,LEN(A145)-1)*1,Master!$D$27:$G$225,4,FALSE)</f>
        <v>Pozajmice i krediti</v>
      </c>
      <c r="C145" s="453"/>
      <c r="D145" s="453"/>
      <c r="E145" s="453"/>
      <c r="F145" s="453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52" t="str">
        <f>+VLOOKUP(LEFT($A146,LEN(A146)-1)*1,Master!$D$27:$G$225,4,FALSE)</f>
        <v>Rezerve</v>
      </c>
      <c r="C146" s="453"/>
      <c r="D146" s="453"/>
      <c r="E146" s="453"/>
      <c r="F146" s="453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70" t="str">
        <f>+VLOOKUP(LEFT($A147,LEN(A147)-1)*1,Master!$D$27:$G$225,4,FALSE)</f>
        <v>Otplata garancija</v>
      </c>
      <c r="C147" s="471"/>
      <c r="D147" s="471"/>
      <c r="E147" s="471"/>
      <c r="F147" s="471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76" t="str">
        <f>+VLOOKUP(LEFT($A148,LEN(A148)-1)*1,Master!$D$27:$G$225,4,FALSE)</f>
        <v>Suficit / deficit</v>
      </c>
      <c r="C148" s="477"/>
      <c r="D148" s="477"/>
      <c r="E148" s="477"/>
      <c r="F148" s="477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78" t="str">
        <f>+VLOOKUP(LEFT($A149,LEN(A149)-1)*1,Master!$D$27:$G$225,4,FALSE)</f>
        <v>Primarni bilans</v>
      </c>
      <c r="C149" s="479"/>
      <c r="D149" s="479"/>
      <c r="E149" s="479"/>
      <c r="F149" s="479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80" t="str">
        <f>+VLOOKUP(LEFT($A150,LEN(A150)-1)*1,Master!$D$27:$G$225,4,FALSE)</f>
        <v>Otplata dugova</v>
      </c>
      <c r="C150" s="481"/>
      <c r="D150" s="481"/>
      <c r="E150" s="481"/>
      <c r="F150" s="481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68" t="str">
        <f>+VLOOKUP(LEFT($A151,LEN(A151)-1)*1,Master!$D$27:$G$225,4,FALSE)</f>
        <v>Otplata hartija od vrijednosti i kredita rezidentima</v>
      </c>
      <c r="C151" s="469"/>
      <c r="D151" s="469"/>
      <c r="E151" s="469"/>
      <c r="F151" s="469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52" t="str">
        <f>+VLOOKUP(LEFT($A152,LEN(A152)-1)*1,Master!$D$27:$G$225,4,FALSE)</f>
        <v>Otplata hartija od vrijednosti i kredita nerezidentima</v>
      </c>
      <c r="C152" s="453"/>
      <c r="D152" s="453"/>
      <c r="E152" s="453"/>
      <c r="F152" s="453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70" t="str">
        <f>+VLOOKUP(LEFT($A153,LEN(A153)-1)*1,Master!$D$27:$G$225,4,FALSE)</f>
        <v>Otplata obaveza iz prethodnih godina</v>
      </c>
      <c r="C153" s="471"/>
      <c r="D153" s="471"/>
      <c r="E153" s="471"/>
      <c r="F153" s="471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72" t="str">
        <f>+VLOOKUP(LEFT($A154,LEN(A154)-1)*1,Master!$D$27:$G$225,4,FALSE)</f>
        <v>Nedostajuća sredstva</v>
      </c>
      <c r="C154" s="473"/>
      <c r="D154" s="473"/>
      <c r="E154" s="473"/>
      <c r="F154" s="473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74" t="str">
        <f>+VLOOKUP(LEFT($A155,LEN(A155)-1)*1,Master!$D$27:$G$225,4,FALSE)</f>
        <v>Finansiranje</v>
      </c>
      <c r="C155" s="475"/>
      <c r="D155" s="475"/>
      <c r="E155" s="475"/>
      <c r="F155" s="475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68" t="str">
        <f>+VLOOKUP(LEFT($A156,LEN(A156)-1)*1,Master!$D$27:$G$225,4,FALSE)</f>
        <v>Pozajmice i krediti od domaćih izvora</v>
      </c>
      <c r="C156" s="469"/>
      <c r="D156" s="469"/>
      <c r="E156" s="469"/>
      <c r="F156" s="469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52" t="str">
        <f>+VLOOKUP(LEFT($A157,LEN(A157)-1)*1,Master!$D$27:$G$225,4,FALSE)</f>
        <v>Pozajmice i krediti od inostranih izvora</v>
      </c>
      <c r="C157" s="453"/>
      <c r="D157" s="453"/>
      <c r="E157" s="453"/>
      <c r="F157" s="453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52" t="str">
        <f>+VLOOKUP(LEFT($A158,LEN(A158)-1)*1,Master!$D$27:$G$225,4,FALSE)</f>
        <v>Primici od prodaje imovine</v>
      </c>
      <c r="C158" s="453"/>
      <c r="D158" s="453"/>
      <c r="E158" s="453"/>
      <c r="F158" s="453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+VLOOKUP(LEFT($A159,LEN(A159)-1)*1,Master!$D$27:$G$225,4,FALSE)</f>
        <v>Povećanje / smanjenje depozita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F188" activePane="bottomRight" state="frozen"/>
      <selection pane="topRight" activeCell="F1" sqref="F1"/>
      <selection pane="bottomLeft" activeCell="A8" sqref="A8"/>
      <selection pane="bottomRight" activeCell="FF10" sqref="FF10:FJ193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bestFit="1" customWidth="1"/>
    <col min="163" max="163" width="12" style="41" bestFit="1" customWidth="1"/>
    <col min="164" max="164" width="17.28515625" style="41" customWidth="1"/>
    <col min="165" max="165" width="13.42578125" style="41" customWidth="1"/>
    <col min="166" max="166" width="17.28515625" style="41" bestFit="1" customWidth="1"/>
    <col min="167" max="173" width="12.7109375" style="41" bestFit="1" customWidth="1"/>
    <col min="174" max="174" width="12" style="41" customWidth="1"/>
    <col min="175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63" t="s">
        <v>564</v>
      </c>
      <c r="F6" s="560">
        <v>2006</v>
      </c>
      <c r="G6" s="561"/>
      <c r="H6" s="561"/>
      <c r="I6" s="561"/>
      <c r="J6" s="561"/>
      <c r="K6" s="561"/>
      <c r="L6" s="561"/>
      <c r="M6" s="561"/>
      <c r="N6" s="561"/>
      <c r="O6" s="561"/>
      <c r="P6" s="561"/>
      <c r="Q6" s="562"/>
      <c r="R6" s="560">
        <v>2007</v>
      </c>
      <c r="S6" s="561"/>
      <c r="T6" s="561"/>
      <c r="U6" s="561"/>
      <c r="V6" s="561"/>
      <c r="W6" s="561"/>
      <c r="X6" s="561"/>
      <c r="Y6" s="561"/>
      <c r="Z6" s="561"/>
      <c r="AA6" s="561"/>
      <c r="AB6" s="561"/>
      <c r="AC6" s="562"/>
      <c r="AD6" s="560">
        <v>2008</v>
      </c>
      <c r="AE6" s="561"/>
      <c r="AF6" s="561"/>
      <c r="AG6" s="561"/>
      <c r="AH6" s="561"/>
      <c r="AI6" s="561"/>
      <c r="AJ6" s="561"/>
      <c r="AK6" s="561"/>
      <c r="AL6" s="561"/>
      <c r="AM6" s="561"/>
      <c r="AN6" s="561"/>
      <c r="AO6" s="562"/>
      <c r="AP6" s="560">
        <v>2009</v>
      </c>
      <c r="AQ6" s="561"/>
      <c r="AR6" s="561"/>
      <c r="AS6" s="561"/>
      <c r="AT6" s="561"/>
      <c r="AU6" s="561"/>
      <c r="AV6" s="561"/>
      <c r="AW6" s="561"/>
      <c r="AX6" s="561"/>
      <c r="AY6" s="561"/>
      <c r="AZ6" s="561"/>
      <c r="BA6" s="562"/>
      <c r="BB6" s="560">
        <v>2010</v>
      </c>
      <c r="BC6" s="561"/>
      <c r="BD6" s="561"/>
      <c r="BE6" s="561"/>
      <c r="BF6" s="561"/>
      <c r="BG6" s="561"/>
      <c r="BH6" s="561"/>
      <c r="BI6" s="561"/>
      <c r="BJ6" s="561"/>
      <c r="BK6" s="561"/>
      <c r="BL6" s="561"/>
      <c r="BM6" s="562"/>
      <c r="BN6" s="560">
        <v>2011</v>
      </c>
      <c r="BO6" s="561"/>
      <c r="BP6" s="561"/>
      <c r="BQ6" s="561"/>
      <c r="BR6" s="561"/>
      <c r="BS6" s="561"/>
      <c r="BT6" s="561"/>
      <c r="BU6" s="561"/>
      <c r="BV6" s="561"/>
      <c r="BW6" s="561"/>
      <c r="BX6" s="561"/>
      <c r="BY6" s="562"/>
      <c r="BZ6" s="561">
        <v>2012</v>
      </c>
      <c r="CA6" s="561"/>
      <c r="CB6" s="561"/>
      <c r="CC6" s="561"/>
      <c r="CD6" s="561"/>
      <c r="CE6" s="561"/>
      <c r="CF6" s="561"/>
      <c r="CG6" s="561"/>
      <c r="CH6" s="561"/>
      <c r="CI6" s="561"/>
      <c r="CJ6" s="561"/>
      <c r="CK6" s="561"/>
      <c r="CL6" s="560">
        <v>2013</v>
      </c>
      <c r="CM6" s="561"/>
      <c r="CN6" s="561"/>
      <c r="CO6" s="561"/>
      <c r="CP6" s="561"/>
      <c r="CQ6" s="561"/>
      <c r="CR6" s="561"/>
      <c r="CS6" s="561"/>
      <c r="CT6" s="561"/>
      <c r="CU6" s="561"/>
      <c r="CV6" s="561"/>
      <c r="CW6" s="562"/>
      <c r="CX6" s="560">
        <v>2014</v>
      </c>
      <c r="CY6" s="561"/>
      <c r="CZ6" s="561"/>
      <c r="DA6" s="561"/>
      <c r="DB6" s="561"/>
      <c r="DC6" s="561"/>
      <c r="DD6" s="561"/>
      <c r="DE6" s="561"/>
      <c r="DF6" s="561"/>
      <c r="DG6" s="561"/>
      <c r="DH6" s="561"/>
      <c r="DI6" s="562"/>
      <c r="DJ6" s="560">
        <v>2015</v>
      </c>
      <c r="DK6" s="561"/>
      <c r="DL6" s="561"/>
      <c r="DM6" s="561"/>
      <c r="DN6" s="561"/>
      <c r="DO6" s="561"/>
      <c r="DP6" s="561"/>
      <c r="DQ6" s="561"/>
      <c r="DR6" s="561"/>
      <c r="DS6" s="561"/>
      <c r="DT6" s="561"/>
      <c r="DU6" s="562"/>
    </row>
    <row r="7" spans="1:321">
      <c r="E7" s="563"/>
      <c r="F7" s="75" t="s">
        <v>429</v>
      </c>
      <c r="G7" s="76" t="s">
        <v>430</v>
      </c>
      <c r="H7" s="76" t="s">
        <v>431</v>
      </c>
      <c r="I7" s="76" t="s">
        <v>432</v>
      </c>
      <c r="J7" s="76" t="s">
        <v>433</v>
      </c>
      <c r="K7" s="76" t="s">
        <v>434</v>
      </c>
      <c r="L7" s="76" t="s">
        <v>435</v>
      </c>
      <c r="M7" s="76" t="s">
        <v>436</v>
      </c>
      <c r="N7" s="76" t="s">
        <v>437</v>
      </c>
      <c r="O7" s="76" t="s">
        <v>438</v>
      </c>
      <c r="P7" s="76" t="s">
        <v>439</v>
      </c>
      <c r="Q7" s="77" t="s">
        <v>440</v>
      </c>
      <c r="R7" s="75" t="s">
        <v>441</v>
      </c>
      <c r="S7" s="76" t="s">
        <v>442</v>
      </c>
      <c r="T7" s="76" t="s">
        <v>443</v>
      </c>
      <c r="U7" s="76" t="s">
        <v>444</v>
      </c>
      <c r="V7" s="76" t="s">
        <v>445</v>
      </c>
      <c r="W7" s="76" t="s">
        <v>446</v>
      </c>
      <c r="X7" s="76" t="s">
        <v>447</v>
      </c>
      <c r="Y7" s="76" t="s">
        <v>448</v>
      </c>
      <c r="Z7" s="76" t="s">
        <v>449</v>
      </c>
      <c r="AA7" s="76" t="s">
        <v>450</v>
      </c>
      <c r="AB7" s="76" t="s">
        <v>451</v>
      </c>
      <c r="AC7" s="77" t="s">
        <v>452</v>
      </c>
      <c r="AD7" s="75" t="s">
        <v>454</v>
      </c>
      <c r="AE7" s="76" t="s">
        <v>455</v>
      </c>
      <c r="AF7" s="76" t="s">
        <v>456</v>
      </c>
      <c r="AG7" s="76" t="s">
        <v>457</v>
      </c>
      <c r="AH7" s="76" t="s">
        <v>458</v>
      </c>
      <c r="AI7" s="76" t="s">
        <v>459</v>
      </c>
      <c r="AJ7" s="76" t="s">
        <v>460</v>
      </c>
      <c r="AK7" s="76" t="s">
        <v>461</v>
      </c>
      <c r="AL7" s="76" t="s">
        <v>462</v>
      </c>
      <c r="AM7" s="76" t="s">
        <v>463</v>
      </c>
      <c r="AN7" s="76" t="s">
        <v>464</v>
      </c>
      <c r="AO7" s="77" t="s">
        <v>453</v>
      </c>
      <c r="AP7" s="75" t="s">
        <v>465</v>
      </c>
      <c r="AQ7" s="76" t="s">
        <v>466</v>
      </c>
      <c r="AR7" s="76" t="s">
        <v>467</v>
      </c>
      <c r="AS7" s="76" t="s">
        <v>468</v>
      </c>
      <c r="AT7" s="76" t="s">
        <v>469</v>
      </c>
      <c r="AU7" s="76" t="s">
        <v>470</v>
      </c>
      <c r="AV7" s="76" t="s">
        <v>471</v>
      </c>
      <c r="AW7" s="76" t="s">
        <v>472</v>
      </c>
      <c r="AX7" s="76" t="s">
        <v>473</v>
      </c>
      <c r="AY7" s="76" t="s">
        <v>474</v>
      </c>
      <c r="AZ7" s="76" t="s">
        <v>475</v>
      </c>
      <c r="BA7" s="77" t="s">
        <v>476</v>
      </c>
      <c r="BB7" s="75" t="s">
        <v>477</v>
      </c>
      <c r="BC7" s="76" t="s">
        <v>478</v>
      </c>
      <c r="BD7" s="76" t="s">
        <v>479</v>
      </c>
      <c r="BE7" s="76" t="s">
        <v>480</v>
      </c>
      <c r="BF7" s="76" t="s">
        <v>481</v>
      </c>
      <c r="BG7" s="76" t="s">
        <v>482</v>
      </c>
      <c r="BH7" s="76" t="s">
        <v>483</v>
      </c>
      <c r="BI7" s="76" t="s">
        <v>484</v>
      </c>
      <c r="BJ7" s="76" t="s">
        <v>485</v>
      </c>
      <c r="BK7" s="76" t="s">
        <v>486</v>
      </c>
      <c r="BL7" s="76" t="s">
        <v>487</v>
      </c>
      <c r="BM7" s="77" t="s">
        <v>488</v>
      </c>
      <c r="BN7" s="75" t="s">
        <v>489</v>
      </c>
      <c r="BO7" s="76" t="s">
        <v>490</v>
      </c>
      <c r="BP7" s="76" t="s">
        <v>491</v>
      </c>
      <c r="BQ7" s="76" t="s">
        <v>492</v>
      </c>
      <c r="BR7" s="76" t="s">
        <v>493</v>
      </c>
      <c r="BS7" s="76" t="s">
        <v>494</v>
      </c>
      <c r="BT7" s="76" t="s">
        <v>495</v>
      </c>
      <c r="BU7" s="76" t="s">
        <v>496</v>
      </c>
      <c r="BV7" s="76" t="s">
        <v>497</v>
      </c>
      <c r="BW7" s="76" t="s">
        <v>498</v>
      </c>
      <c r="BX7" s="76" t="s">
        <v>499</v>
      </c>
      <c r="BY7" s="77" t="s">
        <v>500</v>
      </c>
      <c r="BZ7" s="76" t="s">
        <v>501</v>
      </c>
      <c r="CA7" s="76" t="s">
        <v>502</v>
      </c>
      <c r="CB7" s="76" t="s">
        <v>503</v>
      </c>
      <c r="CC7" s="76" t="s">
        <v>504</v>
      </c>
      <c r="CD7" s="76" t="s">
        <v>505</v>
      </c>
      <c r="CE7" s="76" t="s">
        <v>506</v>
      </c>
      <c r="CF7" s="76" t="s">
        <v>507</v>
      </c>
      <c r="CG7" s="76" t="s">
        <v>508</v>
      </c>
      <c r="CH7" s="76" t="s">
        <v>509</v>
      </c>
      <c r="CI7" s="76" t="s">
        <v>510</v>
      </c>
      <c r="CJ7" s="76" t="s">
        <v>511</v>
      </c>
      <c r="CK7" s="76" t="s">
        <v>512</v>
      </c>
      <c r="CL7" s="75" t="s">
        <v>513</v>
      </c>
      <c r="CM7" s="76" t="s">
        <v>514</v>
      </c>
      <c r="CN7" s="76" t="s">
        <v>515</v>
      </c>
      <c r="CO7" s="76" t="s">
        <v>516</v>
      </c>
      <c r="CP7" s="76" t="s">
        <v>517</v>
      </c>
      <c r="CQ7" s="76" t="s">
        <v>518</v>
      </c>
      <c r="CR7" s="76" t="s">
        <v>519</v>
      </c>
      <c r="CS7" s="76" t="s">
        <v>520</v>
      </c>
      <c r="CT7" s="76" t="s">
        <v>521</v>
      </c>
      <c r="CU7" s="76" t="s">
        <v>522</v>
      </c>
      <c r="CV7" s="76" t="s">
        <v>523</v>
      </c>
      <c r="CW7" s="77" t="s">
        <v>524</v>
      </c>
      <c r="CX7" s="75" t="s">
        <v>525</v>
      </c>
      <c r="CY7" s="76" t="s">
        <v>526</v>
      </c>
      <c r="CZ7" s="76" t="s">
        <v>527</v>
      </c>
      <c r="DA7" s="76" t="s">
        <v>528</v>
      </c>
      <c r="DB7" s="76" t="s">
        <v>529</v>
      </c>
      <c r="DC7" s="76" t="s">
        <v>530</v>
      </c>
      <c r="DD7" s="76" t="s">
        <v>531</v>
      </c>
      <c r="DE7" s="76" t="s">
        <v>532</v>
      </c>
      <c r="DF7" s="76" t="s">
        <v>533</v>
      </c>
      <c r="DG7" s="76" t="s">
        <v>534</v>
      </c>
      <c r="DH7" s="76" t="s">
        <v>535</v>
      </c>
      <c r="DI7" s="77" t="s">
        <v>536</v>
      </c>
      <c r="DJ7" s="75" t="s">
        <v>537</v>
      </c>
      <c r="DK7" s="76" t="s">
        <v>538</v>
      </c>
      <c r="DL7" s="76" t="s">
        <v>539</v>
      </c>
      <c r="DM7" s="76" t="s">
        <v>540</v>
      </c>
      <c r="DN7" s="76" t="s">
        <v>541</v>
      </c>
      <c r="DO7" s="76" t="s">
        <v>542</v>
      </c>
      <c r="DP7" s="76" t="s">
        <v>543</v>
      </c>
      <c r="DQ7" s="76" t="s">
        <v>544</v>
      </c>
      <c r="DR7" s="76" t="s">
        <v>545</v>
      </c>
      <c r="DS7" s="76" t="s">
        <v>546</v>
      </c>
      <c r="DT7" s="76" t="s">
        <v>547</v>
      </c>
      <c r="DU7" s="77" t="s">
        <v>548</v>
      </c>
      <c r="DV7" s="42" t="s">
        <v>703</v>
      </c>
      <c r="DW7" s="42" t="s">
        <v>704</v>
      </c>
      <c r="DX7" s="42" t="s">
        <v>705</v>
      </c>
      <c r="DY7" s="42" t="s">
        <v>706</v>
      </c>
      <c r="DZ7" s="42" t="s">
        <v>707</v>
      </c>
      <c r="EA7" s="42" t="s">
        <v>708</v>
      </c>
      <c r="EB7" s="42" t="s">
        <v>709</v>
      </c>
      <c r="EC7" s="42" t="s">
        <v>710</v>
      </c>
      <c r="ED7" s="42" t="s">
        <v>711</v>
      </c>
      <c r="EE7" s="42" t="s">
        <v>712</v>
      </c>
      <c r="EF7" s="42" t="s">
        <v>713</v>
      </c>
      <c r="EG7" s="42" t="s">
        <v>714</v>
      </c>
      <c r="EH7" s="42" t="s">
        <v>737</v>
      </c>
      <c r="EI7" s="42" t="s">
        <v>738</v>
      </c>
      <c r="EJ7" s="42" t="s">
        <v>739</v>
      </c>
      <c r="EK7" s="42" t="s">
        <v>740</v>
      </c>
      <c r="EL7" s="42" t="s">
        <v>741</v>
      </c>
      <c r="EM7" s="42" t="s">
        <v>742</v>
      </c>
      <c r="EN7" s="42" t="s">
        <v>743</v>
      </c>
      <c r="EO7" s="42" t="s">
        <v>744</v>
      </c>
      <c r="EP7" s="42" t="s">
        <v>745</v>
      </c>
      <c r="EQ7" s="42" t="s">
        <v>746</v>
      </c>
      <c r="ER7" s="42" t="s">
        <v>747</v>
      </c>
      <c r="ES7" s="42" t="s">
        <v>748</v>
      </c>
      <c r="ET7" s="393" t="s">
        <v>755</v>
      </c>
      <c r="EU7" s="393" t="s">
        <v>756</v>
      </c>
      <c r="EV7" s="393" t="s">
        <v>757</v>
      </c>
      <c r="EW7" s="393" t="s">
        <v>758</v>
      </c>
      <c r="EX7" s="393" t="s">
        <v>759</v>
      </c>
      <c r="EY7" s="393" t="s">
        <v>760</v>
      </c>
      <c r="EZ7" s="393" t="s">
        <v>761</v>
      </c>
      <c r="FA7" s="393" t="s">
        <v>762</v>
      </c>
      <c r="FB7" s="393" t="s">
        <v>763</v>
      </c>
      <c r="FC7" s="393" t="s">
        <v>764</v>
      </c>
      <c r="FD7" s="393" t="s">
        <v>765</v>
      </c>
      <c r="FE7" s="393" t="s">
        <v>766</v>
      </c>
      <c r="FF7" s="393" t="s">
        <v>779</v>
      </c>
      <c r="FG7" s="393" t="s">
        <v>780</v>
      </c>
      <c r="FH7" s="393" t="s">
        <v>781</v>
      </c>
      <c r="FI7" s="393" t="s">
        <v>782</v>
      </c>
      <c r="FJ7" s="393" t="s">
        <v>783</v>
      </c>
      <c r="FK7" s="393" t="s">
        <v>784</v>
      </c>
      <c r="FL7" s="393" t="s">
        <v>785</v>
      </c>
      <c r="FM7" s="393" t="s">
        <v>786</v>
      </c>
      <c r="FN7" s="393" t="s">
        <v>787</v>
      </c>
      <c r="FO7" s="393" t="s">
        <v>788</v>
      </c>
      <c r="FP7" s="393" t="s">
        <v>789</v>
      </c>
      <c r="FQ7" s="393" t="s">
        <v>790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24">
        <v>79855347.849999994</v>
      </c>
      <c r="EU9" s="424">
        <v>106190042</v>
      </c>
      <c r="EV9" s="424">
        <v>137417391.37</v>
      </c>
      <c r="EW9" s="424">
        <v>147833434.00999999</v>
      </c>
      <c r="EX9" s="424">
        <v>135934065.38</v>
      </c>
      <c r="EY9" s="424"/>
      <c r="EZ9" s="424"/>
      <c r="FA9" s="424"/>
      <c r="FB9" s="424"/>
      <c r="FC9" s="424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25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42">
        <v>60295851.509999998</v>
      </c>
      <c r="EU10" s="442">
        <v>64797597.329999998</v>
      </c>
      <c r="EV10" s="442">
        <v>89261850.609999999</v>
      </c>
      <c r="EW10" s="442">
        <v>97799793.079999998</v>
      </c>
      <c r="EX10" s="442">
        <v>90553351.069999993</v>
      </c>
      <c r="EY10" s="442">
        <v>87503254.430000007</v>
      </c>
      <c r="EZ10" s="442">
        <v>105015545.47</v>
      </c>
      <c r="FA10" s="442">
        <v>107951400.73999999</v>
      </c>
      <c r="FB10" s="442">
        <v>102839740.52</v>
      </c>
      <c r="FC10" s="442">
        <v>89707200.510000005</v>
      </c>
      <c r="FD10" s="378">
        <v>81788199.120000005</v>
      </c>
      <c r="FE10" s="378">
        <v>91433416.909999996</v>
      </c>
      <c r="FF10" s="378">
        <v>72429730.420000002</v>
      </c>
      <c r="FG10" s="378">
        <v>68470908.439999998</v>
      </c>
      <c r="FH10" s="449">
        <v>98709545.510000005</v>
      </c>
      <c r="FI10" s="449">
        <v>106791818.52</v>
      </c>
      <c r="FJ10" s="378">
        <v>94372185.030000001</v>
      </c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376">
        <v>3496624.83</v>
      </c>
      <c r="EU11" s="376">
        <v>8897390.9499999993</v>
      </c>
      <c r="EV11" s="376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>
        <v>9598204.1500000004</v>
      </c>
      <c r="FC11" s="376">
        <v>10275884.26</v>
      </c>
      <c r="FD11" s="376">
        <v>10504970.310000001</v>
      </c>
      <c r="FE11" s="376">
        <v>18872459.579999998</v>
      </c>
      <c r="FF11" s="376">
        <v>4240913.8099999996</v>
      </c>
      <c r="FG11" s="376">
        <v>9361661.1500000004</v>
      </c>
      <c r="FH11" s="376">
        <v>9044961.5800000001</v>
      </c>
      <c r="FI11" s="376">
        <v>10767101.800000001</v>
      </c>
      <c r="FJ11" s="376">
        <v>10210712.41</v>
      </c>
      <c r="FK11" s="376"/>
      <c r="FL11" s="376"/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376">
        <v>475602.8</v>
      </c>
      <c r="EU12" s="376">
        <v>1641570.62</v>
      </c>
      <c r="EV12" s="376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>
        <v>7173346.1399999997</v>
      </c>
      <c r="FC12" s="376">
        <v>1043872.54</v>
      </c>
      <c r="FD12" s="376">
        <v>802479.78</v>
      </c>
      <c r="FE12" s="376">
        <v>1812573.03</v>
      </c>
      <c r="FF12" s="376">
        <v>936843.13</v>
      </c>
      <c r="FG12" s="376">
        <v>1962550.32</v>
      </c>
      <c r="FH12" s="376">
        <v>22465664.23</v>
      </c>
      <c r="FI12" s="376">
        <v>20408432.98</v>
      </c>
      <c r="FJ12" s="376">
        <v>4781744.7</v>
      </c>
      <c r="FK12" s="376"/>
      <c r="FL12" s="376"/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376">
        <v>93380.49</v>
      </c>
      <c r="EU13" s="376">
        <v>116565.53</v>
      </c>
      <c r="EV13" s="376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>
        <v>148315.04999999999</v>
      </c>
      <c r="FC13" s="376">
        <v>155540.06</v>
      </c>
      <c r="FD13" s="376">
        <v>193671.67</v>
      </c>
      <c r="FE13" s="376">
        <v>208954.63</v>
      </c>
      <c r="FF13" s="376">
        <v>118243.45</v>
      </c>
      <c r="FG13" s="376">
        <v>169568.16</v>
      </c>
      <c r="FH13" s="376">
        <v>146352.49</v>
      </c>
      <c r="FI13" s="376">
        <v>204359.36</v>
      </c>
      <c r="FJ13" s="376">
        <v>147510.5</v>
      </c>
      <c r="FK13" s="376"/>
      <c r="FL13" s="376"/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376">
        <v>40926868.810000002</v>
      </c>
      <c r="EU14" s="376">
        <v>38270122.18</v>
      </c>
      <c r="EV14" s="376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>
        <v>57402321.350000001</v>
      </c>
      <c r="FC14" s="376">
        <v>56740213.189999998</v>
      </c>
      <c r="FD14" s="376">
        <v>47812481.689999998</v>
      </c>
      <c r="FE14" s="376">
        <v>50892268.439999998</v>
      </c>
      <c r="FF14" s="376">
        <v>49847223.18</v>
      </c>
      <c r="FG14" s="376">
        <v>38958365.399999999</v>
      </c>
      <c r="FH14" s="376">
        <v>50498218.18</v>
      </c>
      <c r="FI14" s="376">
        <v>55142838.460000001</v>
      </c>
      <c r="FJ14" s="376">
        <v>56428341.859999999</v>
      </c>
      <c r="FK14" s="376"/>
      <c r="FL14" s="376"/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376">
        <v>13370061.67</v>
      </c>
      <c r="EU15" s="376">
        <v>13585674.48</v>
      </c>
      <c r="EV15" s="376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>
        <v>25504339.800000001</v>
      </c>
      <c r="FC15" s="376">
        <v>18141856.039999999</v>
      </c>
      <c r="FD15" s="376">
        <v>19778303.699999999</v>
      </c>
      <c r="FE15" s="376">
        <v>16761286.810000001</v>
      </c>
      <c r="FF15" s="376">
        <v>15141217.210000001</v>
      </c>
      <c r="FG15" s="376">
        <v>13186126.23</v>
      </c>
      <c r="FH15" s="376">
        <v>13315087.640000001</v>
      </c>
      <c r="FI15" s="376">
        <v>16826313.73</v>
      </c>
      <c r="FJ15" s="376">
        <v>19442485.359999999</v>
      </c>
      <c r="FK15" s="376"/>
      <c r="FL15" s="376"/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376">
        <v>1218936.71</v>
      </c>
      <c r="EU16" s="376">
        <v>1678360</v>
      </c>
      <c r="EV16" s="376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>
        <v>2205218.35</v>
      </c>
      <c r="FC16" s="376">
        <v>2570061.1800000002</v>
      </c>
      <c r="FD16" s="376">
        <v>1901910.24</v>
      </c>
      <c r="FE16" s="376">
        <v>2050376.81</v>
      </c>
      <c r="FF16" s="376">
        <v>1424968.68</v>
      </c>
      <c r="FG16" s="376">
        <v>1733788.33</v>
      </c>
      <c r="FH16" s="376">
        <v>2462209.73</v>
      </c>
      <c r="FI16" s="376">
        <v>2531899.16</v>
      </c>
      <c r="FJ16" s="376">
        <v>2502520.2799999998</v>
      </c>
      <c r="FK16" s="376"/>
      <c r="FL16" s="376"/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376">
        <v>714376.2</v>
      </c>
      <c r="EU17" s="376">
        <v>607913.56999999995</v>
      </c>
      <c r="EV17" s="376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>
        <v>807995.68</v>
      </c>
      <c r="FC17" s="376">
        <v>779773.24</v>
      </c>
      <c r="FD17" s="376">
        <v>794381.73</v>
      </c>
      <c r="FE17" s="376">
        <v>835497.61</v>
      </c>
      <c r="FF17" s="376">
        <v>720320.96</v>
      </c>
      <c r="FG17" s="376">
        <v>3098848.85</v>
      </c>
      <c r="FH17" s="376">
        <v>777051.66</v>
      </c>
      <c r="FI17" s="376">
        <v>910873.03</v>
      </c>
      <c r="FJ17" s="376">
        <v>858869.92</v>
      </c>
      <c r="FK17" s="376"/>
      <c r="FL17" s="376"/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41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378">
        <v>14572676.99</v>
      </c>
      <c r="EU18" s="378">
        <v>36938118.07</v>
      </c>
      <c r="EV18" s="378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>
        <v>41964422.920000002</v>
      </c>
      <c r="FC18" s="378">
        <v>47821348.07</v>
      </c>
      <c r="FD18" s="378">
        <v>44976968.909999996</v>
      </c>
      <c r="FE18" s="378">
        <v>80310407.909999996</v>
      </c>
      <c r="FF18" s="378">
        <v>16498881.48</v>
      </c>
      <c r="FG18" s="378">
        <v>41912269.380000003</v>
      </c>
      <c r="FH18" s="378">
        <v>41047599.18</v>
      </c>
      <c r="FI18" s="378">
        <v>50290988.939999998</v>
      </c>
      <c r="FJ18" s="378">
        <v>37496285.130000003</v>
      </c>
      <c r="FK18" s="378"/>
      <c r="FL18" s="378"/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376">
        <v>8994145.9900000002</v>
      </c>
      <c r="EU19" s="376">
        <v>22424749.280000001</v>
      </c>
      <c r="EV19" s="376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>
        <v>25382505.710000001</v>
      </c>
      <c r="FC19" s="376">
        <v>29472537.77</v>
      </c>
      <c r="FD19" s="376">
        <v>27715796.140000001</v>
      </c>
      <c r="FE19" s="376">
        <v>48261788.450000003</v>
      </c>
      <c r="FF19" s="376">
        <v>9695765.5800000001</v>
      </c>
      <c r="FG19" s="376">
        <v>24593790.260000002</v>
      </c>
      <c r="FH19" s="376">
        <v>23923752.719999999</v>
      </c>
      <c r="FI19" s="376">
        <v>29650595.870000001</v>
      </c>
      <c r="FJ19" s="376">
        <v>22104934.850000001</v>
      </c>
      <c r="FK19" s="376"/>
      <c r="FL19" s="376"/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376">
        <v>4907250.76</v>
      </c>
      <c r="EU20" s="376">
        <v>12702016.77</v>
      </c>
      <c r="EV20" s="376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>
        <v>14479735.869999999</v>
      </c>
      <c r="FC20" s="376">
        <v>16132677.16</v>
      </c>
      <c r="FD20" s="376">
        <v>15297077.039999999</v>
      </c>
      <c r="FE20" s="376">
        <v>28352941.690000001</v>
      </c>
      <c r="FF20" s="376">
        <v>5963049.2000000002</v>
      </c>
      <c r="FG20" s="376">
        <v>15122476.890000001</v>
      </c>
      <c r="FH20" s="376">
        <v>14777265.789999999</v>
      </c>
      <c r="FI20" s="376">
        <v>17925167.550000001</v>
      </c>
      <c r="FJ20" s="376">
        <v>13458982.5</v>
      </c>
      <c r="FK20" s="376"/>
      <c r="FL20" s="376"/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376">
        <v>365962.97</v>
      </c>
      <c r="EU21" s="376">
        <v>960588.74</v>
      </c>
      <c r="EV21" s="376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>
        <v>1084116.54</v>
      </c>
      <c r="FC21" s="376">
        <v>1217359.6499999999</v>
      </c>
      <c r="FD21" s="376">
        <v>1157240.48</v>
      </c>
      <c r="FE21" s="376">
        <v>2149158.34</v>
      </c>
      <c r="FF21" s="376">
        <v>459881.42</v>
      </c>
      <c r="FG21" s="376">
        <v>1160315.8500000001</v>
      </c>
      <c r="FH21" s="376">
        <v>1135767.8899999999</v>
      </c>
      <c r="FI21" s="376">
        <v>1375720.59</v>
      </c>
      <c r="FJ21" s="376">
        <v>1026106.03</v>
      </c>
      <c r="FK21" s="376"/>
      <c r="FL21" s="376"/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376">
        <v>305317.27</v>
      </c>
      <c r="EU22" s="376">
        <v>850763.28</v>
      </c>
      <c r="EV22" s="376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>
        <v>1018064.8</v>
      </c>
      <c r="FC22" s="376">
        <v>998773.49</v>
      </c>
      <c r="FD22" s="376">
        <v>806855.25</v>
      </c>
      <c r="FE22" s="376">
        <v>1546519.43</v>
      </c>
      <c r="FF22" s="376">
        <v>380185.28</v>
      </c>
      <c r="FG22" s="376">
        <v>1035686.38</v>
      </c>
      <c r="FH22" s="376">
        <v>1210812.78</v>
      </c>
      <c r="FI22" s="376">
        <v>1339504.93</v>
      </c>
      <c r="FJ22" s="376">
        <v>906261.75</v>
      </c>
      <c r="FK22" s="376"/>
      <c r="FL22" s="376"/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51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378">
        <v>785627.24</v>
      </c>
      <c r="EU23" s="378">
        <v>993423.94</v>
      </c>
      <c r="EV23" s="378">
        <v>1089343.29</v>
      </c>
      <c r="EW23" s="378">
        <v>1198538.77</v>
      </c>
      <c r="EX23" s="378">
        <v>1382138.78</v>
      </c>
      <c r="EY23" s="378">
        <v>1616613.69</v>
      </c>
      <c r="EZ23" s="378">
        <v>2005610.72</v>
      </c>
      <c r="FA23" s="378">
        <v>1882210.04</v>
      </c>
      <c r="FB23" s="378">
        <v>1545122.56</v>
      </c>
      <c r="FC23" s="378">
        <v>1510208.2</v>
      </c>
      <c r="FD23" s="378">
        <v>1331866.75</v>
      </c>
      <c r="FE23" s="378">
        <v>1403288.34</v>
      </c>
      <c r="FF23" s="378">
        <v>851162.27</v>
      </c>
      <c r="FG23" s="378">
        <v>1041125.39</v>
      </c>
      <c r="FH23" s="378">
        <v>1066481.8799999999</v>
      </c>
      <c r="FI23" s="378">
        <v>1290371.49</v>
      </c>
      <c r="FJ23" s="378">
        <v>1119638.28</v>
      </c>
      <c r="FK23" s="378"/>
      <c r="FL23" s="378"/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376">
        <v>572123.71</v>
      </c>
      <c r="EU24" s="376">
        <v>691468.91</v>
      </c>
      <c r="EV24" s="376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>
        <v>1077861.3</v>
      </c>
      <c r="FB24" s="376">
        <v>936074.99</v>
      </c>
      <c r="FC24" s="376">
        <v>992644.36</v>
      </c>
      <c r="FD24" s="376">
        <v>888912.28</v>
      </c>
      <c r="FE24" s="376">
        <v>934198.37</v>
      </c>
      <c r="FF24" s="376">
        <v>649124.48</v>
      </c>
      <c r="FG24" s="376">
        <v>818776.7</v>
      </c>
      <c r="FH24" s="376">
        <v>802029.06</v>
      </c>
      <c r="FI24" s="376">
        <v>949723.87</v>
      </c>
      <c r="FJ24" s="376">
        <v>766319.06</v>
      </c>
      <c r="FK24" s="376"/>
      <c r="FL24" s="376"/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376">
        <v>93434.6</v>
      </c>
      <c r="EU25" s="376">
        <v>109385.74</v>
      </c>
      <c r="EV25" s="376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>
        <v>98906.81</v>
      </c>
      <c r="FC25" s="376">
        <v>105125.41</v>
      </c>
      <c r="FD25" s="376">
        <v>116947.51</v>
      </c>
      <c r="FE25" s="376">
        <v>138092.62</v>
      </c>
      <c r="FF25" s="376">
        <v>64695</v>
      </c>
      <c r="FG25" s="376">
        <v>85955.36</v>
      </c>
      <c r="FH25" s="376">
        <v>106907.98</v>
      </c>
      <c r="FI25" s="376">
        <v>128950.69</v>
      </c>
      <c r="FJ25" s="376">
        <v>89857.44</v>
      </c>
      <c r="FK25" s="376"/>
      <c r="FL25" s="376"/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376">
        <v>21633.83</v>
      </c>
      <c r="EU26" s="376">
        <v>24453.21</v>
      </c>
      <c r="EV26" s="376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>
        <v>234762.1</v>
      </c>
      <c r="FC26" s="376">
        <v>119042.18</v>
      </c>
      <c r="FD26" s="376">
        <v>76747.570000000007</v>
      </c>
      <c r="FE26" s="376">
        <v>29512.58</v>
      </c>
      <c r="FF26" s="376">
        <v>24775.52</v>
      </c>
      <c r="FG26" s="376">
        <v>28443.63</v>
      </c>
      <c r="FH26" s="376">
        <v>40268.589999999997</v>
      </c>
      <c r="FI26" s="376">
        <v>55742.67</v>
      </c>
      <c r="FJ26" s="376">
        <v>91165.22</v>
      </c>
      <c r="FK26" s="376"/>
      <c r="FL26" s="376"/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376">
        <v>98435.1</v>
      </c>
      <c r="EU27" s="376">
        <v>168116.08</v>
      </c>
      <c r="EV27" s="376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>
        <v>275378.65999999997</v>
      </c>
      <c r="FC27" s="376">
        <v>293396.25</v>
      </c>
      <c r="FD27" s="376">
        <v>249259.39</v>
      </c>
      <c r="FE27" s="376">
        <v>301484.77</v>
      </c>
      <c r="FF27" s="376">
        <v>112567.27</v>
      </c>
      <c r="FG27" s="376">
        <v>107949.7</v>
      </c>
      <c r="FH27" s="376">
        <v>117276.25</v>
      </c>
      <c r="FI27" s="376">
        <v>155954.26</v>
      </c>
      <c r="FJ27" s="376">
        <v>172296.56</v>
      </c>
      <c r="FK27" s="376"/>
      <c r="FL27" s="376"/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65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378">
        <v>1774503.57</v>
      </c>
      <c r="EU28" s="378">
        <v>1885893.46</v>
      </c>
      <c r="EV28" s="378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>
        <v>1933671.64</v>
      </c>
      <c r="FC28" s="378">
        <v>2347083.83</v>
      </c>
      <c r="FD28" s="378">
        <v>2034357.41</v>
      </c>
      <c r="FE28" s="378">
        <v>2685804.61</v>
      </c>
      <c r="FF28" s="378">
        <v>2315003.25</v>
      </c>
      <c r="FG28" s="378">
        <v>1541397.86</v>
      </c>
      <c r="FH28" s="378">
        <v>2408517.5</v>
      </c>
      <c r="FI28" s="378">
        <v>3310133.38</v>
      </c>
      <c r="FJ28" s="378">
        <v>1792591.2</v>
      </c>
      <c r="FK28" s="378"/>
      <c r="FL28" s="378"/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376">
        <v>29715.1</v>
      </c>
      <c r="EU29" s="376">
        <v>46180.29</v>
      </c>
      <c r="EV29" s="376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>
        <v>81006.02</v>
      </c>
      <c r="FC29" s="376">
        <v>57855.839999999997</v>
      </c>
      <c r="FD29" s="376">
        <v>90637.37</v>
      </c>
      <c r="FE29" s="376">
        <v>149714.78</v>
      </c>
      <c r="FF29" s="376">
        <v>5596.5</v>
      </c>
      <c r="FG29" s="376">
        <v>10696.96</v>
      </c>
      <c r="FH29" s="376">
        <v>76041.279999999999</v>
      </c>
      <c r="FI29" s="376">
        <v>41798.769999999997</v>
      </c>
      <c r="FJ29" s="376">
        <v>88788.45</v>
      </c>
      <c r="FK29" s="376"/>
      <c r="FL29" s="376"/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376">
        <v>120406.14</v>
      </c>
      <c r="EU30" s="376">
        <v>138658.04999999999</v>
      </c>
      <c r="EV30" s="376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>
        <v>265996.12</v>
      </c>
      <c r="FC30" s="376">
        <v>294470.17</v>
      </c>
      <c r="FD30" s="376">
        <v>250272.14</v>
      </c>
      <c r="FE30" s="376">
        <v>908698.35</v>
      </c>
      <c r="FF30" s="376">
        <v>111165.46</v>
      </c>
      <c r="FG30" s="376">
        <v>101009.27</v>
      </c>
      <c r="FH30" s="376">
        <v>694197.59</v>
      </c>
      <c r="FI30" s="376">
        <v>315889.09000000003</v>
      </c>
      <c r="FJ30" s="376">
        <v>290980.86</v>
      </c>
      <c r="FK30" s="376"/>
      <c r="FL30" s="376"/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376">
        <v>1567.64</v>
      </c>
      <c r="EU31" s="376">
        <v>1648.75</v>
      </c>
      <c r="EV31" s="376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>
        <v>2654.64</v>
      </c>
      <c r="FC31" s="376">
        <v>65997.5</v>
      </c>
      <c r="FD31" s="376">
        <v>40835.53</v>
      </c>
      <c r="FE31" s="376">
        <v>52221.62</v>
      </c>
      <c r="FF31" s="376">
        <v>45324.14</v>
      </c>
      <c r="FG31" s="376">
        <v>46657.06</v>
      </c>
      <c r="FH31" s="376">
        <v>40888.620000000003</v>
      </c>
      <c r="FI31" s="376">
        <v>41064.94</v>
      </c>
      <c r="FJ31" s="376">
        <v>48239.28</v>
      </c>
      <c r="FK31" s="376"/>
      <c r="FL31" s="376"/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767</v>
      </c>
      <c r="EN32" s="376" t="s">
        <v>768</v>
      </c>
      <c r="EO32" s="376">
        <v>608693.02</v>
      </c>
      <c r="EP32" s="376" t="s">
        <v>769</v>
      </c>
      <c r="EQ32" s="376">
        <v>179273.43</v>
      </c>
      <c r="ER32" s="376" t="s">
        <v>770</v>
      </c>
      <c r="ES32" s="376"/>
      <c r="ET32" s="376">
        <v>564026.22</v>
      </c>
      <c r="EU32" s="376">
        <v>552007.56999999995</v>
      </c>
      <c r="EV32" s="376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>
        <v>742579.81</v>
      </c>
      <c r="FC32" s="376">
        <v>640790.87</v>
      </c>
      <c r="FD32" s="376">
        <v>707930.07</v>
      </c>
      <c r="FE32" s="376">
        <v>719782.34</v>
      </c>
      <c r="FF32" s="376">
        <v>654304.80000000005</v>
      </c>
      <c r="FG32" s="376">
        <v>660078.18000000005</v>
      </c>
      <c r="FH32" s="376">
        <v>634606.16</v>
      </c>
      <c r="FI32" s="376">
        <v>1775211.97</v>
      </c>
      <c r="FJ32" s="376">
        <v>687337.58</v>
      </c>
      <c r="FK32" s="376"/>
      <c r="FL32" s="376"/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376">
        <v>202641</v>
      </c>
      <c r="EU33" s="376">
        <v>112102.37</v>
      </c>
      <c r="EV33" s="376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>
        <v>254769.26</v>
      </c>
      <c r="FC33" s="376">
        <v>270007.81</v>
      </c>
      <c r="FD33" s="376">
        <v>228729.81</v>
      </c>
      <c r="FE33" s="376">
        <v>229805.59</v>
      </c>
      <c r="FF33" s="376">
        <v>106207.67</v>
      </c>
      <c r="FG33" s="376">
        <v>203595.89</v>
      </c>
      <c r="FH33" s="376">
        <v>241900.04</v>
      </c>
      <c r="FI33" s="376">
        <v>248172.78</v>
      </c>
      <c r="FJ33" s="376">
        <v>300826.94</v>
      </c>
      <c r="FK33" s="376"/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376">
        <v>856147.47</v>
      </c>
      <c r="EU34" s="376">
        <v>1035296.43</v>
      </c>
      <c r="EV34" s="376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>
        <v>586665.79</v>
      </c>
      <c r="FC34" s="376">
        <v>1017961.64</v>
      </c>
      <c r="FD34" s="376">
        <v>715952.49</v>
      </c>
      <c r="FE34" s="376">
        <v>625581.93000000005</v>
      </c>
      <c r="FF34" s="376">
        <v>1392404.68</v>
      </c>
      <c r="FG34" s="376">
        <v>519360.5</v>
      </c>
      <c r="FH34" s="376">
        <v>720883.81</v>
      </c>
      <c r="FI34" s="376">
        <v>887995.83</v>
      </c>
      <c r="FJ34" s="376">
        <v>376418.09</v>
      </c>
      <c r="FK34" s="376"/>
      <c r="FL34" s="376"/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85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378">
        <v>2425520.81</v>
      </c>
      <c r="EU35" s="378">
        <v>1609741.96</v>
      </c>
      <c r="EV35" s="378">
        <v>2046839.31</v>
      </c>
      <c r="EW35" s="378">
        <v>5482431.4299999997</v>
      </c>
      <c r="EX35" s="378">
        <v>2149512.65</v>
      </c>
      <c r="EY35" s="378">
        <v>2742239.31</v>
      </c>
      <c r="EZ35" s="378">
        <v>3903791.18</v>
      </c>
      <c r="FA35" s="378">
        <v>3453341.6</v>
      </c>
      <c r="FB35" s="378">
        <v>37485113.789999999</v>
      </c>
      <c r="FC35" s="378">
        <v>2347445.85</v>
      </c>
      <c r="FD35" s="378">
        <v>3454247.32</v>
      </c>
      <c r="FE35" s="378">
        <v>4014664.14</v>
      </c>
      <c r="FF35" s="378">
        <v>1567288.04</v>
      </c>
      <c r="FG35" s="378">
        <v>2199531.1</v>
      </c>
      <c r="FH35" s="378">
        <v>3194097.81</v>
      </c>
      <c r="FI35" s="378">
        <v>2385711.15</v>
      </c>
      <c r="FJ35" s="378">
        <v>7159438.3899999997</v>
      </c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376">
        <v>757682.7</v>
      </c>
      <c r="EU36" s="376">
        <v>26758.59</v>
      </c>
      <c r="EV36" s="376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>
        <v>22307.16</v>
      </c>
      <c r="FB36" s="376">
        <v>35372327.289999999</v>
      </c>
      <c r="FC36" s="376">
        <v>93263.79</v>
      </c>
      <c r="FD36" s="376">
        <v>86764.65</v>
      </c>
      <c r="FE36" s="376">
        <v>1098323.3600000001</v>
      </c>
      <c r="FF36" s="376">
        <v>319064.56</v>
      </c>
      <c r="FG36" s="376">
        <v>248883.21</v>
      </c>
      <c r="FH36" s="376">
        <v>186917.08</v>
      </c>
      <c r="FI36" s="376">
        <v>63899.67</v>
      </c>
      <c r="FJ36" s="376">
        <v>3605086.71</v>
      </c>
      <c r="FK36" s="376"/>
      <c r="FL36" s="376"/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376">
        <v>657232.74</v>
      </c>
      <c r="EU37" s="376">
        <v>844736.49</v>
      </c>
      <c r="EV37" s="376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>
        <v>1010493.42</v>
      </c>
      <c r="FC37" s="376">
        <v>1060224.75</v>
      </c>
      <c r="FD37" s="376">
        <v>856535.48</v>
      </c>
      <c r="FE37" s="376">
        <v>1067902.02</v>
      </c>
      <c r="FF37" s="376">
        <v>609800.16</v>
      </c>
      <c r="FG37" s="376">
        <v>943704.64</v>
      </c>
      <c r="FH37" s="376">
        <v>1029233.16</v>
      </c>
      <c r="FI37" s="376">
        <v>1018399.18</v>
      </c>
      <c r="FJ37" s="376">
        <v>1673986.28</v>
      </c>
      <c r="FK37" s="376"/>
      <c r="FL37" s="376"/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376">
        <v>126122.18</v>
      </c>
      <c r="EU38" s="376">
        <v>179834.33</v>
      </c>
      <c r="EV38" s="376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>
        <v>289424.78000000003</v>
      </c>
      <c r="FC38" s="376">
        <v>309001.24</v>
      </c>
      <c r="FD38" s="376">
        <v>272604.90000000002</v>
      </c>
      <c r="FE38" s="376">
        <v>289766.11</v>
      </c>
      <c r="FF38" s="376">
        <v>164019.29</v>
      </c>
      <c r="FG38" s="376">
        <v>247340.36</v>
      </c>
      <c r="FH38" s="376">
        <v>328409.52</v>
      </c>
      <c r="FI38" s="376">
        <v>261152.7</v>
      </c>
      <c r="FJ38" s="376">
        <v>230706.4</v>
      </c>
      <c r="FK38" s="376"/>
      <c r="FL38" s="376"/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376">
        <v>884483.19</v>
      </c>
      <c r="EU39" s="376">
        <v>558412.55000000005</v>
      </c>
      <c r="EV39" s="376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>
        <v>1467566.13</v>
      </c>
      <c r="FB39" s="376">
        <v>794367.45</v>
      </c>
      <c r="FC39" s="376">
        <v>884956.07</v>
      </c>
      <c r="FD39" s="376">
        <v>2238150.0099999998</v>
      </c>
      <c r="FE39" s="376">
        <v>1558672.65</v>
      </c>
      <c r="FF39" s="376">
        <v>474394.59</v>
      </c>
      <c r="FG39" s="376">
        <v>759602.89</v>
      </c>
      <c r="FH39" s="376">
        <v>1649538.05</v>
      </c>
      <c r="FI39" s="376">
        <v>1042259.6</v>
      </c>
      <c r="FJ39" s="376">
        <v>1649659</v>
      </c>
      <c r="FK39" s="376"/>
      <c r="FL39" s="376"/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96</v>
      </c>
      <c r="D40" s="139">
        <v>72</v>
      </c>
      <c r="E40" s="140" t="s">
        <v>97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>
        <v>136671.79999999999</v>
      </c>
      <c r="EU40" s="378">
        <v>273046.61</v>
      </c>
      <c r="EV40" s="378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>
        <v>223709.29</v>
      </c>
      <c r="FC40" s="378">
        <v>158760.32999999999</v>
      </c>
      <c r="FD40" s="378">
        <v>314684.94</v>
      </c>
      <c r="FE40" s="378">
        <v>998458.94</v>
      </c>
      <c r="FF40" s="378">
        <v>26594.13</v>
      </c>
      <c r="FG40" s="378">
        <v>177395.91</v>
      </c>
      <c r="FH40" s="378">
        <v>180547.55</v>
      </c>
      <c r="FI40" s="378">
        <v>169636.46</v>
      </c>
      <c r="FJ40" s="378">
        <v>223780.48000000001</v>
      </c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424"/>
      <c r="EU41" s="424"/>
      <c r="EV41" s="424"/>
      <c r="EW41" s="424"/>
      <c r="EX41" s="424"/>
      <c r="EY41" s="424"/>
      <c r="EZ41" s="424"/>
      <c r="FA41" s="424"/>
      <c r="FB41" s="424"/>
      <c r="FC41" s="424"/>
      <c r="FD41" s="376"/>
      <c r="FE41" s="376"/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424"/>
      <c r="EU42" s="424"/>
      <c r="EV42" s="424"/>
      <c r="EW42" s="424"/>
      <c r="EX42" s="424"/>
      <c r="EY42" s="424"/>
      <c r="EZ42" s="424"/>
      <c r="FA42" s="424"/>
      <c r="FB42" s="424"/>
      <c r="FC42" s="424"/>
      <c r="FD42" s="376"/>
      <c r="FE42" s="376"/>
      <c r="FF42" s="376"/>
      <c r="FG42" s="376"/>
      <c r="FH42" s="376"/>
      <c r="FI42" s="376"/>
      <c r="FJ42" s="376"/>
      <c r="FK42" s="376"/>
      <c r="FL42" s="376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105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378">
        <v>172043.05</v>
      </c>
      <c r="EU43" s="378">
        <v>78777.210000000006</v>
      </c>
      <c r="EV43" s="378">
        <v>195694.06</v>
      </c>
      <c r="EW43" s="378">
        <v>443978.03</v>
      </c>
      <c r="EX43" s="378">
        <v>1090667.1299999999</v>
      </c>
      <c r="EY43" s="378">
        <v>2374577.77</v>
      </c>
      <c r="EZ43" s="378">
        <v>178131.97</v>
      </c>
      <c r="FA43" s="378">
        <v>146792.74</v>
      </c>
      <c r="FB43" s="378">
        <v>907089.49</v>
      </c>
      <c r="FC43" s="378">
        <v>525509.51</v>
      </c>
      <c r="FD43" s="378">
        <v>4230114.6399999997</v>
      </c>
      <c r="FE43" s="378">
        <v>780987.28</v>
      </c>
      <c r="FF43" s="378">
        <v>69158.880000000005</v>
      </c>
      <c r="FG43" s="378">
        <v>378338.04</v>
      </c>
      <c r="FH43" s="378">
        <v>257172.98</v>
      </c>
      <c r="FI43" s="378">
        <v>349238.34</v>
      </c>
      <c r="FJ43" s="378">
        <v>808656.23</v>
      </c>
      <c r="FK43" s="378"/>
      <c r="FL43" s="378"/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424"/>
      <c r="EU44" s="424"/>
      <c r="EV44" s="424"/>
      <c r="EW44" s="424"/>
      <c r="EX44" s="424"/>
      <c r="EY44" s="424"/>
      <c r="EZ44" s="424"/>
      <c r="FA44" s="424"/>
      <c r="FB44" s="424"/>
      <c r="FC44" s="424"/>
      <c r="FD44" s="376"/>
      <c r="FE44" s="376"/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424"/>
      <c r="EU45" s="424"/>
      <c r="EV45" s="424"/>
      <c r="EW45" s="424"/>
      <c r="EX45" s="424"/>
      <c r="EY45" s="424"/>
      <c r="EZ45" s="424"/>
      <c r="FA45" s="424"/>
      <c r="FB45" s="424"/>
      <c r="FC45" s="424"/>
      <c r="FD45" s="376"/>
      <c r="FE45" s="376"/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96</v>
      </c>
      <c r="D46" s="139">
        <v>74</v>
      </c>
      <c r="E46" s="140" t="s">
        <v>109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378">
        <v>1517510.59</v>
      </c>
      <c r="EU46" s="378">
        <v>776556.18</v>
      </c>
      <c r="EV46" s="378">
        <v>1210159.24</v>
      </c>
      <c r="EW46" s="378">
        <v>8493510.6400000006</v>
      </c>
      <c r="EX46" s="378">
        <v>1746477.29</v>
      </c>
      <c r="EY46" s="378">
        <v>1534287.36</v>
      </c>
      <c r="EZ46" s="378">
        <v>778731.38</v>
      </c>
      <c r="FA46" s="378">
        <v>259046.56</v>
      </c>
      <c r="FB46" s="378">
        <v>658145.13</v>
      </c>
      <c r="FC46" s="378">
        <v>1526158.48</v>
      </c>
      <c r="FD46" s="378">
        <v>5006180.46</v>
      </c>
      <c r="FE46" s="378">
        <v>3845038.84</v>
      </c>
      <c r="FF46" s="378">
        <v>13526711.25</v>
      </c>
      <c r="FG46" s="378">
        <v>1001055.74</v>
      </c>
      <c r="FH46" s="378">
        <v>861265.77</v>
      </c>
      <c r="FI46" s="378">
        <v>627154.51</v>
      </c>
      <c r="FJ46" s="378">
        <v>1388870.5</v>
      </c>
      <c r="FK46" s="378"/>
      <c r="FL46" s="378"/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424"/>
      <c r="EU47" s="424"/>
      <c r="EV47" s="424"/>
      <c r="EW47" s="424"/>
      <c r="EX47" s="424"/>
      <c r="EY47" s="424"/>
      <c r="EZ47" s="424"/>
      <c r="FA47" s="424"/>
      <c r="FB47" s="424"/>
      <c r="FC47" s="424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424"/>
      <c r="EU48" s="424"/>
      <c r="EV48" s="424"/>
      <c r="EW48" s="424"/>
      <c r="EX48" s="424"/>
      <c r="EY48" s="424"/>
      <c r="EZ48" s="424"/>
      <c r="FA48" s="424"/>
      <c r="FB48" s="424"/>
      <c r="FC48" s="424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115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378">
        <v>24756264.800000001</v>
      </c>
      <c r="EU49" s="378">
        <v>75548588.189999998</v>
      </c>
      <c r="EV49" s="378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>
        <v>16543113.73</v>
      </c>
      <c r="FC49" s="378">
        <v>18813731.219999999</v>
      </c>
      <c r="FD49" s="378">
        <v>38823788.329999998</v>
      </c>
      <c r="FE49" s="378">
        <v>23679982.34</v>
      </c>
      <c r="FF49" s="378"/>
      <c r="FG49" s="378"/>
      <c r="FH49" s="378"/>
      <c r="FI49" s="378"/>
      <c r="FJ49" s="378"/>
      <c r="FK49" s="378"/>
      <c r="FL49" s="378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424"/>
      <c r="EU50" s="424"/>
      <c r="EV50" s="424"/>
      <c r="EW50" s="424"/>
      <c r="EX50" s="424"/>
      <c r="EY50" s="424"/>
      <c r="EZ50" s="424"/>
      <c r="FA50" s="424"/>
      <c r="FB50" s="424"/>
      <c r="FC50" s="424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376">
        <v>24535941.960000001</v>
      </c>
      <c r="EU51" s="376">
        <v>91357443.420000002</v>
      </c>
      <c r="EV51" s="376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>
        <v>18000000</v>
      </c>
      <c r="FG51" s="376">
        <v>54000000</v>
      </c>
      <c r="FH51" s="376"/>
      <c r="FI51" s="376">
        <v>74623000</v>
      </c>
      <c r="FJ51" s="376">
        <v>67815000</v>
      </c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376">
        <v>220322.84</v>
      </c>
      <c r="EU52" s="376">
        <v>191078.77</v>
      </c>
      <c r="EV52" s="376">
        <v>5273085.6500000004</v>
      </c>
      <c r="EW52" s="376">
        <v>494250833.62</v>
      </c>
      <c r="EX52" s="376">
        <v>7673073.0999999996</v>
      </c>
      <c r="EY52" s="376">
        <v>266189636.84999999</v>
      </c>
      <c r="EZ52" s="376">
        <v>15363581.189999999</v>
      </c>
      <c r="FA52" s="376">
        <v>13117458.42</v>
      </c>
      <c r="FB52" s="376">
        <v>16543113.73</v>
      </c>
      <c r="FC52" s="376">
        <v>18813731.219999999</v>
      </c>
      <c r="FD52" s="376">
        <v>38823788.329999998</v>
      </c>
      <c r="FE52" s="376">
        <v>23679982.34</v>
      </c>
      <c r="FF52" s="376">
        <v>25748930.140000001</v>
      </c>
      <c r="FG52" s="376">
        <v>3819449.69</v>
      </c>
      <c r="FH52" s="376">
        <v>14059999.119999999</v>
      </c>
      <c r="FI52" s="376">
        <v>6496285.4699999997</v>
      </c>
      <c r="FJ52" s="376">
        <v>7856343.8600000003</v>
      </c>
      <c r="FK52" s="376"/>
      <c r="FL52" s="376"/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376">
        <v>104498495.13</v>
      </c>
      <c r="EU53" s="376">
        <v>123153743.48</v>
      </c>
      <c r="EV53" s="376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376">
        <v>17822596.359999999</v>
      </c>
      <c r="EU54" s="376">
        <v>53222053.950000003</v>
      </c>
      <c r="EV54" s="376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376">
        <v>37313745.240000002</v>
      </c>
      <c r="EU55" s="376">
        <v>38053361.399999999</v>
      </c>
      <c r="EV55" s="376">
        <v>36623552.420000002</v>
      </c>
      <c r="EW55" s="376">
        <v>38350898.119999997</v>
      </c>
      <c r="EX55" s="376">
        <v>38447534.82</v>
      </c>
      <c r="EY55" s="376">
        <v>38983266.57</v>
      </c>
      <c r="EZ55" s="376">
        <v>37411972.93</v>
      </c>
      <c r="FA55" s="376">
        <v>36767851.93</v>
      </c>
      <c r="FB55" s="376">
        <v>38163535.509999998</v>
      </c>
      <c r="FC55" s="376">
        <v>39555048.049999997</v>
      </c>
      <c r="FD55" s="376">
        <v>45304980.549999997</v>
      </c>
      <c r="FE55" s="376">
        <v>34820487.009999998</v>
      </c>
      <c r="FF55" s="376">
        <v>38898745.609999999</v>
      </c>
      <c r="FG55" s="376">
        <v>38576856.590000004</v>
      </c>
      <c r="FH55" s="376">
        <v>39174668.049999997</v>
      </c>
      <c r="FI55" s="376">
        <v>38923552.049999997</v>
      </c>
      <c r="FJ55" s="376">
        <v>39904782.170000002</v>
      </c>
      <c r="FK55" s="376"/>
      <c r="FL55" s="376"/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376"/>
      <c r="EV56" s="376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376"/>
      <c r="EV57" s="376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376"/>
      <c r="EV58" s="376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376"/>
      <c r="EV59" s="376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376"/>
      <c r="EV60" s="376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376">
        <v>363127.64</v>
      </c>
      <c r="EU61" s="376">
        <v>848575.97</v>
      </c>
      <c r="EV61" s="376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>
        <v>963637.57</v>
      </c>
      <c r="FC61" s="376">
        <v>1011368.26</v>
      </c>
      <c r="FD61" s="376">
        <v>1172083.78</v>
      </c>
      <c r="FE61" s="376">
        <v>3278096.68</v>
      </c>
      <c r="FF61" s="376">
        <v>432717.77</v>
      </c>
      <c r="FG61" s="448">
        <v>1037317.51</v>
      </c>
      <c r="FH61" s="448">
        <v>740149.21</v>
      </c>
      <c r="FI61" s="448">
        <v>1606928.02</v>
      </c>
      <c r="FJ61" s="376">
        <v>1045480.66</v>
      </c>
      <c r="FK61" s="376"/>
      <c r="FL61" s="376"/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424"/>
      <c r="EU62" s="424"/>
      <c r="EV62" s="424"/>
      <c r="EW62" s="424"/>
      <c r="EX62" s="424"/>
      <c r="EY62" s="424"/>
      <c r="EZ62" s="424"/>
      <c r="FA62" s="424"/>
      <c r="FB62" s="424"/>
      <c r="FC62" s="424"/>
      <c r="FD62" s="376"/>
      <c r="FE62" s="376"/>
      <c r="FF62" s="376"/>
      <c r="FG62" s="376"/>
      <c r="FH62" s="376"/>
      <c r="FI62" s="376"/>
      <c r="FJ62" s="376"/>
      <c r="FK62" s="376"/>
      <c r="FL62" s="376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424"/>
      <c r="EU63" s="424"/>
      <c r="EV63" s="424"/>
      <c r="EW63" s="424"/>
      <c r="EX63" s="424"/>
      <c r="EY63" s="424"/>
      <c r="EZ63" s="424"/>
      <c r="FA63" s="424"/>
      <c r="FB63" s="424"/>
      <c r="FC63" s="424"/>
      <c r="FD63" s="376"/>
      <c r="FE63" s="376"/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424"/>
      <c r="EU64" s="424"/>
      <c r="EV64" s="424"/>
      <c r="EW64" s="424"/>
      <c r="EX64" s="424"/>
      <c r="EY64" s="424"/>
      <c r="EZ64" s="424"/>
      <c r="FA64" s="424"/>
      <c r="FB64" s="424"/>
      <c r="FC64" s="424"/>
      <c r="FD64" s="376"/>
      <c r="FE64" s="376"/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424"/>
      <c r="EU65" s="424"/>
      <c r="EV65" s="424"/>
      <c r="EW65" s="424"/>
      <c r="EX65" s="424"/>
      <c r="EY65" s="424"/>
      <c r="EZ65" s="424"/>
      <c r="FA65" s="424"/>
      <c r="FB65" s="424"/>
      <c r="FC65" s="424"/>
      <c r="FD65" s="376"/>
      <c r="FE65" s="376"/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424"/>
      <c r="EU66" s="424"/>
      <c r="EV66" s="424"/>
      <c r="EW66" s="424"/>
      <c r="EX66" s="424"/>
      <c r="EY66" s="424"/>
      <c r="EZ66" s="424"/>
      <c r="FA66" s="424"/>
      <c r="FB66" s="424"/>
      <c r="FC66" s="424"/>
      <c r="FD66" s="376"/>
      <c r="FE66" s="376"/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424"/>
      <c r="EU67" s="424"/>
      <c r="EV67" s="424"/>
      <c r="EW67" s="424"/>
      <c r="EX67" s="424"/>
      <c r="EY67" s="424"/>
      <c r="EZ67" s="424"/>
      <c r="FA67" s="424"/>
      <c r="FB67" s="424"/>
      <c r="FC67" s="424"/>
      <c r="FD67" s="376"/>
      <c r="FE67" s="376"/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424"/>
      <c r="EU68" s="424"/>
      <c r="EV68" s="424"/>
      <c r="EW68" s="424"/>
      <c r="EX68" s="424"/>
      <c r="EY68" s="424"/>
      <c r="EZ68" s="424"/>
      <c r="FA68" s="424"/>
      <c r="FB68" s="424"/>
      <c r="FC68" s="424"/>
      <c r="FD68" s="376"/>
      <c r="FE68" s="376"/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376">
        <v>1027061</v>
      </c>
      <c r="EU69" s="376">
        <v>2339456.96</v>
      </c>
      <c r="EV69" s="376">
        <v>3799655</v>
      </c>
      <c r="EW69" s="376">
        <v>2451684.9300000002</v>
      </c>
      <c r="EX69" s="376">
        <v>2819164.34</v>
      </c>
      <c r="EY69" s="376">
        <v>2228904.96</v>
      </c>
      <c r="EZ69" s="376">
        <v>2861487.4</v>
      </c>
      <c r="FA69" s="376">
        <v>2382536.89</v>
      </c>
      <c r="FB69" s="376">
        <v>1934822.17</v>
      </c>
      <c r="FC69" s="376">
        <v>3004874.41</v>
      </c>
      <c r="FD69" s="376">
        <v>3035158.15</v>
      </c>
      <c r="FE69" s="376">
        <v>8916158.6899999995</v>
      </c>
      <c r="FF69" s="376">
        <v>854167.64</v>
      </c>
      <c r="FG69" s="376">
        <v>2492370.9900000002</v>
      </c>
      <c r="FH69" s="376">
        <v>2599448.7799999998</v>
      </c>
      <c r="FI69" s="376">
        <v>2488394.38</v>
      </c>
      <c r="FJ69" s="376">
        <v>2262319.3199999998</v>
      </c>
      <c r="FK69" s="376"/>
      <c r="FL69" s="376"/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376"/>
      <c r="EV70" s="376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376"/>
      <c r="EV71" s="376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376"/>
      <c r="EV72" s="376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376"/>
      <c r="EV73" s="376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376"/>
      <c r="EV74" s="376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376"/>
      <c r="EV75" s="376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376">
        <v>1695715.73</v>
      </c>
      <c r="EU76" s="376">
        <v>3144208.56</v>
      </c>
      <c r="EV76" s="376">
        <v>4225810.8600000003</v>
      </c>
      <c r="EW76" s="376">
        <v>4576692.6500000004</v>
      </c>
      <c r="EX76" s="376">
        <v>4902792.45</v>
      </c>
      <c r="EY76" s="376">
        <v>14378909.140000001</v>
      </c>
      <c r="EZ76" s="376">
        <v>4958236.41</v>
      </c>
      <c r="FA76" s="376">
        <v>3624827.41</v>
      </c>
      <c r="FB76" s="376">
        <v>5520757.9299999997</v>
      </c>
      <c r="FC76" s="376">
        <v>5612259.6799999997</v>
      </c>
      <c r="FD76" s="376">
        <v>5170200.84</v>
      </c>
      <c r="FE76" s="376">
        <v>17427573.32</v>
      </c>
      <c r="FF76" s="376">
        <v>2813388.82</v>
      </c>
      <c r="FG76" s="376">
        <v>4369547.51</v>
      </c>
      <c r="FH76" s="376">
        <v>4665604.76</v>
      </c>
      <c r="FI76" s="448">
        <v>4354213.09</v>
      </c>
      <c r="FJ76" s="376">
        <v>5518669.6799999997</v>
      </c>
      <c r="FK76" s="376"/>
      <c r="FL76" s="376"/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376"/>
      <c r="EV77" s="376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376"/>
      <c r="EV78" s="376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376"/>
      <c r="EV79" s="376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376"/>
      <c r="EV80" s="376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376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376"/>
      <c r="EV81" s="376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376"/>
      <c r="EV82" s="376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376"/>
      <c r="EV83" s="376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376"/>
      <c r="EV84" s="376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376"/>
      <c r="EV85" s="376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376">
        <v>106817.18</v>
      </c>
      <c r="EU86" s="376">
        <v>1254053.07</v>
      </c>
      <c r="EV86" s="376">
        <v>1932637.76</v>
      </c>
      <c r="EW86" s="376">
        <v>1702193.19</v>
      </c>
      <c r="EX86" s="376">
        <v>1674065.37</v>
      </c>
      <c r="EY86" s="376">
        <v>1595120.98</v>
      </c>
      <c r="EZ86" s="376">
        <v>1765491.98</v>
      </c>
      <c r="FA86" s="376">
        <v>823314.3</v>
      </c>
      <c r="FB86" s="376">
        <v>2309329.44</v>
      </c>
      <c r="FC86" s="376">
        <v>1827701.36</v>
      </c>
      <c r="FD86" s="376">
        <v>1127698.73</v>
      </c>
      <c r="FE86" s="376">
        <v>4873366.55</v>
      </c>
      <c r="FF86" s="376">
        <v>109483.07</v>
      </c>
      <c r="FG86" s="376">
        <v>1534108.39</v>
      </c>
      <c r="FH86" s="376">
        <v>1553347.68</v>
      </c>
      <c r="FI86" s="376">
        <v>1602730.43</v>
      </c>
      <c r="FJ86" s="376">
        <v>1719004.83</v>
      </c>
      <c r="FK86" s="376"/>
      <c r="FL86" s="376"/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376"/>
      <c r="EV87" s="376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376"/>
      <c r="EV88" s="376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376"/>
      <c r="EV89" s="376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376">
        <v>4324077.55</v>
      </c>
      <c r="EU90" s="376">
        <v>1050801.23</v>
      </c>
      <c r="EV90" s="376">
        <v>39514676.710000001</v>
      </c>
      <c r="EW90" s="376">
        <v>8129668.5499999998</v>
      </c>
      <c r="EX90" s="376">
        <v>10064809.060000001</v>
      </c>
      <c r="EY90" s="376">
        <v>1838720.63</v>
      </c>
      <c r="EZ90" s="376">
        <v>7493936.0099999998</v>
      </c>
      <c r="FA90" s="376">
        <v>1134154.94</v>
      </c>
      <c r="FB90" s="376">
        <v>3617355.6</v>
      </c>
      <c r="FC90" s="376">
        <v>1538688.3</v>
      </c>
      <c r="FD90" s="376">
        <v>4283049.2</v>
      </c>
      <c r="FE90" s="376">
        <v>5656669.4199999999</v>
      </c>
      <c r="FF90" s="376">
        <v>6154852.9000000004</v>
      </c>
      <c r="FG90" s="376">
        <v>950797.68</v>
      </c>
      <c r="FH90" s="376">
        <v>28695513.649999999</v>
      </c>
      <c r="FI90" s="376">
        <v>18405321.859999999</v>
      </c>
      <c r="FJ90" s="376">
        <v>1152255.24</v>
      </c>
      <c r="FK90" s="376"/>
      <c r="FL90" s="376"/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376"/>
      <c r="EV91" s="376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376"/>
      <c r="EV92" s="376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376">
        <v>175603.34</v>
      </c>
      <c r="EU93" s="376">
        <v>1124463.03</v>
      </c>
      <c r="EV93" s="376">
        <v>523950.18</v>
      </c>
      <c r="EW93" s="376">
        <v>641415.42000000004</v>
      </c>
      <c r="EX93" s="376">
        <v>939648.68</v>
      </c>
      <c r="EY93" s="376">
        <v>835746.88</v>
      </c>
      <c r="EZ93" s="376">
        <v>824933.88</v>
      </c>
      <c r="FA93" s="376">
        <v>556574.75</v>
      </c>
      <c r="FB93" s="376">
        <v>949304.64</v>
      </c>
      <c r="FC93" s="376">
        <v>1043096.71</v>
      </c>
      <c r="FD93" s="376">
        <v>584262.68000000005</v>
      </c>
      <c r="FE93" s="376">
        <v>2920206.78</v>
      </c>
      <c r="FF93" s="376">
        <v>220526.46</v>
      </c>
      <c r="FG93" s="376">
        <v>779733.65</v>
      </c>
      <c r="FH93" s="376">
        <v>803370.53</v>
      </c>
      <c r="FI93" s="376">
        <v>1122402.21</v>
      </c>
      <c r="FJ93" s="376">
        <v>989005.29</v>
      </c>
      <c r="FK93" s="376"/>
      <c r="FL93" s="376"/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376"/>
      <c r="EV94" s="376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376"/>
      <c r="EV95" s="376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376"/>
      <c r="EV96" s="376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376">
        <v>31033.66</v>
      </c>
      <c r="EU97" s="376">
        <v>2281116.2599999998</v>
      </c>
      <c r="EV97" s="376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>
        <v>3480196.8</v>
      </c>
      <c r="FC97" s="376">
        <v>3547724.18</v>
      </c>
      <c r="FD97" s="376">
        <v>2265915.5499999998</v>
      </c>
      <c r="FE97" s="376">
        <v>6761395.8499999996</v>
      </c>
      <c r="FF97" s="376">
        <v>99006.6</v>
      </c>
      <c r="FG97" s="376">
        <v>1819632.21</v>
      </c>
      <c r="FH97" s="376">
        <v>3556257.45</v>
      </c>
      <c r="FI97" s="376">
        <v>1298353.71</v>
      </c>
      <c r="FJ97" s="376">
        <v>2194236.0299999998</v>
      </c>
      <c r="FK97" s="376"/>
      <c r="FL97" s="376"/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376"/>
      <c r="EV98" s="376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376"/>
      <c r="EV99" s="376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376"/>
      <c r="EV100" s="376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376">
        <v>585935.19999999995</v>
      </c>
      <c r="EU101" s="376">
        <v>3390433.55</v>
      </c>
      <c r="EV101" s="376">
        <v>2155321.13</v>
      </c>
      <c r="EW101" s="376">
        <v>2890777.66</v>
      </c>
      <c r="EX101" s="376">
        <v>2637225.6800000002</v>
      </c>
      <c r="EY101" s="376">
        <v>3638653.72</v>
      </c>
      <c r="EZ101" s="376">
        <v>2920320.15</v>
      </c>
      <c r="FA101" s="376">
        <v>3454663.76</v>
      </c>
      <c r="FB101" s="376">
        <v>3201235.33</v>
      </c>
      <c r="FC101" s="376">
        <v>3108711.17</v>
      </c>
      <c r="FD101" s="376">
        <v>3357388.61</v>
      </c>
      <c r="FE101" s="376">
        <v>12270930.109999999</v>
      </c>
      <c r="FF101" s="376">
        <v>695586.92</v>
      </c>
      <c r="FG101" s="376">
        <v>3360581.13</v>
      </c>
      <c r="FH101" s="376">
        <v>2355848.1</v>
      </c>
      <c r="FI101" s="376">
        <v>5380148.8300000001</v>
      </c>
      <c r="FJ101" s="376">
        <v>2122463.62</v>
      </c>
      <c r="FK101" s="376"/>
      <c r="FL101" s="376"/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376"/>
      <c r="EV102" s="376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376"/>
      <c r="EV103" s="376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376"/>
      <c r="EV104" s="376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376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376"/>
      <c r="EV105" s="376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376"/>
      <c r="EV106" s="376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376"/>
      <c r="EV108" s="376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376"/>
      <c r="EV109" s="376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376"/>
      <c r="EV110" s="376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376">
        <v>42244817.57</v>
      </c>
      <c r="EU111" s="376">
        <v>45525440.090000004</v>
      </c>
      <c r="EV111" s="376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376">
        <v>6003212.1200000001</v>
      </c>
      <c r="EU112" s="376">
        <v>7135869.1500000004</v>
      </c>
      <c r="EV112" s="376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>
        <v>6862261.6200000001</v>
      </c>
      <c r="FC112" s="376">
        <v>7143348.9900000002</v>
      </c>
      <c r="FD112" s="376">
        <v>7029331</v>
      </c>
      <c r="FE112" s="376">
        <v>10456885.15</v>
      </c>
      <c r="FF112" s="376">
        <v>5984394.8399999999</v>
      </c>
      <c r="FG112" s="376">
        <v>6928715.1699999999</v>
      </c>
      <c r="FH112" s="376">
        <v>6534675.6500000004</v>
      </c>
      <c r="FI112" s="376">
        <v>6641554.0999999996</v>
      </c>
      <c r="FJ112" s="376">
        <v>6410465.4699999997</v>
      </c>
      <c r="FK112" s="376"/>
      <c r="FL112" s="376"/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376"/>
      <c r="EV113" s="376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424"/>
      <c r="EU114" s="424"/>
      <c r="EV114" s="424"/>
      <c r="EW114" s="424"/>
      <c r="EX114" s="424"/>
      <c r="EY114" s="424"/>
      <c r="EZ114" s="424"/>
      <c r="FA114" s="424"/>
      <c r="FB114" s="424"/>
      <c r="FC114" s="424"/>
      <c r="FD114" s="376"/>
      <c r="FE114" s="376"/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424"/>
      <c r="EU115" s="424"/>
      <c r="EV115" s="424"/>
      <c r="EW115" s="424"/>
      <c r="EX115" s="424"/>
      <c r="EY115" s="424"/>
      <c r="EZ115" s="424"/>
      <c r="FA115" s="424"/>
      <c r="FB115" s="424"/>
      <c r="FC115" s="424"/>
      <c r="FD115" s="376"/>
      <c r="FE115" s="376"/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424"/>
      <c r="EU116" s="424"/>
      <c r="EV116" s="424"/>
      <c r="EW116" s="424"/>
      <c r="EX116" s="424"/>
      <c r="EY116" s="424"/>
      <c r="EZ116" s="424"/>
      <c r="FA116" s="424"/>
      <c r="FB116" s="424"/>
      <c r="FC116" s="424"/>
      <c r="FD116" s="376"/>
      <c r="FE116" s="376"/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424"/>
      <c r="EU117" s="424"/>
      <c r="EV117" s="424"/>
      <c r="EW117" s="424"/>
      <c r="EX117" s="424"/>
      <c r="EY117" s="424"/>
      <c r="EZ117" s="424"/>
      <c r="FA117" s="424"/>
      <c r="FB117" s="424"/>
      <c r="FC117" s="424"/>
      <c r="FD117" s="376"/>
      <c r="FE117" s="376"/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424"/>
      <c r="EU118" s="424"/>
      <c r="EV118" s="424"/>
      <c r="EW118" s="424"/>
      <c r="EX118" s="424"/>
      <c r="EY118" s="424"/>
      <c r="EZ118" s="424"/>
      <c r="FA118" s="424"/>
      <c r="FB118" s="424"/>
      <c r="FC118" s="424"/>
      <c r="FD118" s="376"/>
      <c r="FE118" s="376"/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424"/>
      <c r="EU119" s="424"/>
      <c r="EV119" s="424"/>
      <c r="EW119" s="424"/>
      <c r="EX119" s="424"/>
      <c r="EY119" s="424"/>
      <c r="EZ119" s="424"/>
      <c r="FA119" s="424"/>
      <c r="FB119" s="424"/>
      <c r="FC119" s="424"/>
      <c r="FD119" s="376"/>
      <c r="FE119" s="376"/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734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424"/>
      <c r="EU120" s="424"/>
      <c r="EV120" s="424"/>
      <c r="EW120" s="424"/>
      <c r="EX120" s="424"/>
      <c r="EY120" s="424"/>
      <c r="EZ120" s="424"/>
      <c r="FA120" s="424"/>
      <c r="FB120" s="424"/>
      <c r="FC120" s="424"/>
      <c r="FD120" s="376"/>
      <c r="FE120" s="376"/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376">
        <v>110952</v>
      </c>
      <c r="EU121" s="376">
        <v>1323906.01</v>
      </c>
      <c r="EV121" s="376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>
        <v>1031337.39</v>
      </c>
      <c r="FC121" s="376">
        <v>1282662.6599999999</v>
      </c>
      <c r="FD121" s="376">
        <v>1131669.69</v>
      </c>
      <c r="FE121" s="376">
        <v>2795677.95</v>
      </c>
      <c r="FF121" s="376">
        <v>43800</v>
      </c>
      <c r="FG121" s="376">
        <v>1198874.72</v>
      </c>
      <c r="FH121" s="376">
        <v>1110784.77</v>
      </c>
      <c r="FI121" s="376">
        <v>1095242.3400000001</v>
      </c>
      <c r="FJ121" s="376">
        <v>1341095.6299999999</v>
      </c>
      <c r="FK121" s="376"/>
      <c r="FL121" s="376"/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376"/>
      <c r="EV122" s="376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376"/>
      <c r="EV123" s="376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376"/>
      <c r="EV124" s="376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376"/>
      <c r="EV125" s="376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376"/>
      <c r="EV126" s="376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376">
        <v>34029606.390000001</v>
      </c>
      <c r="EU127" s="376">
        <v>34751702.420000002</v>
      </c>
      <c r="EV127" s="376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>
        <v>34579708.640000001</v>
      </c>
      <c r="FC127" s="376">
        <v>34511618.530000001</v>
      </c>
      <c r="FD127" s="376">
        <v>34549297.82</v>
      </c>
      <c r="FE127" s="376">
        <v>34625437.600000001</v>
      </c>
      <c r="FF127" s="376">
        <v>34463250.560000002</v>
      </c>
      <c r="FG127" s="376">
        <v>35530168.719999999</v>
      </c>
      <c r="FH127" s="376">
        <v>35281578.630000003</v>
      </c>
      <c r="FI127" s="376">
        <v>35247727.210000001</v>
      </c>
      <c r="FJ127" s="376">
        <v>35184087.420000002</v>
      </c>
      <c r="FK127" s="376"/>
      <c r="FL127" s="376"/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376"/>
      <c r="EV128" s="376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376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376"/>
      <c r="EV129" s="376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376"/>
      <c r="EV130" s="376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376"/>
      <c r="EV131" s="376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376"/>
      <c r="EV132" s="376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376"/>
      <c r="EV133" s="376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376"/>
      <c r="EV134" s="376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376">
        <v>1365364.87</v>
      </c>
      <c r="EU135" s="376">
        <v>1602918.54</v>
      </c>
      <c r="EV135" s="376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>
        <v>1736713.62</v>
      </c>
      <c r="FC135" s="376">
        <v>1661059.04</v>
      </c>
      <c r="FD135" s="376">
        <v>2052677.16</v>
      </c>
      <c r="FE135" s="376">
        <v>2337551.12</v>
      </c>
      <c r="FF135" s="376">
        <v>1579079.63</v>
      </c>
      <c r="FG135" s="376">
        <v>1855950.15</v>
      </c>
      <c r="FH135" s="376">
        <v>1427147.65</v>
      </c>
      <c r="FI135" s="376">
        <v>1689956.36</v>
      </c>
      <c r="FJ135" s="376">
        <v>1914804.54</v>
      </c>
      <c r="FK135" s="376"/>
      <c r="FL135" s="376"/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376"/>
      <c r="EV136" s="376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376">
        <v>735682.19</v>
      </c>
      <c r="EU137" s="376">
        <v>711043.97</v>
      </c>
      <c r="EV137" s="376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3554670.62</v>
      </c>
      <c r="FB137" s="376">
        <v>1229369.33</v>
      </c>
      <c r="FC137" s="376">
        <v>891958.79</v>
      </c>
      <c r="FD137" s="376">
        <v>1174417.8</v>
      </c>
      <c r="FE137" s="376">
        <v>1173117.46</v>
      </c>
      <c r="FF137" s="376">
        <v>492655.92</v>
      </c>
      <c r="FG137" s="376">
        <v>1082093.31</v>
      </c>
      <c r="FH137" s="376">
        <v>1075486.77</v>
      </c>
      <c r="FI137" s="376">
        <v>779978.55</v>
      </c>
      <c r="FJ137" s="376">
        <v>905277.52</v>
      </c>
      <c r="FK137" s="376"/>
      <c r="FL137" s="376"/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376"/>
      <c r="EV138" s="376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376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376"/>
      <c r="EV139" s="376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376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376"/>
      <c r="EV140" s="376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376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376">
        <v>11036841.98</v>
      </c>
      <c r="EU141" s="376">
        <v>13096709.15</v>
      </c>
      <c r="EV141" s="376">
        <v>16347312.470000001</v>
      </c>
      <c r="EW141" s="376">
        <v>15698178.050000001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>
        <v>16100951.01</v>
      </c>
      <c r="FC141" s="376">
        <v>16865431.859999999</v>
      </c>
      <c r="FD141" s="376">
        <v>17575098.66</v>
      </c>
      <c r="FE141" s="376">
        <v>33426737.670000002</v>
      </c>
      <c r="FF141" s="376">
        <v>15740550.810000001</v>
      </c>
      <c r="FG141" s="376">
        <v>18630588.73</v>
      </c>
      <c r="FH141" s="376">
        <v>16694917.779999999</v>
      </c>
      <c r="FI141" s="376">
        <v>16109431.9</v>
      </c>
      <c r="FJ141" s="376">
        <v>17254969.68</v>
      </c>
      <c r="FK141" s="376"/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376">
        <v>10553508.65</v>
      </c>
      <c r="EU142" s="376">
        <v>12813375.82</v>
      </c>
      <c r="EV142" s="376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>
        <v>15737223.15</v>
      </c>
      <c r="FC142" s="376">
        <v>16273114.359999999</v>
      </c>
      <c r="FD142" s="376">
        <v>17323478.239999998</v>
      </c>
      <c r="FE142" s="376">
        <v>33100597.25</v>
      </c>
      <c r="FF142" s="376"/>
      <c r="FG142" s="376">
        <v>16553117.15</v>
      </c>
      <c r="FH142" s="376"/>
      <c r="FI142" s="376"/>
      <c r="FJ142" s="376"/>
      <c r="FK142" s="376"/>
      <c r="FL142" s="376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376"/>
      <c r="EU143" s="376"/>
      <c r="EV143" s="376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376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376"/>
      <c r="EV144" s="376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376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376"/>
      <c r="EV145" s="376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376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376"/>
      <c r="EV146" s="376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376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376"/>
      <c r="EV147" s="376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376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376"/>
      <c r="EV148" s="376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376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376"/>
      <c r="EV149" s="376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376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376"/>
      <c r="EV150" s="376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376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376"/>
      <c r="EV151" s="376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376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376">
        <v>483333.33</v>
      </c>
      <c r="EU152" s="376">
        <v>283333.33</v>
      </c>
      <c r="EV152" s="376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>
        <v>363727.86</v>
      </c>
      <c r="FC152" s="376">
        <v>592317.5</v>
      </c>
      <c r="FD152" s="376">
        <v>251620.42</v>
      </c>
      <c r="FE152" s="376">
        <v>326140.42</v>
      </c>
      <c r="FF152" s="376"/>
      <c r="FG152" s="376">
        <v>2077471.58</v>
      </c>
      <c r="FH152" s="376"/>
      <c r="FI152" s="376"/>
      <c r="FJ152" s="376"/>
      <c r="FK152" s="376"/>
      <c r="FL152" s="376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376"/>
      <c r="EV153" s="376"/>
      <c r="EW153" s="376"/>
      <c r="EX153" s="376"/>
      <c r="EY153" s="376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376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376"/>
      <c r="EV154" s="376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376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376"/>
      <c r="EV155" s="376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376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376"/>
      <c r="EV156" s="376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376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376"/>
      <c r="EV157" s="376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376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376"/>
      <c r="EV158" s="376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K158" s="376"/>
      <c r="FL158" s="376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729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376">
        <v>2163260.08</v>
      </c>
      <c r="EU159" s="376">
        <v>3337170.39</v>
      </c>
      <c r="EV159" s="376">
        <v>11819290.74</v>
      </c>
      <c r="EW159" s="376">
        <v>29570153.77</v>
      </c>
      <c r="EX159" s="376">
        <v>13043534.289999999</v>
      </c>
      <c r="EY159" s="376">
        <v>23764039.27</v>
      </c>
      <c r="EZ159" s="376">
        <v>23502059.140000001</v>
      </c>
      <c r="FA159" s="376">
        <v>7969058.6900000004</v>
      </c>
      <c r="FB159" s="376">
        <v>39845946.350000001</v>
      </c>
      <c r="FC159" s="376">
        <v>28551193.390000001</v>
      </c>
      <c r="FD159" s="376">
        <v>25822537.190000001</v>
      </c>
      <c r="FE159" s="376">
        <v>55311184</v>
      </c>
      <c r="FF159" s="376">
        <v>26828354.949999999</v>
      </c>
      <c r="FG159" s="376">
        <v>3690450.01</v>
      </c>
      <c r="FH159" s="376">
        <v>14930197.6</v>
      </c>
      <c r="FI159" s="376">
        <v>12096117.390000001</v>
      </c>
      <c r="FJ159" s="376">
        <v>11464377.560000001</v>
      </c>
      <c r="FK159" s="376"/>
      <c r="FL159" s="376"/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420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376">
        <v>3164306.35</v>
      </c>
      <c r="EU160" s="376">
        <v>874187.86</v>
      </c>
      <c r="EV160" s="376">
        <v>1385420.74</v>
      </c>
      <c r="EW160" s="376">
        <v>1772827.43</v>
      </c>
      <c r="EX160" s="376">
        <v>2361781.61</v>
      </c>
      <c r="EY160" s="376">
        <v>3518258.03</v>
      </c>
      <c r="EZ160" s="376">
        <v>1333103.1100000001</v>
      </c>
      <c r="FA160" s="376">
        <v>1880172.05</v>
      </c>
      <c r="FB160" s="376">
        <v>1846837.17</v>
      </c>
      <c r="FC160" s="376">
        <v>4655294.9000000004</v>
      </c>
      <c r="FD160" s="376">
        <v>27589177.949999999</v>
      </c>
      <c r="FE160" s="376">
        <v>5940844.4199999999</v>
      </c>
      <c r="FF160" s="376">
        <v>720914.39</v>
      </c>
      <c r="FG160" s="376">
        <f>3497409.95-FG168</f>
        <v>3462137.8600000003</v>
      </c>
      <c r="FH160" s="376">
        <v>1772948.37</v>
      </c>
      <c r="FI160" s="376">
        <f>42022681.44-FI168</f>
        <v>2074285.0700000003</v>
      </c>
      <c r="FJ160" s="376">
        <v>1862038.5</v>
      </c>
      <c r="FK160" s="376"/>
      <c r="FL160" s="376"/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376"/>
      <c r="EV161" s="376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376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376"/>
      <c r="EV162" s="376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376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376"/>
      <c r="EV163" s="376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376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376"/>
      <c r="EV164" s="376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376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376"/>
      <c r="EV165" s="376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376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376"/>
      <c r="EV166" s="376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376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376"/>
      <c r="EV167" s="376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376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376"/>
      <c r="EV168" s="376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>
        <v>305701.3</v>
      </c>
      <c r="FF168" s="376"/>
      <c r="FG168" s="376">
        <v>35272.089999999997</v>
      </c>
      <c r="FH168" s="376"/>
      <c r="FI168" s="376">
        <v>39948396.369999997</v>
      </c>
      <c r="FJ168" s="376"/>
      <c r="FK168" s="376"/>
      <c r="FL168" s="376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376"/>
      <c r="EV169" s="376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376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376">
        <v>5000</v>
      </c>
      <c r="EU170" s="376">
        <v>380906.62</v>
      </c>
      <c r="EV170" s="376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>
        <v>359390</v>
      </c>
      <c r="FC170" s="376">
        <v>80000</v>
      </c>
      <c r="FD170" s="376">
        <v>305000</v>
      </c>
      <c r="FE170" s="376">
        <v>2267088</v>
      </c>
      <c r="FF170" s="376"/>
      <c r="FG170" s="376"/>
      <c r="FH170" s="376"/>
      <c r="FI170" s="376"/>
      <c r="FJ170" s="376"/>
      <c r="FK170" s="376"/>
      <c r="FL170" s="376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376">
        <v>5000</v>
      </c>
      <c r="EU171" s="376">
        <v>380906.62</v>
      </c>
      <c r="EV171" s="376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>
        <v>359390</v>
      </c>
      <c r="FC171" s="376">
        <v>80000</v>
      </c>
      <c r="FD171" s="376">
        <v>305000</v>
      </c>
      <c r="FE171" s="376">
        <v>2267088</v>
      </c>
      <c r="FF171" s="376"/>
      <c r="FG171" s="376">
        <v>272323.98</v>
      </c>
      <c r="FH171" s="376">
        <v>30000</v>
      </c>
      <c r="FI171" s="376">
        <v>384534</v>
      </c>
      <c r="FJ171" s="376">
        <v>260000</v>
      </c>
      <c r="FK171" s="376"/>
      <c r="FL171" s="376"/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376"/>
      <c r="EV172" s="376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376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376"/>
      <c r="EV173" s="376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376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376"/>
      <c r="EV174" s="376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376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376"/>
      <c r="EV175" s="376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376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376"/>
      <c r="EV176" s="376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/>
      <c r="FL176" s="376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376">
        <v>27871672.789999999</v>
      </c>
      <c r="EU177" s="376">
        <v>56704926.840000004</v>
      </c>
      <c r="EV177" s="376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376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376">
        <v>26200164.98</v>
      </c>
      <c r="EU178" s="376">
        <v>54488971.759999998</v>
      </c>
      <c r="EV178" s="376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376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376">
        <v>24566746.16</v>
      </c>
      <c r="EU179" s="376">
        <v>50952373.509999998</v>
      </c>
      <c r="EV179" s="376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95932773.739999995</v>
      </c>
      <c r="FB179" s="376">
        <v>1208382.96</v>
      </c>
      <c r="FC179" s="376">
        <v>2260146.02</v>
      </c>
      <c r="FD179" s="376">
        <v>834069.65</v>
      </c>
      <c r="FE179" s="376">
        <v>2202164.71</v>
      </c>
      <c r="FF179" s="376">
        <v>18084948.579999998</v>
      </c>
      <c r="FG179" s="376">
        <v>64835364.859999999</v>
      </c>
      <c r="FH179" s="376">
        <v>1062241.2</v>
      </c>
      <c r="FI179" s="376">
        <v>2291816.1800000002</v>
      </c>
      <c r="FJ179" s="376">
        <v>5836708.6600000001</v>
      </c>
      <c r="FK179" s="376"/>
      <c r="FL179" s="376"/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376">
        <v>1633418.82</v>
      </c>
      <c r="EU180" s="376">
        <v>3536598.25</v>
      </c>
      <c r="EV180" s="376">
        <v>12014620.48</v>
      </c>
      <c r="EW180" s="376">
        <v>380100813.48000002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>
        <v>16215322.939999999</v>
      </c>
      <c r="FC180" s="376">
        <v>3771846.45</v>
      </c>
      <c r="FD180" s="376">
        <v>8756253.1600000001</v>
      </c>
      <c r="FE180" s="376">
        <v>8709523.0700000003</v>
      </c>
      <c r="FF180" s="376">
        <v>1433418.82</v>
      </c>
      <c r="FG180" s="376">
        <v>2530058.2599999998</v>
      </c>
      <c r="FH180" s="376">
        <v>16724343.27</v>
      </c>
      <c r="FI180" s="376">
        <v>16010234.699999999</v>
      </c>
      <c r="FJ180" s="376">
        <v>8741023.1600000001</v>
      </c>
      <c r="FK180" s="376"/>
      <c r="FL180" s="376"/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376"/>
      <c r="EV181" s="376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>
        <v>2253720.0299999998</v>
      </c>
      <c r="FG181" s="376">
        <v>494.04</v>
      </c>
      <c r="FH181" s="376">
        <v>7180458.3399999999</v>
      </c>
      <c r="FI181" s="376"/>
      <c r="FJ181" s="376"/>
      <c r="FK181" s="376"/>
      <c r="FL181" s="376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376"/>
      <c r="EV182" s="376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376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376"/>
      <c r="EV183" s="376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376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376">
        <v>1698819.3</v>
      </c>
      <c r="EU184" s="376">
        <v>2215955.08</v>
      </c>
      <c r="EV184" s="376">
        <v>2027778.28</v>
      </c>
      <c r="EW184" s="376">
        <v>2489375.33</v>
      </c>
      <c r="EX184" s="376">
        <v>1250843.27</v>
      </c>
      <c r="EY184" s="376">
        <v>1981350.35</v>
      </c>
      <c r="EZ184" s="376">
        <v>4566064.25</v>
      </c>
      <c r="FA184" s="376">
        <v>962361.47</v>
      </c>
      <c r="FB184" s="376">
        <v>895331.03</v>
      </c>
      <c r="FC184" s="376">
        <v>1966075.9</v>
      </c>
      <c r="FD184" s="376">
        <v>1659582.3</v>
      </c>
      <c r="FE184" s="376">
        <v>1173790.67</v>
      </c>
      <c r="FF184" s="376">
        <v>1205053.3500000001</v>
      </c>
      <c r="FG184" s="376">
        <v>1334117.25</v>
      </c>
      <c r="FH184" s="376">
        <v>1736748.41</v>
      </c>
      <c r="FI184" s="376">
        <v>1788599.55</v>
      </c>
      <c r="FJ184" s="376">
        <v>1459507.08</v>
      </c>
      <c r="FK184" s="376"/>
      <c r="FL184" s="376"/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376">
        <v>190000</v>
      </c>
      <c r="EU185" s="376">
        <v>92000</v>
      </c>
      <c r="EV185" s="376">
        <v>2352909.08</v>
      </c>
      <c r="EW185" s="376">
        <v>460039.86</v>
      </c>
      <c r="EX185" s="376">
        <v>4042331.56</v>
      </c>
      <c r="EY185" s="376">
        <v>1980934.15</v>
      </c>
      <c r="EZ185" s="376">
        <v>1798952.01</v>
      </c>
      <c r="FA185" s="376">
        <v>249386.57</v>
      </c>
      <c r="FB185" s="376">
        <v>1509208.74</v>
      </c>
      <c r="FC185" s="376">
        <v>559184.78</v>
      </c>
      <c r="FD185" s="376">
        <v>1953551.9</v>
      </c>
      <c r="FE185" s="376">
        <v>8699001.4000000004</v>
      </c>
      <c r="FF185" s="376"/>
      <c r="FG185" s="376">
        <v>1952871.71</v>
      </c>
      <c r="FH185" s="376">
        <v>278787.49</v>
      </c>
      <c r="FI185" s="376">
        <v>1810104.1</v>
      </c>
      <c r="FJ185" s="376">
        <v>1408200</v>
      </c>
      <c r="FK185" s="376"/>
      <c r="FL185" s="376"/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30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694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24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+Master!G27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+Master!G79</f>
        <v>Budžetski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+Master!G219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36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37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75">
      <c r="EH212" s="339"/>
    </row>
    <row r="215" spans="1:175">
      <c r="E215" s="563" t="s">
        <v>685</v>
      </c>
      <c r="F215" s="560">
        <v>2006</v>
      </c>
      <c r="G215" s="561"/>
      <c r="H215" s="561"/>
      <c r="I215" s="561"/>
      <c r="J215" s="561"/>
      <c r="K215" s="561"/>
      <c r="L215" s="561"/>
      <c r="M215" s="561"/>
      <c r="N215" s="561"/>
      <c r="O215" s="561"/>
      <c r="P215" s="561"/>
      <c r="Q215" s="562"/>
      <c r="R215" s="560">
        <v>2007</v>
      </c>
      <c r="S215" s="561"/>
      <c r="T215" s="561"/>
      <c r="U215" s="561"/>
      <c r="V215" s="561"/>
      <c r="W215" s="561"/>
      <c r="X215" s="561"/>
      <c r="Y215" s="561"/>
      <c r="Z215" s="561"/>
      <c r="AA215" s="561"/>
      <c r="AB215" s="561"/>
      <c r="AC215" s="562"/>
      <c r="AD215" s="560">
        <v>2008</v>
      </c>
      <c r="AE215" s="561"/>
      <c r="AF215" s="561"/>
      <c r="AG215" s="561"/>
      <c r="AH215" s="561"/>
      <c r="AI215" s="561"/>
      <c r="AJ215" s="561"/>
      <c r="AK215" s="561"/>
      <c r="AL215" s="561"/>
      <c r="AM215" s="561"/>
      <c r="AN215" s="561"/>
      <c r="AO215" s="562"/>
      <c r="AP215" s="560">
        <v>2009</v>
      </c>
      <c r="AQ215" s="561"/>
      <c r="AR215" s="561"/>
      <c r="AS215" s="561"/>
      <c r="AT215" s="561"/>
      <c r="AU215" s="561"/>
      <c r="AV215" s="561"/>
      <c r="AW215" s="561"/>
      <c r="AX215" s="561"/>
      <c r="AY215" s="561"/>
      <c r="AZ215" s="561"/>
      <c r="BA215" s="562"/>
      <c r="BB215" s="560">
        <v>2010</v>
      </c>
      <c r="BC215" s="561"/>
      <c r="BD215" s="561"/>
      <c r="BE215" s="561"/>
      <c r="BF215" s="561"/>
      <c r="BG215" s="561"/>
      <c r="BH215" s="561"/>
      <c r="BI215" s="561"/>
      <c r="BJ215" s="561"/>
      <c r="BK215" s="561"/>
      <c r="BL215" s="561"/>
      <c r="BM215" s="562"/>
      <c r="BN215" s="560">
        <v>2011</v>
      </c>
      <c r="BO215" s="561"/>
      <c r="BP215" s="561"/>
      <c r="BQ215" s="561"/>
      <c r="BR215" s="561"/>
      <c r="BS215" s="561"/>
      <c r="BT215" s="561"/>
      <c r="BU215" s="561"/>
      <c r="BV215" s="561"/>
      <c r="BW215" s="561"/>
      <c r="BX215" s="561"/>
      <c r="BY215" s="562"/>
      <c r="BZ215" s="561">
        <v>2012</v>
      </c>
      <c r="CA215" s="561"/>
      <c r="CB215" s="561"/>
      <c r="CC215" s="561"/>
      <c r="CD215" s="561"/>
      <c r="CE215" s="561"/>
      <c r="CF215" s="561"/>
      <c r="CG215" s="561"/>
      <c r="CH215" s="561"/>
      <c r="CI215" s="561"/>
      <c r="CJ215" s="561"/>
      <c r="CK215" s="561"/>
      <c r="CL215" s="560">
        <v>2013</v>
      </c>
      <c r="CM215" s="561"/>
      <c r="CN215" s="561"/>
      <c r="CO215" s="561"/>
      <c r="CP215" s="561"/>
      <c r="CQ215" s="561"/>
      <c r="CR215" s="561"/>
      <c r="CS215" s="561"/>
      <c r="CT215" s="561"/>
      <c r="CU215" s="561"/>
      <c r="CV215" s="561"/>
      <c r="CW215" s="562"/>
      <c r="CX215" s="560">
        <v>2014</v>
      </c>
      <c r="CY215" s="561"/>
      <c r="CZ215" s="561"/>
      <c r="DA215" s="561"/>
      <c r="DB215" s="561"/>
      <c r="DC215" s="561"/>
      <c r="DD215" s="561"/>
      <c r="DE215" s="561"/>
      <c r="DF215" s="561"/>
      <c r="DG215" s="561"/>
      <c r="DH215" s="561"/>
      <c r="DI215" s="562"/>
      <c r="DJ215" s="560">
        <v>2015</v>
      </c>
      <c r="DK215" s="561"/>
      <c r="DL215" s="561"/>
      <c r="DM215" s="561"/>
      <c r="DN215" s="561"/>
      <c r="DO215" s="561"/>
      <c r="DP215" s="561"/>
      <c r="DQ215" s="561"/>
      <c r="DR215" s="561"/>
      <c r="DS215" s="561"/>
      <c r="DT215" s="561"/>
      <c r="DU215" s="562"/>
    </row>
    <row r="216" spans="1:175">
      <c r="E216" s="563"/>
      <c r="F216" s="75" t="s">
        <v>565</v>
      </c>
      <c r="G216" s="76" t="s">
        <v>566</v>
      </c>
      <c r="H216" s="76" t="s">
        <v>567</v>
      </c>
      <c r="I216" s="76" t="s">
        <v>568</v>
      </c>
      <c r="J216" s="76" t="s">
        <v>569</v>
      </c>
      <c r="K216" s="76" t="s">
        <v>570</v>
      </c>
      <c r="L216" s="76" t="s">
        <v>571</v>
      </c>
      <c r="M216" s="76" t="s">
        <v>572</v>
      </c>
      <c r="N216" s="76" t="s">
        <v>573</v>
      </c>
      <c r="O216" s="76" t="s">
        <v>574</v>
      </c>
      <c r="P216" s="76" t="s">
        <v>575</v>
      </c>
      <c r="Q216" s="77" t="s">
        <v>576</v>
      </c>
      <c r="R216" s="75" t="s">
        <v>577</v>
      </c>
      <c r="S216" s="76" t="s">
        <v>578</v>
      </c>
      <c r="T216" s="76" t="s">
        <v>579</v>
      </c>
      <c r="U216" s="76" t="s">
        <v>580</v>
      </c>
      <c r="V216" s="76" t="s">
        <v>581</v>
      </c>
      <c r="W216" s="76" t="s">
        <v>582</v>
      </c>
      <c r="X216" s="76" t="s">
        <v>583</v>
      </c>
      <c r="Y216" s="76" t="s">
        <v>584</v>
      </c>
      <c r="Z216" s="76" t="s">
        <v>585</v>
      </c>
      <c r="AA216" s="76" t="s">
        <v>586</v>
      </c>
      <c r="AB216" s="76" t="s">
        <v>587</v>
      </c>
      <c r="AC216" s="77" t="s">
        <v>588</v>
      </c>
      <c r="AD216" s="75" t="s">
        <v>589</v>
      </c>
      <c r="AE216" s="76" t="s">
        <v>590</v>
      </c>
      <c r="AF216" s="76" t="s">
        <v>591</v>
      </c>
      <c r="AG216" s="76" t="s">
        <v>592</v>
      </c>
      <c r="AH216" s="76" t="s">
        <v>593</v>
      </c>
      <c r="AI216" s="76" t="s">
        <v>594</v>
      </c>
      <c r="AJ216" s="76" t="s">
        <v>595</v>
      </c>
      <c r="AK216" s="76" t="s">
        <v>596</v>
      </c>
      <c r="AL216" s="76" t="s">
        <v>597</v>
      </c>
      <c r="AM216" s="76" t="s">
        <v>598</v>
      </c>
      <c r="AN216" s="76" t="s">
        <v>599</v>
      </c>
      <c r="AO216" s="77" t="s">
        <v>600</v>
      </c>
      <c r="AP216" s="75" t="s">
        <v>601</v>
      </c>
      <c r="AQ216" s="76" t="s">
        <v>602</v>
      </c>
      <c r="AR216" s="76" t="s">
        <v>603</v>
      </c>
      <c r="AS216" s="76" t="s">
        <v>604</v>
      </c>
      <c r="AT216" s="76" t="s">
        <v>605</v>
      </c>
      <c r="AU216" s="76" t="s">
        <v>606</v>
      </c>
      <c r="AV216" s="76" t="s">
        <v>607</v>
      </c>
      <c r="AW216" s="76" t="s">
        <v>608</v>
      </c>
      <c r="AX216" s="76" t="s">
        <v>609</v>
      </c>
      <c r="AY216" s="76" t="s">
        <v>610</v>
      </c>
      <c r="AZ216" s="76" t="s">
        <v>611</v>
      </c>
      <c r="BA216" s="77" t="s">
        <v>612</v>
      </c>
      <c r="BB216" s="75" t="s">
        <v>613</v>
      </c>
      <c r="BC216" s="76" t="s">
        <v>614</v>
      </c>
      <c r="BD216" s="76" t="s">
        <v>615</v>
      </c>
      <c r="BE216" s="76" t="s">
        <v>616</v>
      </c>
      <c r="BF216" s="76" t="s">
        <v>617</v>
      </c>
      <c r="BG216" s="76" t="s">
        <v>618</v>
      </c>
      <c r="BH216" s="76" t="s">
        <v>619</v>
      </c>
      <c r="BI216" s="76" t="s">
        <v>620</v>
      </c>
      <c r="BJ216" s="76" t="s">
        <v>621</v>
      </c>
      <c r="BK216" s="76" t="s">
        <v>622</v>
      </c>
      <c r="BL216" s="76" t="s">
        <v>623</v>
      </c>
      <c r="BM216" s="77" t="s">
        <v>624</v>
      </c>
      <c r="BN216" s="75" t="s">
        <v>625</v>
      </c>
      <c r="BO216" s="76" t="s">
        <v>626</v>
      </c>
      <c r="BP216" s="76" t="s">
        <v>627</v>
      </c>
      <c r="BQ216" s="76" t="s">
        <v>628</v>
      </c>
      <c r="BR216" s="76" t="s">
        <v>629</v>
      </c>
      <c r="BS216" s="76" t="s">
        <v>630</v>
      </c>
      <c r="BT216" s="76" t="s">
        <v>631</v>
      </c>
      <c r="BU216" s="76" t="s">
        <v>632</v>
      </c>
      <c r="BV216" s="76" t="s">
        <v>633</v>
      </c>
      <c r="BW216" s="76" t="s">
        <v>634</v>
      </c>
      <c r="BX216" s="76" t="s">
        <v>635</v>
      </c>
      <c r="BY216" s="77" t="s">
        <v>636</v>
      </c>
      <c r="BZ216" s="76" t="s">
        <v>637</v>
      </c>
      <c r="CA216" s="76" t="s">
        <v>638</v>
      </c>
      <c r="CB216" s="76" t="s">
        <v>639</v>
      </c>
      <c r="CC216" s="76" t="s">
        <v>640</v>
      </c>
      <c r="CD216" s="76" t="s">
        <v>641</v>
      </c>
      <c r="CE216" s="76" t="s">
        <v>642</v>
      </c>
      <c r="CF216" s="76" t="s">
        <v>643</v>
      </c>
      <c r="CG216" s="76" t="s">
        <v>644</v>
      </c>
      <c r="CH216" s="76" t="s">
        <v>645</v>
      </c>
      <c r="CI216" s="76" t="s">
        <v>646</v>
      </c>
      <c r="CJ216" s="76" t="s">
        <v>647</v>
      </c>
      <c r="CK216" s="76" t="s">
        <v>648</v>
      </c>
      <c r="CL216" s="75" t="s">
        <v>649</v>
      </c>
      <c r="CM216" s="76" t="s">
        <v>650</v>
      </c>
      <c r="CN216" s="76" t="s">
        <v>651</v>
      </c>
      <c r="CO216" s="76" t="s">
        <v>652</v>
      </c>
      <c r="CP216" s="76" t="s">
        <v>653</v>
      </c>
      <c r="CQ216" s="76" t="s">
        <v>654</v>
      </c>
      <c r="CR216" s="76" t="s">
        <v>655</v>
      </c>
      <c r="CS216" s="76" t="s">
        <v>656</v>
      </c>
      <c r="CT216" s="76" t="s">
        <v>657</v>
      </c>
      <c r="CU216" s="76" t="s">
        <v>658</v>
      </c>
      <c r="CV216" s="76" t="s">
        <v>659</v>
      </c>
      <c r="CW216" s="77" t="s">
        <v>660</v>
      </c>
      <c r="CX216" s="75" t="s">
        <v>661</v>
      </c>
      <c r="CY216" s="76" t="s">
        <v>662</v>
      </c>
      <c r="CZ216" s="76" t="s">
        <v>663</v>
      </c>
      <c r="DA216" s="76" t="s">
        <v>664</v>
      </c>
      <c r="DB216" s="76" t="s">
        <v>665</v>
      </c>
      <c r="DC216" s="76" t="s">
        <v>666</v>
      </c>
      <c r="DD216" s="76" t="s">
        <v>667</v>
      </c>
      <c r="DE216" s="76" t="s">
        <v>668</v>
      </c>
      <c r="DF216" s="76" t="s">
        <v>669</v>
      </c>
      <c r="DG216" s="76" t="s">
        <v>670</v>
      </c>
      <c r="DH216" s="76" t="s">
        <v>671</v>
      </c>
      <c r="DI216" s="77" t="s">
        <v>672</v>
      </c>
      <c r="DJ216" s="75" t="s">
        <v>673</v>
      </c>
      <c r="DK216" s="76" t="s">
        <v>674</v>
      </c>
      <c r="DL216" s="76" t="s">
        <v>675</v>
      </c>
      <c r="DM216" s="76" t="s">
        <v>676</v>
      </c>
      <c r="DN216" s="76" t="s">
        <v>677</v>
      </c>
      <c r="DO216" s="76" t="s">
        <v>678</v>
      </c>
      <c r="DP216" s="76" t="s">
        <v>679</v>
      </c>
      <c r="DQ216" s="76" t="s">
        <v>680</v>
      </c>
      <c r="DR216" s="76" t="s">
        <v>681</v>
      </c>
      <c r="DS216" s="76" t="s">
        <v>682</v>
      </c>
      <c r="DT216" s="76" t="s">
        <v>683</v>
      </c>
      <c r="DU216" s="77" t="s">
        <v>684</v>
      </c>
      <c r="DV216" s="42" t="s">
        <v>715</v>
      </c>
      <c r="DW216" s="42" t="s">
        <v>716</v>
      </c>
      <c r="DX216" s="42" t="s">
        <v>717</v>
      </c>
      <c r="DY216" s="42" t="s">
        <v>718</v>
      </c>
      <c r="DZ216" s="42" t="s">
        <v>719</v>
      </c>
      <c r="EA216" s="42" t="s">
        <v>720</v>
      </c>
      <c r="EB216" s="42" t="s">
        <v>721</v>
      </c>
      <c r="EC216" s="42" t="s">
        <v>722</v>
      </c>
      <c r="ED216" s="42" t="s">
        <v>723</v>
      </c>
      <c r="EE216" s="42" t="s">
        <v>724</v>
      </c>
      <c r="EF216" s="42" t="s">
        <v>725</v>
      </c>
      <c r="EG216" s="42" t="s">
        <v>726</v>
      </c>
      <c r="EH216" s="393" t="s">
        <v>737</v>
      </c>
      <c r="EI216" s="393" t="s">
        <v>738</v>
      </c>
      <c r="EJ216" s="393" t="s">
        <v>739</v>
      </c>
      <c r="EK216" s="393" t="s">
        <v>740</v>
      </c>
      <c r="EL216" s="393" t="s">
        <v>741</v>
      </c>
      <c r="EM216" s="393" t="s">
        <v>742</v>
      </c>
      <c r="EN216" s="393" t="s">
        <v>743</v>
      </c>
      <c r="EO216" s="393" t="s">
        <v>744</v>
      </c>
      <c r="EP216" s="393" t="s">
        <v>745</v>
      </c>
      <c r="EQ216" s="393" t="s">
        <v>746</v>
      </c>
      <c r="ER216" s="393" t="s">
        <v>747</v>
      </c>
      <c r="ES216" s="393" t="s">
        <v>748</v>
      </c>
      <c r="ET216" s="393" t="s">
        <v>755</v>
      </c>
      <c r="EU216" s="393" t="s">
        <v>756</v>
      </c>
      <c r="EV216" s="393" t="s">
        <v>757</v>
      </c>
      <c r="EW216" s="393" t="s">
        <v>758</v>
      </c>
      <c r="EX216" s="393" t="s">
        <v>759</v>
      </c>
      <c r="EY216" s="393" t="s">
        <v>760</v>
      </c>
      <c r="EZ216" s="393" t="s">
        <v>761</v>
      </c>
      <c r="FA216" s="393" t="s">
        <v>762</v>
      </c>
      <c r="FB216" s="393" t="s">
        <v>763</v>
      </c>
      <c r="FC216" s="393" t="s">
        <v>764</v>
      </c>
      <c r="FD216" s="393" t="s">
        <v>765</v>
      </c>
      <c r="FE216" s="393" t="s">
        <v>766</v>
      </c>
      <c r="FF216" s="393" t="s">
        <v>779</v>
      </c>
      <c r="FG216" s="393" t="s">
        <v>780</v>
      </c>
      <c r="FH216" s="393" t="s">
        <v>781</v>
      </c>
      <c r="FI216" s="393" t="s">
        <v>782</v>
      </c>
      <c r="FJ216" s="393" t="s">
        <v>783</v>
      </c>
      <c r="FK216" s="393" t="s">
        <v>784</v>
      </c>
      <c r="FL216" s="393" t="s">
        <v>785</v>
      </c>
      <c r="FM216" s="393" t="s">
        <v>786</v>
      </c>
      <c r="FN216" s="393" t="s">
        <v>787</v>
      </c>
      <c r="FO216" s="393" t="s">
        <v>788</v>
      </c>
      <c r="FP216" s="393" t="s">
        <v>789</v>
      </c>
      <c r="FQ216" s="393" t="s">
        <v>790</v>
      </c>
      <c r="FS216" s="444"/>
    </row>
    <row r="217" spans="1:175">
      <c r="A217" s="74">
        <v>7</v>
      </c>
      <c r="B217" s="74" t="s">
        <v>96</v>
      </c>
      <c r="D217" s="74" t="str">
        <f t="shared" ref="D217:D225" si="11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75">
      <c r="B218" s="74">
        <v>71</v>
      </c>
      <c r="D218" s="74" t="str">
        <f t="shared" si="11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75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25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04">
        <v>60295851.510000005</v>
      </c>
      <c r="EU219" s="404">
        <v>64797597.330000006</v>
      </c>
      <c r="EV219" s="404">
        <v>89261850.609999985</v>
      </c>
      <c r="EW219" s="404">
        <v>97799793.080000013</v>
      </c>
      <c r="EX219" s="404">
        <v>90553351.069999993</v>
      </c>
      <c r="EY219" s="404">
        <v>87503254.430000007</v>
      </c>
      <c r="EZ219" s="404">
        <v>99397799.482830197</v>
      </c>
      <c r="FA219" s="404">
        <v>110357770.3498607</v>
      </c>
      <c r="FB219" s="404">
        <v>102093047.15872496</v>
      </c>
      <c r="FC219" s="404">
        <v>95698512.829288453</v>
      </c>
      <c r="FD219" s="404">
        <v>82424829.046484277</v>
      </c>
      <c r="FE219" s="404">
        <v>98213532.499999791</v>
      </c>
      <c r="FF219" s="445">
        <v>66350952.18828921</v>
      </c>
      <c r="FG219" s="445">
        <v>66472981.942397669</v>
      </c>
      <c r="FH219" s="445">
        <v>93002932.070390105</v>
      </c>
      <c r="FI219" s="445">
        <v>102239095.0183354</v>
      </c>
      <c r="FJ219" s="445">
        <v>94699693.448994264</v>
      </c>
      <c r="FK219" s="445">
        <v>91492613.061199591</v>
      </c>
      <c r="FL219" s="445">
        <v>112923554.20062464</v>
      </c>
      <c r="FM219" s="445">
        <v>113143297.77609694</v>
      </c>
      <c r="FN219" s="445">
        <v>103026361.00846727</v>
      </c>
      <c r="FO219" s="445">
        <v>93606542.740928665</v>
      </c>
      <c r="FP219" s="445">
        <v>84962600.741949648</v>
      </c>
      <c r="FQ219" s="445">
        <v>93740018.517628297</v>
      </c>
    </row>
    <row r="220" spans="1:175">
      <c r="D220" s="74" t="str">
        <f t="shared" si="11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  <c r="FF220" s="41">
        <v>3652899.4658571309</v>
      </c>
      <c r="FG220" s="41">
        <v>8022759.2428831048</v>
      </c>
      <c r="FH220" s="41">
        <v>9018350.9541227892</v>
      </c>
      <c r="FI220" s="41">
        <v>8926461.2777662594</v>
      </c>
      <c r="FJ220" s="41">
        <v>9315147.433583051</v>
      </c>
      <c r="FK220" s="41">
        <v>9445633.2450224012</v>
      </c>
      <c r="FL220" s="41">
        <v>10205937.595552938</v>
      </c>
      <c r="FM220" s="41">
        <v>10123433.296484467</v>
      </c>
      <c r="FN220" s="41">
        <v>8654681.0736119766</v>
      </c>
      <c r="FO220" s="41">
        <v>9265743.8443470914</v>
      </c>
      <c r="FP220" s="41">
        <v>9472310.2676257156</v>
      </c>
      <c r="FQ220" s="41">
        <v>16517258.248203963</v>
      </c>
    </row>
    <row r="221" spans="1:175">
      <c r="D221" s="74" t="str">
        <f t="shared" si="11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  <c r="FF221" s="41">
        <v>500908.59191930544</v>
      </c>
      <c r="FG221" s="41">
        <v>1728915.0269937462</v>
      </c>
      <c r="FH221" s="41">
        <v>23447142.113813326</v>
      </c>
      <c r="FI221" s="41">
        <v>19058662.940981645</v>
      </c>
      <c r="FJ221" s="41">
        <v>3928923.943707631</v>
      </c>
      <c r="FK221" s="41">
        <v>3583416.79871599</v>
      </c>
      <c r="FL221" s="41">
        <v>9457741.7110314406</v>
      </c>
      <c r="FM221" s="41">
        <v>3685443.6740218182</v>
      </c>
      <c r="FN221" s="41">
        <v>2555024.3067054795</v>
      </c>
      <c r="FO221" s="41">
        <v>1099414.7304318412</v>
      </c>
      <c r="FP221" s="41">
        <v>845177.9860074711</v>
      </c>
      <c r="FQ221" s="41">
        <v>1909016.1037912499</v>
      </c>
    </row>
    <row r="222" spans="1:175">
      <c r="D222" s="74" t="str">
        <f t="shared" si="11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  <c r="FF222" s="41">
        <v>96249.011498017411</v>
      </c>
      <c r="FG222" s="41">
        <v>120146.26435610364</v>
      </c>
      <c r="FH222" s="41">
        <v>209659.82846113556</v>
      </c>
      <c r="FI222" s="41">
        <v>121004.94574649777</v>
      </c>
      <c r="FJ222" s="41">
        <v>148306.47673758463</v>
      </c>
      <c r="FK222" s="41">
        <v>125876.16325992151</v>
      </c>
      <c r="FL222" s="41">
        <v>117744.05088327322</v>
      </c>
      <c r="FM222" s="41">
        <v>225326.54561980077</v>
      </c>
      <c r="FN222" s="41">
        <v>152871.08637766869</v>
      </c>
      <c r="FO222" s="41">
        <v>160318.03884668328</v>
      </c>
      <c r="FP222" s="41">
        <v>199620.99998265412</v>
      </c>
      <c r="FQ222" s="41">
        <v>215373.43170328165</v>
      </c>
    </row>
    <row r="223" spans="1:175">
      <c r="D223" s="74" t="str">
        <f t="shared" si="11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  <c r="FF223" s="41">
        <v>45311601.807667136</v>
      </c>
      <c r="FG223" s="41">
        <v>40500051.462180994</v>
      </c>
      <c r="FH223" s="41">
        <v>42870636.919596858</v>
      </c>
      <c r="FI223" s="41">
        <v>53276433.401434079</v>
      </c>
      <c r="FJ223" s="41">
        <v>56985238.833298653</v>
      </c>
      <c r="FK223" s="41">
        <v>55167623.820050351</v>
      </c>
      <c r="FL223" s="41">
        <v>65608697.993098289</v>
      </c>
      <c r="FM223" s="41">
        <v>67890311.931873396</v>
      </c>
      <c r="FN223" s="41">
        <v>60747048.514482975</v>
      </c>
      <c r="FO223" s="41">
        <v>60046360.535818934</v>
      </c>
      <c r="FP223" s="41">
        <v>50598426.623042114</v>
      </c>
      <c r="FQ223" s="41">
        <v>53857666.854387075</v>
      </c>
    </row>
    <row r="224" spans="1:175">
      <c r="D224" s="74" t="str">
        <f t="shared" si="11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  <c r="FF224" s="41">
        <v>14802170.311350815</v>
      </c>
      <c r="FG224" s="41">
        <v>13752359.500128729</v>
      </c>
      <c r="FH224" s="41">
        <v>14470500.314192023</v>
      </c>
      <c r="FI224" s="41">
        <v>17858265.727539971</v>
      </c>
      <c r="FJ224" s="41">
        <v>20891088.570270509</v>
      </c>
      <c r="FK224" s="41">
        <v>19831823.145692226</v>
      </c>
      <c r="FL224" s="41">
        <v>23769815.550913561</v>
      </c>
      <c r="FM224" s="41">
        <v>27414563.793734949</v>
      </c>
      <c r="FN224" s="41">
        <v>27821146.884936411</v>
      </c>
      <c r="FO224" s="41">
        <v>19593872.367677551</v>
      </c>
      <c r="FP224" s="41">
        <v>21076713.14050236</v>
      </c>
      <c r="FQ224" s="41">
        <v>18275634.395081349</v>
      </c>
    </row>
    <row r="225" spans="1:174" ht="30">
      <c r="D225" s="74" t="str">
        <f t="shared" si="11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  <c r="FF225" s="41">
        <v>1250663.2131918652</v>
      </c>
      <c r="FG225" s="41">
        <v>1722044.3795582296</v>
      </c>
      <c r="FH225" s="41">
        <v>2286430.5633199541</v>
      </c>
      <c r="FI225" s="41">
        <v>2249532.0000431878</v>
      </c>
      <c r="FJ225" s="41">
        <v>2665262.8330451054</v>
      </c>
      <c r="FK225" s="41">
        <v>2391366.8090515211</v>
      </c>
      <c r="FL225" s="41">
        <v>2874823.7198000303</v>
      </c>
      <c r="FM225" s="41">
        <v>2933294.0296025178</v>
      </c>
      <c r="FN225" s="41">
        <v>2262615.8066899669</v>
      </c>
      <c r="FO225" s="41">
        <v>2636954.7714076787</v>
      </c>
      <c r="FP225" s="41">
        <v>1951413.1885985387</v>
      </c>
      <c r="FQ225" s="41">
        <v>2103744.048736285</v>
      </c>
    </row>
    <row r="226" spans="1:174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74">
      <c r="D227" s="74" t="str">
        <f t="shared" ref="D227:D236" si="19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  <c r="FF227" s="41">
        <v>736459.78680493729</v>
      </c>
      <c r="FG227" s="41">
        <v>626706.06629676104</v>
      </c>
      <c r="FH227" s="41">
        <v>700211.37688401563</v>
      </c>
      <c r="FI227" s="41">
        <v>748734.72482375184</v>
      </c>
      <c r="FJ227" s="41">
        <v>765725.35835171666</v>
      </c>
      <c r="FK227" s="41">
        <v>946873.07940717612</v>
      </c>
      <c r="FL227" s="41">
        <v>888793.57934511674</v>
      </c>
      <c r="FM227" s="41">
        <v>870924.50475999399</v>
      </c>
      <c r="FN227" s="41">
        <v>832973.33566279267</v>
      </c>
      <c r="FO227" s="41">
        <v>803878.4523988833</v>
      </c>
      <c r="FP227" s="41">
        <v>818938.53619078756</v>
      </c>
      <c r="FQ227" s="41">
        <v>861325.43572509091</v>
      </c>
    </row>
    <row r="228" spans="1:174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41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04">
        <v>14572676.99</v>
      </c>
      <c r="EU228" s="404">
        <v>36938118.07</v>
      </c>
      <c r="EV228" s="404">
        <v>43053255.970000006</v>
      </c>
      <c r="EW228" s="404">
        <v>41029948.000000007</v>
      </c>
      <c r="EX228" s="404">
        <v>40388291.549999997</v>
      </c>
      <c r="EY228" s="404">
        <v>42077356.240000002</v>
      </c>
      <c r="EZ228" s="404">
        <v>46362054.926801726</v>
      </c>
      <c r="FA228" s="404">
        <v>45724084.253699668</v>
      </c>
      <c r="FB228" s="404">
        <v>41947258.969554022</v>
      </c>
      <c r="FC228" s="404">
        <v>44433442.802094914</v>
      </c>
      <c r="FD228" s="404">
        <v>45788790.684398532</v>
      </c>
      <c r="FE228" s="404">
        <v>79938550.463845864</v>
      </c>
      <c r="FF228" s="445">
        <v>14755895.780545458</v>
      </c>
      <c r="FG228" s="445">
        <v>37403451.017929606</v>
      </c>
      <c r="FH228" s="445">
        <v>43601797.580043353</v>
      </c>
      <c r="FI228" s="445">
        <v>41553058.121337146</v>
      </c>
      <c r="FJ228" s="445">
        <v>40898605.146830343</v>
      </c>
      <c r="FK228" s="445">
        <v>42603078.705825843</v>
      </c>
      <c r="FL228" s="445">
        <v>46250891.035691187</v>
      </c>
      <c r="FM228" s="445">
        <v>46210377.052519538</v>
      </c>
      <c r="FN228" s="445">
        <v>42496040.115985423</v>
      </c>
      <c r="FO228" s="445">
        <v>48421361.70604302</v>
      </c>
      <c r="FP228" s="445">
        <v>45532452.215976171</v>
      </c>
      <c r="FQ228" s="445">
        <v>81297365.468062162</v>
      </c>
    </row>
    <row r="229" spans="1:174" ht="30">
      <c r="D229" s="74" t="str">
        <f t="shared" si="19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  <c r="FF229" s="41">
        <v>9127432.1840227619</v>
      </c>
      <c r="FG229" s="41">
        <v>22757066.487967167</v>
      </c>
      <c r="FH229" s="41">
        <v>26489853.50225101</v>
      </c>
      <c r="FI229" s="41">
        <v>25260565.437348519</v>
      </c>
      <c r="FJ229" s="41">
        <v>24837700.78348216</v>
      </c>
      <c r="FK229" s="41">
        <v>25522109.790882807</v>
      </c>
      <c r="FL229" s="41">
        <v>27482444.037160631</v>
      </c>
      <c r="FM229" s="41">
        <v>27431759.977263737</v>
      </c>
      <c r="FN229" s="41">
        <v>25758654.549990863</v>
      </c>
      <c r="FO229" s="41">
        <v>29909297.679381389</v>
      </c>
      <c r="FP229" s="41">
        <v>28126522.515346657</v>
      </c>
      <c r="FQ229" s="41">
        <v>48976990.327575065</v>
      </c>
    </row>
    <row r="230" spans="1:174" ht="30">
      <c r="D230" s="74" t="str">
        <f t="shared" si="19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  <c r="FF230" s="41">
        <v>4949664.4366387613</v>
      </c>
      <c r="FG230" s="41">
        <v>12811801.099004392</v>
      </c>
      <c r="FH230" s="41">
        <v>14869363.320545932</v>
      </c>
      <c r="FI230" s="41">
        <v>14198899.515922202</v>
      </c>
      <c r="FJ230" s="41">
        <v>14065277.256726971</v>
      </c>
      <c r="FK230" s="41">
        <v>15027164.196316766</v>
      </c>
      <c r="FL230" s="41">
        <v>16394230.760278165</v>
      </c>
      <c r="FM230" s="41">
        <v>16398511.128757462</v>
      </c>
      <c r="FN230" s="41">
        <v>14604885.136878882</v>
      </c>
      <c r="FO230" s="41">
        <v>16272112.902301818</v>
      </c>
      <c r="FP230" s="41">
        <v>15429290.637964325</v>
      </c>
      <c r="FQ230" s="41">
        <v>28597997.946427643</v>
      </c>
    </row>
    <row r="231" spans="1:174" ht="30">
      <c r="D231" s="74" t="str">
        <f t="shared" si="19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  <c r="FF231" s="41">
        <v>351859.53156741383</v>
      </c>
      <c r="FG231" s="41">
        <v>923569.68270678399</v>
      </c>
      <c r="FH231" s="41">
        <v>1073402.2178698475</v>
      </c>
      <c r="FI231" s="41">
        <v>996973.05599738541</v>
      </c>
      <c r="FJ231" s="41">
        <v>987534.50739325164</v>
      </c>
      <c r="FK231" s="41">
        <v>1050381.0843362929</v>
      </c>
      <c r="FL231" s="41">
        <v>1142926.9664523243</v>
      </c>
      <c r="FM231" s="41">
        <v>1148438.0865313176</v>
      </c>
      <c r="FN231" s="41">
        <v>1042336.9826976907</v>
      </c>
      <c r="FO231" s="41">
        <v>1170445.1852002153</v>
      </c>
      <c r="FP231" s="41">
        <v>1112642.8807910515</v>
      </c>
      <c r="FQ231" s="41">
        <v>2066334.3255100392</v>
      </c>
    </row>
    <row r="232" spans="1:174">
      <c r="D232" s="74" t="str">
        <f t="shared" si="19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  <c r="FF232" s="41">
        <v>326939.62831652147</v>
      </c>
      <c r="FG232" s="41">
        <v>911013.74825126899</v>
      </c>
      <c r="FH232" s="41">
        <v>1169178.5393765648</v>
      </c>
      <c r="FI232" s="41">
        <v>1096620.1120690373</v>
      </c>
      <c r="FJ232" s="41">
        <v>1008092.5992279621</v>
      </c>
      <c r="FK232" s="41">
        <v>1003423.6342899711</v>
      </c>
      <c r="FL232" s="41">
        <v>1231289.271800064</v>
      </c>
      <c r="FM232" s="41">
        <v>1231667.8599670264</v>
      </c>
      <c r="FN232" s="41">
        <v>1090163.4464179957</v>
      </c>
      <c r="FO232" s="41">
        <v>1069505.9391595994</v>
      </c>
      <c r="FP232" s="41">
        <v>863996.18187413388</v>
      </c>
      <c r="FQ232" s="41">
        <v>1656042.8685494228</v>
      </c>
    </row>
    <row r="233" spans="1:174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51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04">
        <v>785627.23999999987</v>
      </c>
      <c r="EU233" s="404">
        <v>993423.94</v>
      </c>
      <c r="EV233" s="404">
        <v>1089343.29</v>
      </c>
      <c r="EW233" s="404">
        <v>1198538.77</v>
      </c>
      <c r="EX233" s="404">
        <v>1382138.7799999998</v>
      </c>
      <c r="EY233" s="404">
        <v>1539773.02</v>
      </c>
      <c r="EZ233" s="404">
        <v>1993333.2050530105</v>
      </c>
      <c r="FA233" s="404">
        <v>2094009.8411112905</v>
      </c>
      <c r="FB233" s="404">
        <v>1758705.3100069393</v>
      </c>
      <c r="FC233" s="404">
        <v>1756312.8353634721</v>
      </c>
      <c r="FD233" s="404">
        <v>1538063.0039378535</v>
      </c>
      <c r="FE233" s="404">
        <v>1571199.152751297</v>
      </c>
      <c r="FF233" s="445">
        <v>685138.90036642621</v>
      </c>
      <c r="FG233" s="445">
        <v>871672.04535604198</v>
      </c>
      <c r="FH233" s="445">
        <v>947520.73643311416</v>
      </c>
      <c r="FI233" s="445">
        <v>1037067.5822273893</v>
      </c>
      <c r="FJ233" s="445">
        <v>1197898.4298929251</v>
      </c>
      <c r="FK233" s="445">
        <v>1410094.209853129</v>
      </c>
      <c r="FL233" s="445">
        <v>1787620.5734576886</v>
      </c>
      <c r="FM233" s="445">
        <v>1693345.6465282508</v>
      </c>
      <c r="FN233" s="445">
        <v>1380625.1787412395</v>
      </c>
      <c r="FO233" s="445">
        <v>1333417.9608404613</v>
      </c>
      <c r="FP233" s="445">
        <v>1126294.7115248898</v>
      </c>
      <c r="FQ233" s="445">
        <v>1238030.6502392469</v>
      </c>
    </row>
    <row r="234" spans="1:174">
      <c r="D234" s="74" t="str">
        <f t="shared" si="19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  <c r="FF234" s="41">
        <v>464997.13576608867</v>
      </c>
      <c r="FG234" s="41">
        <v>561995.69603801146</v>
      </c>
      <c r="FH234" s="41">
        <v>653014.54830777051</v>
      </c>
      <c r="FI234" s="41">
        <v>735641.52947990969</v>
      </c>
      <c r="FJ234" s="41">
        <v>835903.95640369598</v>
      </c>
      <c r="FK234" s="41">
        <v>942151.95942995627</v>
      </c>
      <c r="FL234" s="41">
        <v>1007173.5099397091</v>
      </c>
      <c r="FM234" s="41">
        <v>876038.53588433319</v>
      </c>
      <c r="FN234" s="41">
        <v>760800.82262675336</v>
      </c>
      <c r="FO234" s="41">
        <v>806777.9331053457</v>
      </c>
      <c r="FP234" s="41">
        <v>674208.06222795055</v>
      </c>
      <c r="FQ234" s="41">
        <v>759275.58794469247</v>
      </c>
    </row>
    <row r="235" spans="1:174">
      <c r="D235" s="74" t="str">
        <f t="shared" si="19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  <c r="FF235" s="41">
        <v>99742.399316498544</v>
      </c>
      <c r="FG235" s="41">
        <v>116770.40580909733</v>
      </c>
      <c r="FH235" s="41">
        <v>128930.70403975334</v>
      </c>
      <c r="FI235" s="41">
        <v>115041.35935122269</v>
      </c>
      <c r="FJ235" s="41">
        <v>112488.35505639648</v>
      </c>
      <c r="FK235" s="41">
        <v>124071.82408811898</v>
      </c>
      <c r="FL235" s="41">
        <v>123048.60477569235</v>
      </c>
      <c r="FM235" s="41">
        <v>85238.382188353047</v>
      </c>
      <c r="FN235" s="41">
        <v>105584.03993960534</v>
      </c>
      <c r="FO235" s="41">
        <v>112222.45958703337</v>
      </c>
      <c r="FP235" s="41">
        <v>124842.67328687879</v>
      </c>
      <c r="FQ235" s="41">
        <v>147415.29633242387</v>
      </c>
    </row>
    <row r="236" spans="1:174">
      <c r="D236" s="74" t="str">
        <f t="shared" si="19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  <c r="FF236" s="41">
        <v>22028.059003534945</v>
      </c>
      <c r="FG236" s="41">
        <v>24898.816007421276</v>
      </c>
      <c r="FH236" s="41">
        <v>30917.459715251316</v>
      </c>
      <c r="FI236" s="41">
        <v>45958.24984151221</v>
      </c>
      <c r="FJ236" s="41">
        <v>74634.132786773087</v>
      </c>
      <c r="FK236" s="41">
        <v>156976.47692364466</v>
      </c>
      <c r="FL236" s="41">
        <v>360646.99185008102</v>
      </c>
      <c r="FM236" s="41">
        <v>433674.25705057522</v>
      </c>
      <c r="FN236" s="41">
        <v>239040.12329734358</v>
      </c>
      <c r="FO236" s="41">
        <v>121211.46209198405</v>
      </c>
      <c r="FP236" s="41">
        <v>78146.125782532647</v>
      </c>
      <c r="FQ236" s="41">
        <v>30050.381905864346</v>
      </c>
    </row>
    <row r="237" spans="1:174">
      <c r="D237" s="74" t="str">
        <f t="shared" ref="D237:D268" si="26">+CONCATENATE(D27,"p")</f>
        <v>7136p</v>
      </c>
      <c r="E237" s="78" t="s">
        <v>63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  <c r="FF237" s="41">
        <v>98371.306280303921</v>
      </c>
      <c r="FG237" s="41">
        <v>168007.12750151192</v>
      </c>
      <c r="FH237" s="41">
        <v>134658.02437033894</v>
      </c>
      <c r="FI237" s="41">
        <v>140426.44355474488</v>
      </c>
      <c r="FJ237" s="41">
        <v>174871.9856460595</v>
      </c>
      <c r="FK237" s="41">
        <v>186893.94941140892</v>
      </c>
      <c r="FL237" s="41">
        <v>296751.46689220611</v>
      </c>
      <c r="FM237" s="41">
        <v>298394.47140498931</v>
      </c>
      <c r="FN237" s="41">
        <v>275200.19287753734</v>
      </c>
      <c r="FO237" s="41">
        <v>293206.10605609807</v>
      </c>
      <c r="FP237" s="41">
        <v>249097.85022752784</v>
      </c>
      <c r="FQ237" s="41">
        <v>301289.38405626634</v>
      </c>
    </row>
    <row r="238" spans="1:174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65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04">
        <v>1774503.5699999998</v>
      </c>
      <c r="EU238" s="404">
        <v>1885893.46</v>
      </c>
      <c r="EV238" s="404">
        <v>2001213.06</v>
      </c>
      <c r="EW238" s="404">
        <v>2389766.7799999998</v>
      </c>
      <c r="EX238" s="404">
        <v>1530724.52</v>
      </c>
      <c r="EY238" s="404">
        <v>2860047.35</v>
      </c>
      <c r="EZ238" s="404">
        <v>2768982.89609381</v>
      </c>
      <c r="FA238" s="404">
        <v>1878964.846878767</v>
      </c>
      <c r="FB238" s="404">
        <v>2453431.0919642458</v>
      </c>
      <c r="FC238" s="404">
        <v>3062621.0292725526</v>
      </c>
      <c r="FD238" s="404">
        <v>2157522.0205821833</v>
      </c>
      <c r="FE238" s="404">
        <v>3364455.4723437326</v>
      </c>
      <c r="FF238" s="445">
        <v>1855218.8805594216</v>
      </c>
      <c r="FG238" s="445">
        <v>2208648.6574377147</v>
      </c>
      <c r="FH238" s="445">
        <v>2160316.8249254846</v>
      </c>
      <c r="FI238" s="445">
        <v>2520043.5685495138</v>
      </c>
      <c r="FJ238" s="445">
        <v>1739522.6622359063</v>
      </c>
      <c r="FK238" s="445">
        <v>4191264.8807704193</v>
      </c>
      <c r="FL238" s="445">
        <v>4295313.9043248156</v>
      </c>
      <c r="FM238" s="445">
        <v>3121689.7252436914</v>
      </c>
      <c r="FN238" s="445">
        <v>3261559.5182261439</v>
      </c>
      <c r="FO238" s="445">
        <v>3840986.6541232523</v>
      </c>
      <c r="FP238" s="445">
        <v>3190232.7257357854</v>
      </c>
      <c r="FQ238" s="445">
        <v>4110831.5851102625</v>
      </c>
      <c r="FR238" s="445"/>
    </row>
    <row r="239" spans="1:174" ht="30">
      <c r="D239" s="74" t="str">
        <f t="shared" si="26"/>
        <v>7141p</v>
      </c>
      <c r="E239" s="78" t="s">
        <v>67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  <c r="FF239" s="41">
        <v>28875.568564930189</v>
      </c>
      <c r="FG239" s="41">
        <v>44875.572696822826</v>
      </c>
      <c r="FH239" s="41">
        <v>17553.264471099159</v>
      </c>
      <c r="FI239" s="41">
        <v>81053.870902369366</v>
      </c>
      <c r="FJ239" s="41">
        <v>64947.159198093825</v>
      </c>
      <c r="FK239" s="41">
        <v>98839.402416096316</v>
      </c>
      <c r="FL239" s="41">
        <v>101176.66848700779</v>
      </c>
      <c r="FM239" s="41">
        <v>114893.6397654982</v>
      </c>
      <c r="FN239" s="41">
        <v>78717.38222930787</v>
      </c>
      <c r="FO239" s="41">
        <v>56221.257030992005</v>
      </c>
      <c r="FP239" s="41">
        <v>88076.620707315349</v>
      </c>
      <c r="FQ239" s="41">
        <v>145484.93510280762</v>
      </c>
    </row>
    <row r="240" spans="1:174" ht="30">
      <c r="D240" s="74" t="str">
        <f t="shared" si="26"/>
        <v>7142p</v>
      </c>
      <c r="E240" s="78" t="s">
        <v>69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  <c r="FF240" s="41">
        <v>141562.86831417779</v>
      </c>
      <c r="FG240" s="41">
        <v>163021.84650093986</v>
      </c>
      <c r="FH240" s="41">
        <v>570494.251135453</v>
      </c>
      <c r="FI240" s="41">
        <v>100909.0616336293</v>
      </c>
      <c r="FJ240" s="41">
        <v>333184.98740262783</v>
      </c>
      <c r="FK240" s="41">
        <v>308298.55190374801</v>
      </c>
      <c r="FL240" s="41">
        <v>473869.15255000157</v>
      </c>
      <c r="FM240" s="41">
        <v>445093.96938136074</v>
      </c>
      <c r="FN240" s="41">
        <v>312734.66376085335</v>
      </c>
      <c r="FO240" s="41">
        <v>346211.92821365705</v>
      </c>
      <c r="FP240" s="41">
        <v>294247.80162811856</v>
      </c>
      <c r="FQ240" s="41">
        <v>1068366.9857563796</v>
      </c>
    </row>
    <row r="241" spans="1:174">
      <c r="D241" s="74" t="str">
        <f t="shared" si="26"/>
        <v>7143p</v>
      </c>
      <c r="E241" s="78" t="s">
        <v>71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  <c r="FF241" s="41">
        <v>1444.8261844914489</v>
      </c>
      <c r="FG241" s="41">
        <v>1519.5817736727031</v>
      </c>
      <c r="FH241" s="41">
        <v>4455.1879544738404</v>
      </c>
      <c r="FI241" s="41">
        <v>75608.518103656024</v>
      </c>
      <c r="FJ241" s="41">
        <v>29780.383416976449</v>
      </c>
      <c r="FK241" s="41">
        <v>60781.206435506741</v>
      </c>
      <c r="FL241" s="41">
        <v>5890.087894414899</v>
      </c>
      <c r="FM241" s="41">
        <v>1751.9867714281595</v>
      </c>
      <c r="FN241" s="41">
        <v>2446.6672082865839</v>
      </c>
      <c r="FO241" s="41">
        <v>60827.049648499909</v>
      </c>
      <c r="FP241" s="41">
        <v>37636.346993943822</v>
      </c>
      <c r="FQ241" s="41">
        <v>48130.415128832094</v>
      </c>
    </row>
    <row r="242" spans="1:174" ht="30">
      <c r="D242" s="74" t="str">
        <f t="shared" si="26"/>
        <v>7144p</v>
      </c>
      <c r="E242" s="78" t="s">
        <v>73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  <c r="FF242" s="41">
        <v>600250.00662963022</v>
      </c>
      <c r="FG242" s="41">
        <v>832616.23371640488</v>
      </c>
      <c r="FH242" s="41">
        <v>755512.04622826516</v>
      </c>
      <c r="FI242" s="41">
        <v>673998.93162518588</v>
      </c>
      <c r="FJ242" s="41">
        <v>713434.71592487569</v>
      </c>
      <c r="FK242" s="41">
        <v>2831748.2291769679</v>
      </c>
      <c r="FL242" s="41">
        <v>2100477.483982163</v>
      </c>
      <c r="FM242" s="41">
        <v>1780126.9889793065</v>
      </c>
      <c r="FN242" s="41">
        <v>2000713.7867204268</v>
      </c>
      <c r="FO242" s="41">
        <v>2058645.1301735207</v>
      </c>
      <c r="FP242" s="41">
        <v>1800739.2961051478</v>
      </c>
      <c r="FQ242" s="41">
        <v>1969458.3354100042</v>
      </c>
    </row>
    <row r="243" spans="1:174">
      <c r="D243" s="74" t="str">
        <f t="shared" si="26"/>
        <v>7148p</v>
      </c>
      <c r="E243" s="78" t="s">
        <v>81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  <c r="FF243" s="41">
        <v>218134.94184724664</v>
      </c>
      <c r="FG243" s="41">
        <v>120673.72328841906</v>
      </c>
      <c r="FH243" s="41">
        <v>296069.04584731226</v>
      </c>
      <c r="FI243" s="41">
        <v>249975.22008841077</v>
      </c>
      <c r="FJ243" s="41">
        <v>279059.36230055097</v>
      </c>
      <c r="FK243" s="41">
        <v>442481.80096478161</v>
      </c>
      <c r="FL243" s="41">
        <v>448323.3190950132</v>
      </c>
      <c r="FM243" s="41">
        <v>382678.38448274112</v>
      </c>
      <c r="FN243" s="41">
        <v>274248.93143325421</v>
      </c>
      <c r="FO243" s="41">
        <v>290652.62179249222</v>
      </c>
      <c r="FP243" s="41">
        <v>246218.50367438857</v>
      </c>
      <c r="FQ243" s="41">
        <v>247376.53787151762</v>
      </c>
    </row>
    <row r="244" spans="1:174">
      <c r="D244" s="74" t="str">
        <f t="shared" si="26"/>
        <v>7149p</v>
      </c>
      <c r="E244" s="78" t="s">
        <v>83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  <c r="FF244" s="41">
        <v>864950.66901894531</v>
      </c>
      <c r="FG244" s="41">
        <v>1045941.6994614557</v>
      </c>
      <c r="FH244" s="41">
        <v>516233.02928888117</v>
      </c>
      <c r="FI244" s="41">
        <v>1338497.966196262</v>
      </c>
      <c r="FJ244" s="41">
        <v>319116.05399278156</v>
      </c>
      <c r="FK244" s="41">
        <v>449115.6898733186</v>
      </c>
      <c r="FL244" s="41">
        <v>1165577.192316215</v>
      </c>
      <c r="FM244" s="41">
        <v>397144.75586335664</v>
      </c>
      <c r="FN244" s="41">
        <v>592698.08687401493</v>
      </c>
      <c r="FO244" s="41">
        <v>1028428.6672640902</v>
      </c>
      <c r="FP244" s="41">
        <v>723314.15662687132</v>
      </c>
      <c r="FQ244" s="41">
        <v>632014.37584072165</v>
      </c>
    </row>
    <row r="245" spans="1:174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85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04">
        <v>2425520.8099999996</v>
      </c>
      <c r="EU245" s="404">
        <v>1609741.96</v>
      </c>
      <c r="EV245" s="404">
        <v>2046839.3099999998</v>
      </c>
      <c r="EW245" s="404">
        <v>5482431.4299999997</v>
      </c>
      <c r="EX245" s="404">
        <v>2151437.83</v>
      </c>
      <c r="EY245" s="404">
        <v>2740294.16</v>
      </c>
      <c r="EZ245" s="404">
        <v>3610099.6149461018</v>
      </c>
      <c r="FA245" s="404">
        <v>2856432.7673175023</v>
      </c>
      <c r="FB245" s="404">
        <v>38693622.019299239</v>
      </c>
      <c r="FC245" s="404">
        <v>3080614.3453884441</v>
      </c>
      <c r="FD245" s="404">
        <v>2054798.3756645597</v>
      </c>
      <c r="FE245" s="404">
        <v>4981072.0471647922</v>
      </c>
      <c r="FF245" s="445">
        <v>2472817.1107659615</v>
      </c>
      <c r="FG245" s="445">
        <v>1708264.0259820949</v>
      </c>
      <c r="FH245" s="445">
        <v>2148919.5517814872</v>
      </c>
      <c r="FI245" s="445">
        <v>5548847.6983012091</v>
      </c>
      <c r="FJ245" s="445">
        <v>2280721.0376326158</v>
      </c>
      <c r="FK245" s="445">
        <v>2912728.6031032563</v>
      </c>
      <c r="FL245" s="445">
        <v>37135630.113963775</v>
      </c>
      <c r="FM245" s="445">
        <v>3640067.9349820986</v>
      </c>
      <c r="FN245" s="445">
        <v>2890126.2156034028</v>
      </c>
      <c r="FO245" s="445">
        <v>2425421.1272468185</v>
      </c>
      <c r="FP245" s="445">
        <v>3602398.7755843252</v>
      </c>
      <c r="FQ245" s="445">
        <v>4081286.7718351102</v>
      </c>
      <c r="FR245" s="445"/>
    </row>
    <row r="246" spans="1:174">
      <c r="D246" s="74" t="str">
        <f t="shared" si="26"/>
        <v>7151p</v>
      </c>
      <c r="E246" s="78" t="s">
        <v>87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  <c r="FF246" s="41">
        <v>720598.1329269805</v>
      </c>
      <c r="FG246" s="41">
        <v>25448.898323478374</v>
      </c>
      <c r="FH246" s="41">
        <v>201299.63791009565</v>
      </c>
      <c r="FI246" s="41">
        <v>1848204.5293393778</v>
      </c>
      <c r="FJ246" s="41">
        <v>57098.791203728157</v>
      </c>
      <c r="FK246" s="41">
        <v>89935.867369765096</v>
      </c>
      <c r="FL246" s="41">
        <v>33069107.908891369</v>
      </c>
      <c r="FM246" s="41">
        <v>21215.989032920785</v>
      </c>
      <c r="FN246" s="41">
        <v>641038.65966066718</v>
      </c>
      <c r="FO246" s="41">
        <v>29471.377122629176</v>
      </c>
      <c r="FP246" s="41">
        <v>82517.189184354618</v>
      </c>
      <c r="FQ246" s="41">
        <v>1044558.195022619</v>
      </c>
    </row>
    <row r="247" spans="1:174" ht="30">
      <c r="D247" s="74" t="str">
        <f t="shared" si="26"/>
        <v>7152p</v>
      </c>
      <c r="E247" s="78" t="s">
        <v>89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  <c r="FF247" s="41">
        <v>699783.15376893466</v>
      </c>
      <c r="FG247" s="41">
        <v>899426.22924703988</v>
      </c>
      <c r="FH247" s="41">
        <v>916614.47283246869</v>
      </c>
      <c r="FI247" s="41">
        <v>1065842.153062643</v>
      </c>
      <c r="FJ247" s="41">
        <v>932723.45156571385</v>
      </c>
      <c r="FK247" s="41">
        <v>1216404.1463896362</v>
      </c>
      <c r="FL247" s="41">
        <v>1972486.0112601863</v>
      </c>
      <c r="FM247" s="41">
        <v>1825585.356120175</v>
      </c>
      <c r="FN247" s="41">
        <v>1075914.5570111992</v>
      </c>
      <c r="FO247" s="41">
        <v>1128865.58155773</v>
      </c>
      <c r="FP247" s="41">
        <v>911989.10679554439</v>
      </c>
      <c r="FQ247" s="41">
        <v>1137039.8916399325</v>
      </c>
    </row>
    <row r="248" spans="1:174" ht="30">
      <c r="D248" s="74" t="str">
        <f t="shared" si="26"/>
        <v>7153p</v>
      </c>
      <c r="E248" s="78" t="s">
        <v>91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  <c r="FF248" s="41">
        <v>149699.17025454235</v>
      </c>
      <c r="FG248" s="41">
        <v>213452.14604030436</v>
      </c>
      <c r="FH248" s="41">
        <v>261210.87519159322</v>
      </c>
      <c r="FI248" s="41">
        <v>316492.92586901254</v>
      </c>
      <c r="FJ248" s="41">
        <v>373921.77889513603</v>
      </c>
      <c r="FK248" s="41">
        <v>500253.90842819522</v>
      </c>
      <c r="FL248" s="41">
        <v>532625.20097478468</v>
      </c>
      <c r="FM248" s="41">
        <v>295413.66008686851</v>
      </c>
      <c r="FN248" s="41">
        <v>343529.18271079258</v>
      </c>
      <c r="FO248" s="41">
        <v>366765.22111832118</v>
      </c>
      <c r="FP248" s="41">
        <v>323565.0330284689</v>
      </c>
      <c r="FQ248" s="41">
        <v>343934.32015595073</v>
      </c>
    </row>
    <row r="249" spans="1:174">
      <c r="D249" s="74" t="str">
        <f t="shared" si="26"/>
        <v>7155p</v>
      </c>
      <c r="E249" s="78" t="s">
        <v>85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  <c r="FF249" s="41">
        <v>902736.65381550393</v>
      </c>
      <c r="FG249" s="41">
        <v>569936.75237127219</v>
      </c>
      <c r="FH249" s="41">
        <v>769794.56584732956</v>
      </c>
      <c r="FI249" s="41">
        <v>2318308.0900301752</v>
      </c>
      <c r="FJ249" s="41">
        <v>916977.01596803789</v>
      </c>
      <c r="FK249" s="41">
        <v>1106134.6809156598</v>
      </c>
      <c r="FL249" s="41">
        <v>1561410.9928374363</v>
      </c>
      <c r="FM249" s="41">
        <v>1497852.9297421344</v>
      </c>
      <c r="FN249" s="41">
        <v>829643.81622074381</v>
      </c>
      <c r="FO249" s="41">
        <v>900318.94744813791</v>
      </c>
      <c r="FP249" s="41">
        <v>2284327.4465759574</v>
      </c>
      <c r="FQ249" s="41">
        <v>1555754.3650166083</v>
      </c>
    </row>
    <row r="250" spans="1:174" s="9" customFormat="1">
      <c r="A250" s="139"/>
      <c r="B250" s="139">
        <v>72</v>
      </c>
      <c r="C250" s="139" t="s">
        <v>96</v>
      </c>
      <c r="D250" s="139" t="str">
        <f t="shared" si="26"/>
        <v>72p</v>
      </c>
      <c r="E250" s="140" t="s">
        <v>97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  <c r="FF250" s="9">
        <v>500000</v>
      </c>
      <c r="FG250" s="9">
        <v>500000</v>
      </c>
      <c r="FH250" s="9">
        <v>500000</v>
      </c>
      <c r="FI250" s="9">
        <v>500000</v>
      </c>
      <c r="FJ250" s="9">
        <v>500000</v>
      </c>
      <c r="FK250" s="9">
        <v>500000</v>
      </c>
      <c r="FL250" s="9">
        <v>500000</v>
      </c>
      <c r="FM250" s="9">
        <v>500000</v>
      </c>
      <c r="FN250" s="9">
        <v>500000</v>
      </c>
      <c r="FO250" s="9">
        <v>500000</v>
      </c>
      <c r="FP250" s="9">
        <v>500000</v>
      </c>
      <c r="FQ250" s="9">
        <v>500000</v>
      </c>
    </row>
    <row r="251" spans="1:174" ht="30">
      <c r="C251" s="74">
        <v>721</v>
      </c>
      <c r="D251" s="74" t="str">
        <f t="shared" si="26"/>
        <v>7212p</v>
      </c>
      <c r="E251" s="78" t="s">
        <v>99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74" ht="30">
      <c r="C252" s="74">
        <v>722</v>
      </c>
      <c r="D252" s="74" t="str">
        <f t="shared" si="26"/>
        <v>7222p</v>
      </c>
      <c r="E252" s="78" t="s">
        <v>101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74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103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9">
        <v>122332.2402857355</v>
      </c>
      <c r="FG253" s="9">
        <v>56015.006608868236</v>
      </c>
      <c r="FH253" s="9">
        <v>139149.43248455049</v>
      </c>
      <c r="FI253" s="9">
        <v>315693.23519635049</v>
      </c>
      <c r="FJ253" s="9">
        <v>775525.38983070524</v>
      </c>
      <c r="FK253" s="9">
        <v>1688457.7339032646</v>
      </c>
      <c r="FL253" s="9">
        <v>126661.80329058008</v>
      </c>
      <c r="FM253" s="9">
        <v>104377.85625098775</v>
      </c>
      <c r="FN253" s="9">
        <v>644991.41029727901</v>
      </c>
      <c r="FO253" s="9">
        <v>373666.68197151314</v>
      </c>
      <c r="FP253" s="9">
        <v>3007848.3296865965</v>
      </c>
      <c r="FQ253" s="9">
        <v>512189.13373121392</v>
      </c>
    </row>
    <row r="254" spans="1:174">
      <c r="B254" s="74" t="s">
        <v>96</v>
      </c>
      <c r="C254" s="74">
        <v>731</v>
      </c>
      <c r="D254" s="74" t="str">
        <f t="shared" si="26"/>
        <v>7311p</v>
      </c>
      <c r="E254" s="78" t="s">
        <v>105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  <c r="FF254" s="41">
        <v>122332.2402857355</v>
      </c>
      <c r="FG254" s="41">
        <v>56015.006608868236</v>
      </c>
      <c r="FH254" s="41">
        <v>139149.43248455049</v>
      </c>
      <c r="FI254" s="41">
        <v>315693.23519635049</v>
      </c>
      <c r="FJ254" s="41">
        <v>775525.38983070524</v>
      </c>
      <c r="FK254" s="41">
        <v>1688457.7339032646</v>
      </c>
      <c r="FL254" s="41">
        <v>126661.80329058008</v>
      </c>
      <c r="FM254" s="41">
        <v>104377.85625098775</v>
      </c>
      <c r="FN254" s="41">
        <v>644991.41029727901</v>
      </c>
      <c r="FO254" s="41">
        <v>373666.68197151314</v>
      </c>
      <c r="FP254" s="41">
        <v>3007848.3296865965</v>
      </c>
      <c r="FQ254" s="41">
        <v>512189.13373121392</v>
      </c>
    </row>
    <row r="255" spans="1:174" ht="30">
      <c r="C255" s="74">
        <v>732</v>
      </c>
      <c r="D255" s="74" t="str">
        <f t="shared" si="26"/>
        <v>7321p</v>
      </c>
      <c r="E255" s="78" t="s">
        <v>107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74" s="9" customFormat="1">
      <c r="A256" s="139"/>
      <c r="B256" s="139">
        <v>74</v>
      </c>
      <c r="C256" s="139" t="s">
        <v>96</v>
      </c>
      <c r="D256" s="139" t="str">
        <f t="shared" si="26"/>
        <v>74p</v>
      </c>
      <c r="E256" s="140" t="s">
        <v>109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9">
        <v>13900267.095136527</v>
      </c>
      <c r="FG256" s="9">
        <v>1483068.7561633477</v>
      </c>
      <c r="FH256" s="9">
        <v>2311164.8648863789</v>
      </c>
      <c r="FI256" s="9">
        <v>3220925.9094750378</v>
      </c>
      <c r="FJ256" s="9">
        <v>3335426.2947824779</v>
      </c>
      <c r="FK256" s="9">
        <v>2930185.4845741447</v>
      </c>
      <c r="FL256" s="9">
        <v>1487222.9580633398</v>
      </c>
      <c r="FM256" s="9">
        <v>1494727.7085961688</v>
      </c>
      <c r="FN256" s="9">
        <v>1256927.0639557138</v>
      </c>
      <c r="FO256" s="9">
        <v>2914661.9432842401</v>
      </c>
      <c r="FP256" s="9">
        <v>9560814.8118033875</v>
      </c>
      <c r="FQ256" s="9">
        <v>7504607.1092792293</v>
      </c>
    </row>
    <row r="257" spans="1:174">
      <c r="C257" s="74">
        <v>741</v>
      </c>
      <c r="D257" s="74" t="str">
        <f t="shared" si="26"/>
        <v>7411p</v>
      </c>
      <c r="E257" s="78" t="s">
        <v>111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  <c r="FF257" s="41">
        <v>13900267.095136527</v>
      </c>
      <c r="FG257" s="41">
        <v>1483068.7561633477</v>
      </c>
      <c r="FH257" s="41">
        <v>2311164.8648863789</v>
      </c>
      <c r="FI257" s="41">
        <v>3220925.9094750378</v>
      </c>
      <c r="FJ257" s="41">
        <v>3335426.2947824779</v>
      </c>
      <c r="FK257" s="41">
        <v>2930185.4845741447</v>
      </c>
      <c r="FL257" s="41">
        <v>1487222.9580633398</v>
      </c>
      <c r="FM257" s="41">
        <v>1494727.7085961688</v>
      </c>
      <c r="FN257" s="41">
        <v>1256927.0639557138</v>
      </c>
      <c r="FO257" s="41">
        <v>2914661.9432842401</v>
      </c>
      <c r="FP257" s="41">
        <v>9560814.8118033875</v>
      </c>
      <c r="FQ257" s="41">
        <v>7504607.1092792293</v>
      </c>
    </row>
    <row r="258" spans="1:174">
      <c r="C258" s="74">
        <v>742</v>
      </c>
      <c r="D258" s="74" t="str">
        <f t="shared" si="26"/>
        <v>7421p</v>
      </c>
      <c r="E258" s="78" t="s">
        <v>113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74">
      <c r="B259" s="74">
        <v>75</v>
      </c>
      <c r="D259" s="74" t="str">
        <f t="shared" si="26"/>
        <v>75p</v>
      </c>
      <c r="E259" s="78" t="s">
        <v>115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74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117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  <c r="FF260" s="447">
        <v>24022843.850000001</v>
      </c>
      <c r="FG260" s="447">
        <v>0</v>
      </c>
      <c r="FH260" s="447">
        <v>107399337.39</v>
      </c>
      <c r="FI260" s="447">
        <v>15000000</v>
      </c>
      <c r="FJ260" s="447">
        <v>112000000</v>
      </c>
      <c r="FK260" s="447">
        <v>17000000</v>
      </c>
      <c r="FL260" s="447">
        <v>17000000</v>
      </c>
      <c r="FM260" s="447">
        <v>15000000</v>
      </c>
      <c r="FN260" s="447">
        <v>17000000</v>
      </c>
      <c r="FO260" s="447">
        <v>17000000</v>
      </c>
      <c r="FP260" s="447">
        <v>15000000</v>
      </c>
      <c r="FQ260" s="447">
        <v>13577818.76</v>
      </c>
    </row>
    <row r="261" spans="1:174" ht="30">
      <c r="D261" s="74" t="str">
        <f t="shared" si="26"/>
        <v>7511p</v>
      </c>
      <c r="E261" s="78" t="s">
        <v>118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  <c r="FH261" s="41">
        <v>95000000</v>
      </c>
      <c r="FJ261" s="41">
        <v>95000000</v>
      </c>
    </row>
    <row r="262" spans="1:174" ht="30">
      <c r="D262" s="74" t="str">
        <f t="shared" si="26"/>
        <v>7512p</v>
      </c>
      <c r="E262" s="78" t="s">
        <v>120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  <c r="FF262" s="41">
        <v>24022843.850000001</v>
      </c>
      <c r="FH262" s="41">
        <v>12399337.390000001</v>
      </c>
      <c r="FI262" s="41">
        <v>15000000</v>
      </c>
      <c r="FJ262" s="41">
        <v>17000000</v>
      </c>
      <c r="FK262" s="41">
        <v>17000000</v>
      </c>
      <c r="FL262" s="41">
        <v>17000000</v>
      </c>
      <c r="FM262" s="41">
        <v>15000000</v>
      </c>
      <c r="FN262" s="41">
        <v>17000000</v>
      </c>
      <c r="FO262" s="41">
        <v>17000000</v>
      </c>
      <c r="FP262" s="41">
        <v>15000000</v>
      </c>
      <c r="FQ262" s="41">
        <v>13577818.76</v>
      </c>
    </row>
    <row r="263" spans="1:174">
      <c r="A263" s="74">
        <v>4</v>
      </c>
      <c r="B263" s="74" t="s">
        <v>96</v>
      </c>
      <c r="D263" s="74" t="str">
        <f t="shared" si="26"/>
        <v>p</v>
      </c>
      <c r="E263" s="78" t="s">
        <v>122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74">
      <c r="A264" s="74" t="s">
        <v>96</v>
      </c>
      <c r="B264" s="74">
        <v>41</v>
      </c>
      <c r="D264" s="74" t="str">
        <f t="shared" si="26"/>
        <v>41p</v>
      </c>
      <c r="E264" s="78" t="s">
        <v>124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74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126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03">
        <v>36581480.009166665</v>
      </c>
      <c r="EU265" s="403">
        <v>36581480.009166665</v>
      </c>
      <c r="EV265" s="403">
        <v>36581480.009166665</v>
      </c>
      <c r="EW265" s="403">
        <v>36581480.009166665</v>
      </c>
      <c r="EX265" s="403">
        <v>36581480.009166665</v>
      </c>
      <c r="EY265" s="403">
        <v>36581480.009166665</v>
      </c>
      <c r="EZ265" s="403">
        <v>36581480.009166665</v>
      </c>
      <c r="FA265" s="403">
        <v>36581480.009166665</v>
      </c>
      <c r="FB265" s="403">
        <v>42330489.099166654</v>
      </c>
      <c r="FC265" s="403">
        <v>42330489.099166654</v>
      </c>
      <c r="FD265" s="403">
        <v>42330489.099166654</v>
      </c>
      <c r="FE265" s="403">
        <v>42330489.099166654</v>
      </c>
      <c r="FF265" s="403">
        <v>39362332.101666681</v>
      </c>
      <c r="FG265" s="403">
        <v>39125646.701666676</v>
      </c>
      <c r="FH265" s="403">
        <v>39113380.221666679</v>
      </c>
      <c r="FI265" s="403">
        <v>39105431.161666669</v>
      </c>
      <c r="FJ265" s="403">
        <v>39107573.981666677</v>
      </c>
      <c r="FK265" s="403">
        <v>41935580.18166668</v>
      </c>
      <c r="FL265" s="403">
        <v>39107470.111666672</v>
      </c>
      <c r="FM265" s="403">
        <v>39093383.891666673</v>
      </c>
      <c r="FN265" s="403">
        <v>39030288.911666676</v>
      </c>
      <c r="FO265" s="403">
        <v>39107584.94166667</v>
      </c>
      <c r="FP265" s="403">
        <v>39107395.941666678</v>
      </c>
      <c r="FQ265" s="403">
        <v>38863330.00166668</v>
      </c>
      <c r="FR265" s="403">
        <v>472059398.15000004</v>
      </c>
    </row>
    <row r="266" spans="1:174">
      <c r="D266" s="74" t="str">
        <f t="shared" si="26"/>
        <v>4111p</v>
      </c>
      <c r="E266" s="78" t="s">
        <v>128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74">
      <c r="D267" s="74" t="str">
        <f t="shared" si="26"/>
        <v>4112p</v>
      </c>
      <c r="E267" s="78" t="s">
        <v>130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74">
      <c r="D268" s="74" t="str">
        <f t="shared" si="26"/>
        <v>4113p</v>
      </c>
      <c r="E268" s="78" t="s">
        <v>131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74">
      <c r="D269" s="74" t="str">
        <f t="shared" ref="D269:D300" si="41">+CONCATENATE(D59,"p")</f>
        <v>4114p</v>
      </c>
      <c r="E269" s="78" t="s">
        <v>133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74">
      <c r="D270" s="74" t="str">
        <f t="shared" si="41"/>
        <v>4115p</v>
      </c>
      <c r="E270" s="78" t="s">
        <v>135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74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137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03">
        <v>1045765.8483333333</v>
      </c>
      <c r="EU271" s="403">
        <v>1045765.8483333333</v>
      </c>
      <c r="EV271" s="403">
        <v>1045765.8483333333</v>
      </c>
      <c r="EW271" s="403">
        <v>1064654.7372222226</v>
      </c>
      <c r="EX271" s="403">
        <v>1064654.7372222226</v>
      </c>
      <c r="EY271" s="403">
        <v>1064654.7372222226</v>
      </c>
      <c r="EZ271" s="403">
        <v>1064654.7372222226</v>
      </c>
      <c r="FA271" s="403">
        <v>1064654.7372222226</v>
      </c>
      <c r="FB271" s="403">
        <v>1064654.7372222201</v>
      </c>
      <c r="FC271" s="403">
        <v>1064654.7372222201</v>
      </c>
      <c r="FD271" s="403">
        <v>1064654.7372222226</v>
      </c>
      <c r="FE271" s="403">
        <v>1608087.7372222189</v>
      </c>
      <c r="FF271" s="403">
        <v>1281057.9508333332</v>
      </c>
      <c r="FG271" s="403">
        <v>1323983.3608333331</v>
      </c>
      <c r="FH271" s="403">
        <v>1260740.2808333333</v>
      </c>
      <c r="FI271" s="403">
        <v>1247473.6108333331</v>
      </c>
      <c r="FJ271" s="403">
        <v>1248015.2908333333</v>
      </c>
      <c r="FK271" s="403">
        <v>1249948.9408333332</v>
      </c>
      <c r="FL271" s="403">
        <v>1249158.6208333333</v>
      </c>
      <c r="FM271" s="403">
        <v>1249158.6208333333</v>
      </c>
      <c r="FN271" s="403">
        <v>1249658.6108333331</v>
      </c>
      <c r="FO271" s="403">
        <v>1239658.6108333331</v>
      </c>
      <c r="FP271" s="403">
        <v>1238097.2408333332</v>
      </c>
      <c r="FQ271" s="403">
        <v>1235674.3108333333</v>
      </c>
      <c r="FR271" s="403">
        <v>15072625.449999999</v>
      </c>
    </row>
    <row r="272" spans="1:174">
      <c r="D272" s="74" t="str">
        <f t="shared" si="41"/>
        <v>4121p</v>
      </c>
      <c r="E272" s="78" t="s">
        <v>139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74" ht="30">
      <c r="D273" s="74" t="str">
        <f t="shared" si="41"/>
        <v>4122p</v>
      </c>
      <c r="E273" s="78" t="s">
        <v>141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74">
      <c r="D274" s="74" t="str">
        <f t="shared" si="41"/>
        <v>4123p</v>
      </c>
      <c r="E274" s="78" t="s">
        <v>143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74">
      <c r="D275" s="74" t="str">
        <f t="shared" si="41"/>
        <v>4124p</v>
      </c>
      <c r="E275" s="78" t="s">
        <v>145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74">
      <c r="D276" s="74" t="str">
        <f t="shared" si="41"/>
        <v>4125p</v>
      </c>
      <c r="E276" s="78" t="s">
        <v>147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74" ht="30">
      <c r="D277" s="74" t="str">
        <f t="shared" si="41"/>
        <v>4126p</v>
      </c>
      <c r="E277" s="78" t="s">
        <v>149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74">
      <c r="D278" s="74" t="str">
        <f t="shared" si="41"/>
        <v>4127p</v>
      </c>
      <c r="E278" s="78" t="s">
        <v>83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74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152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03">
        <v>2429373.3213333334</v>
      </c>
      <c r="EU279" s="403">
        <v>2429373.3213333334</v>
      </c>
      <c r="EV279" s="403">
        <v>2429373.3213333334</v>
      </c>
      <c r="EW279" s="403">
        <v>2429373.3213333334</v>
      </c>
      <c r="EX279" s="403">
        <v>2429373.3213333334</v>
      </c>
      <c r="EY279" s="403">
        <v>2429373.3213333334</v>
      </c>
      <c r="EZ279" s="403">
        <v>3644059.9819999994</v>
      </c>
      <c r="FA279" s="403">
        <v>3644059.9819999994</v>
      </c>
      <c r="FB279" s="403">
        <v>4454463.4019999988</v>
      </c>
      <c r="FC279" s="403">
        <v>4454463.4019999988</v>
      </c>
      <c r="FD279" s="403">
        <v>4454463.4019999988</v>
      </c>
      <c r="FE279" s="403">
        <v>4454463.4019999988</v>
      </c>
      <c r="FF279" s="403">
        <v>3067786.435833334</v>
      </c>
      <c r="FG279" s="403">
        <v>3019826.0658333339</v>
      </c>
      <c r="FH279" s="403">
        <v>3058309.8858333337</v>
      </c>
      <c r="FI279" s="403">
        <v>3046755.8058333341</v>
      </c>
      <c r="FJ279" s="403">
        <v>3057105.8058333341</v>
      </c>
      <c r="FK279" s="403">
        <v>3056755.8058333341</v>
      </c>
      <c r="FL279" s="403">
        <v>3059180.8058333341</v>
      </c>
      <c r="FM279" s="403">
        <v>3059180.8058333341</v>
      </c>
      <c r="FN279" s="403">
        <v>3059040.8058333341</v>
      </c>
      <c r="FO279" s="403">
        <v>3063161.8058333341</v>
      </c>
      <c r="FP279" s="403">
        <v>3060771.8058333341</v>
      </c>
      <c r="FQ279" s="403">
        <v>3044951.8258333337</v>
      </c>
      <c r="FR279" s="403">
        <v>36652827.660000004</v>
      </c>
    </row>
    <row r="280" spans="1:174">
      <c r="D280" s="74" t="str">
        <f t="shared" si="41"/>
        <v>4131p</v>
      </c>
      <c r="E280" s="78" t="s">
        <v>154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74">
      <c r="D281" s="74" t="str">
        <f t="shared" si="41"/>
        <v>4132p</v>
      </c>
      <c r="E281" s="78" t="s">
        <v>156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74">
      <c r="D282" s="74" t="str">
        <f t="shared" si="41"/>
        <v>4133p</v>
      </c>
      <c r="E282" s="78" t="s">
        <v>158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74">
      <c r="D283" s="74" t="str">
        <f t="shared" si="41"/>
        <v>4134p</v>
      </c>
      <c r="E283" s="78" t="s">
        <v>160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74">
      <c r="D284" s="74" t="str">
        <f t="shared" si="41"/>
        <v>4135p</v>
      </c>
      <c r="E284" s="78" t="s">
        <v>162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74">
      <c r="D285" s="74" t="str">
        <f t="shared" si="41"/>
        <v>4139p</v>
      </c>
      <c r="E285" s="78" t="s">
        <v>164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74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166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03">
        <v>3986420.5893333331</v>
      </c>
      <c r="EU286" s="403">
        <v>3986420.5893333331</v>
      </c>
      <c r="EV286" s="403">
        <v>3986420.5893333331</v>
      </c>
      <c r="EW286" s="403">
        <v>4097531.7004444432</v>
      </c>
      <c r="EX286" s="403">
        <v>4097531.7004444432</v>
      </c>
      <c r="EY286" s="403">
        <v>4097531.7004444432</v>
      </c>
      <c r="EZ286" s="403">
        <v>6090741.9951111097</v>
      </c>
      <c r="FA286" s="403">
        <v>6090741.9951111097</v>
      </c>
      <c r="FB286" s="403">
        <v>5577148.0201111175</v>
      </c>
      <c r="FC286" s="403">
        <v>5577148.0201111175</v>
      </c>
      <c r="FD286" s="403">
        <v>5577148.0201111175</v>
      </c>
      <c r="FE286" s="403">
        <v>5577148.0201111175</v>
      </c>
      <c r="FF286" s="403">
        <v>6120514.5875000004</v>
      </c>
      <c r="FG286" s="403">
        <v>5971668.0075000003</v>
      </c>
      <c r="FH286" s="403">
        <v>5177760.0175000001</v>
      </c>
      <c r="FI286" s="403">
        <v>5087042.1275000004</v>
      </c>
      <c r="FJ286" s="403">
        <v>5141875.5275000008</v>
      </c>
      <c r="FK286" s="403">
        <v>5197534.4975000005</v>
      </c>
      <c r="FL286" s="403">
        <v>5045534.8375000004</v>
      </c>
      <c r="FM286" s="403">
        <v>5057538.8375000004</v>
      </c>
      <c r="FN286" s="403">
        <v>5162334.3375000004</v>
      </c>
      <c r="FO286" s="403">
        <v>5048700.9275000002</v>
      </c>
      <c r="FP286" s="403">
        <v>5048329.2575000003</v>
      </c>
      <c r="FQ286" s="403">
        <v>4986898.6075000009</v>
      </c>
      <c r="FR286" s="403">
        <v>63045731.57</v>
      </c>
    </row>
    <row r="287" spans="1:174">
      <c r="D287" s="74" t="str">
        <f t="shared" si="41"/>
        <v>4141p</v>
      </c>
      <c r="E287" s="78" t="s">
        <v>168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74">
      <c r="D288" s="74" t="str">
        <f t="shared" si="41"/>
        <v>4142p</v>
      </c>
      <c r="E288" s="78" t="s">
        <v>170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74">
      <c r="D289" s="74" t="str">
        <f t="shared" si="41"/>
        <v>4143p</v>
      </c>
      <c r="E289" s="78" t="s">
        <v>172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74" ht="30">
      <c r="D290" s="74" t="str">
        <f t="shared" si="41"/>
        <v>4144p</v>
      </c>
      <c r="E290" s="78" t="s">
        <v>174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74">
      <c r="D291" s="74" t="str">
        <f t="shared" si="41"/>
        <v>4145p</v>
      </c>
      <c r="E291" s="78" t="s">
        <v>176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74" ht="30">
      <c r="D292" s="74" t="str">
        <f t="shared" si="41"/>
        <v>4146p</v>
      </c>
      <c r="E292" s="78" t="s">
        <v>178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74" ht="30">
      <c r="D293" s="74" t="str">
        <f t="shared" si="41"/>
        <v>4147p</v>
      </c>
      <c r="E293" s="78" t="s">
        <v>180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74">
      <c r="D294" s="74" t="str">
        <f t="shared" si="41"/>
        <v>4148p</v>
      </c>
      <c r="E294" s="78" t="s">
        <v>182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74">
      <c r="D295" s="74" t="str">
        <f t="shared" si="41"/>
        <v>4149p</v>
      </c>
      <c r="E295" s="78" t="s">
        <v>184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74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186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03">
        <v>1860319.3983333334</v>
      </c>
      <c r="EU296" s="403">
        <v>1860319.3983333334</v>
      </c>
      <c r="EV296" s="403">
        <v>1860319.3983333334</v>
      </c>
      <c r="EW296" s="403">
        <v>1860319.3983333334</v>
      </c>
      <c r="EX296" s="403">
        <v>1860319.3983333334</v>
      </c>
      <c r="EY296" s="403">
        <v>1860319.3983333334</v>
      </c>
      <c r="EZ296" s="403">
        <v>1860319.3983333334</v>
      </c>
      <c r="FA296" s="403">
        <v>1860319.3983333334</v>
      </c>
      <c r="FB296" s="403">
        <v>1850732.9058333328</v>
      </c>
      <c r="FC296" s="403">
        <v>1850732.9058333328</v>
      </c>
      <c r="FD296" s="403">
        <v>1850732.9058333328</v>
      </c>
      <c r="FE296" s="403">
        <v>1850732.9058333328</v>
      </c>
      <c r="FF296" s="403">
        <v>1931829.4616666667</v>
      </c>
      <c r="FG296" s="403">
        <v>1929704.3816666668</v>
      </c>
      <c r="FH296" s="403">
        <v>1921162.7116666667</v>
      </c>
      <c r="FI296" s="403">
        <v>1920662.7116666667</v>
      </c>
      <c r="FJ296" s="403">
        <v>1927678.7016666669</v>
      </c>
      <c r="FK296" s="403">
        <v>1927612.7316666667</v>
      </c>
      <c r="FL296" s="403">
        <v>1934953.7116666667</v>
      </c>
      <c r="FM296" s="403">
        <v>1934887.7116666667</v>
      </c>
      <c r="FN296" s="403">
        <v>1926953.7016666669</v>
      </c>
      <c r="FO296" s="403">
        <v>1926887.7016666669</v>
      </c>
      <c r="FP296" s="403">
        <v>1926953.7016666669</v>
      </c>
      <c r="FQ296" s="403">
        <v>1908616.3716666668</v>
      </c>
      <c r="FR296" s="403">
        <v>23117903.600000001</v>
      </c>
    </row>
    <row r="297" spans="1:174" ht="30">
      <c r="D297" s="74" t="str">
        <f t="shared" si="41"/>
        <v>4151p</v>
      </c>
      <c r="E297" s="78" t="s">
        <v>188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74" ht="30">
      <c r="D298" s="74" t="str">
        <f t="shared" si="41"/>
        <v>4152p</v>
      </c>
      <c r="E298" s="78" t="s">
        <v>190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74">
      <c r="D299" s="74" t="str">
        <f t="shared" si="41"/>
        <v>4153p</v>
      </c>
      <c r="E299" s="78" t="s">
        <v>192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74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194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03">
        <v>7122725</v>
      </c>
      <c r="EU300" s="403">
        <v>7122725</v>
      </c>
      <c r="EV300" s="403">
        <v>7122725</v>
      </c>
      <c r="EW300" s="403">
        <v>7122725</v>
      </c>
      <c r="EX300" s="403">
        <v>7122725</v>
      </c>
      <c r="EY300" s="403">
        <v>7122725</v>
      </c>
      <c r="EZ300" s="403">
        <v>7122725</v>
      </c>
      <c r="FA300" s="403">
        <v>7122725</v>
      </c>
      <c r="FB300" s="403">
        <v>7615225</v>
      </c>
      <c r="FC300" s="403">
        <v>7615225</v>
      </c>
      <c r="FD300" s="403">
        <v>7615225</v>
      </c>
      <c r="FE300" s="403">
        <v>7615225</v>
      </c>
      <c r="FF300" s="403">
        <v>7980725.0000000009</v>
      </c>
      <c r="FG300" s="403">
        <v>986719.96000000054</v>
      </c>
      <c r="FH300" s="403">
        <v>28101499.100000001</v>
      </c>
      <c r="FI300" s="403">
        <v>18499732.100000001</v>
      </c>
      <c r="FJ300" s="403">
        <v>14045836.270000001</v>
      </c>
      <c r="FK300" s="403">
        <v>1973802.6600000008</v>
      </c>
      <c r="FL300" s="403">
        <v>8764475.7899999991</v>
      </c>
      <c r="FM300" s="403">
        <v>1297206.1400000008</v>
      </c>
      <c r="FN300" s="403">
        <v>3140325.8000000007</v>
      </c>
      <c r="FO300" s="403">
        <v>1321292.0800000008</v>
      </c>
      <c r="FP300" s="403">
        <v>7803737.330000001</v>
      </c>
      <c r="FQ300" s="403">
        <v>1837347.7700000007</v>
      </c>
      <c r="FR300" s="403">
        <v>95752699.999999985</v>
      </c>
    </row>
    <row r="301" spans="1:174">
      <c r="D301" s="74" t="str">
        <f t="shared" ref="D301:D329" si="57">+CONCATENATE(D91,"p")</f>
        <v>4161p</v>
      </c>
      <c r="E301" s="78" t="s">
        <v>196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74">
      <c r="D302" s="74" t="str">
        <f t="shared" si="57"/>
        <v>4162p</v>
      </c>
      <c r="E302" s="78" t="s">
        <v>198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74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200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03">
        <v>800010.93333333347</v>
      </c>
      <c r="EU303" s="403">
        <v>800010.93333333347</v>
      </c>
      <c r="EV303" s="403">
        <v>800010.93333333347</v>
      </c>
      <c r="EW303" s="403">
        <v>800010.93333333347</v>
      </c>
      <c r="EX303" s="403">
        <v>800010.93333333347</v>
      </c>
      <c r="EY303" s="403">
        <v>800010.93333333347</v>
      </c>
      <c r="EZ303" s="403">
        <v>800010.93333333347</v>
      </c>
      <c r="FA303" s="403">
        <v>800010.93333333347</v>
      </c>
      <c r="FB303" s="403">
        <v>986109.29833333322</v>
      </c>
      <c r="FC303" s="403">
        <v>986109.29833333322</v>
      </c>
      <c r="FD303" s="403">
        <v>986109.29833333322</v>
      </c>
      <c r="FE303" s="403">
        <v>986109.29833333322</v>
      </c>
      <c r="FF303" s="403">
        <v>832820.39</v>
      </c>
      <c r="FG303" s="403">
        <v>780840.39</v>
      </c>
      <c r="FH303" s="403">
        <v>793807.47</v>
      </c>
      <c r="FI303" s="403">
        <v>776070.39</v>
      </c>
      <c r="FJ303" s="403">
        <v>793070.39</v>
      </c>
      <c r="FK303" s="403">
        <v>826070.39</v>
      </c>
      <c r="FL303" s="403">
        <v>846570.39</v>
      </c>
      <c r="FM303" s="403">
        <v>846570.39</v>
      </c>
      <c r="FN303" s="403">
        <v>826570.39</v>
      </c>
      <c r="FO303" s="403">
        <v>826570.39</v>
      </c>
      <c r="FP303" s="403">
        <v>826570.39</v>
      </c>
      <c r="FQ303" s="403">
        <v>845570.39</v>
      </c>
      <c r="FR303" s="403">
        <v>9821101.7599999998</v>
      </c>
    </row>
    <row r="304" spans="1:174">
      <c r="D304" s="74" t="str">
        <f t="shared" si="57"/>
        <v>4171p</v>
      </c>
      <c r="E304" s="78" t="s">
        <v>202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74">
      <c r="D305" s="74" t="str">
        <f t="shared" si="57"/>
        <v>4172p</v>
      </c>
      <c r="E305" s="78" t="s">
        <v>204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74">
      <c r="D306" s="74" t="str">
        <f t="shared" si="57"/>
        <v>4173p</v>
      </c>
      <c r="E306" s="78" t="s">
        <v>206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74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208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03">
        <v>2250983.3333333335</v>
      </c>
      <c r="EU307" s="403">
        <v>2250983.3333333335</v>
      </c>
      <c r="EV307" s="403">
        <v>2250983.3333333335</v>
      </c>
      <c r="EW307" s="403">
        <v>2250983.3333333335</v>
      </c>
      <c r="EX307" s="403">
        <v>2250983.3333333335</v>
      </c>
      <c r="EY307" s="403">
        <v>2250983.3333333335</v>
      </c>
      <c r="EZ307" s="403">
        <v>2250983.3333333335</v>
      </c>
      <c r="FA307" s="403">
        <v>2250983.3333333335</v>
      </c>
      <c r="FB307" s="403">
        <v>2180983.3333333344</v>
      </c>
      <c r="FC307" s="403">
        <v>2180983.3333333344</v>
      </c>
      <c r="FD307" s="403">
        <v>2180983.3333333344</v>
      </c>
      <c r="FE307" s="403">
        <v>2180983.3333333344</v>
      </c>
      <c r="FF307" s="403">
        <v>2149037.4966666666</v>
      </c>
      <c r="FG307" s="403">
        <v>2320829.9566666665</v>
      </c>
      <c r="FH307" s="403">
        <v>4834564.4966666671</v>
      </c>
      <c r="FI307" s="403">
        <v>2443787.4966666666</v>
      </c>
      <c r="FJ307" s="403">
        <v>2190037.4966666666</v>
      </c>
      <c r="FK307" s="403">
        <v>1990037.4966666666</v>
      </c>
      <c r="FL307" s="403">
        <v>1956704.1566666667</v>
      </c>
      <c r="FM307" s="403">
        <v>2253357.6966666663</v>
      </c>
      <c r="FN307" s="403">
        <v>4447481.1566666672</v>
      </c>
      <c r="FO307" s="403">
        <v>2156704.1566666663</v>
      </c>
      <c r="FP307" s="403">
        <v>2056704.1966666668</v>
      </c>
      <c r="FQ307" s="403">
        <v>2015354.1966666668</v>
      </c>
      <c r="FR307" s="403">
        <v>30814599.999999993</v>
      </c>
    </row>
    <row r="308" spans="1:174" ht="30">
      <c r="D308" s="74" t="str">
        <f t="shared" si="57"/>
        <v>4181p</v>
      </c>
      <c r="E308" s="78" t="s">
        <v>210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74">
      <c r="D309" s="74" t="str">
        <f t="shared" si="57"/>
        <v>4182p</v>
      </c>
      <c r="E309" s="78" t="s">
        <v>212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74">
      <c r="D310" s="74" t="str">
        <f t="shared" si="57"/>
        <v>4183p</v>
      </c>
      <c r="E310" s="78" t="s">
        <v>214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74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216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03">
        <v>2581823.9339999999</v>
      </c>
      <c r="EU311" s="403">
        <v>2581823.9339999999</v>
      </c>
      <c r="EV311" s="403">
        <v>2581823.9339999999</v>
      </c>
      <c r="EW311" s="403">
        <v>2696268.3784444444</v>
      </c>
      <c r="EX311" s="403">
        <v>2696268.3784444444</v>
      </c>
      <c r="EY311" s="403">
        <v>2696268.3784444444</v>
      </c>
      <c r="EZ311" s="403">
        <v>3987180.345444445</v>
      </c>
      <c r="FA311" s="403">
        <v>3987180.345444445</v>
      </c>
      <c r="FB311" s="403">
        <v>3877323.0754444436</v>
      </c>
      <c r="FC311" s="403">
        <v>3877323.0754444436</v>
      </c>
      <c r="FD311" s="403">
        <v>3877323.0754444436</v>
      </c>
      <c r="FE311" s="403">
        <v>3877323.0754444436</v>
      </c>
      <c r="FF311" s="403">
        <v>3473855.870833334</v>
      </c>
      <c r="FG311" s="403">
        <v>4119817.790833334</v>
      </c>
      <c r="FH311" s="403">
        <v>5047234.1108333347</v>
      </c>
      <c r="FI311" s="403">
        <v>3132271.9408333339</v>
      </c>
      <c r="FJ311" s="403">
        <v>3070265.2508333339</v>
      </c>
      <c r="FK311" s="403">
        <v>3309652.560833334</v>
      </c>
      <c r="FL311" s="403">
        <v>4272049.5508333351</v>
      </c>
      <c r="FM311" s="403">
        <v>3177649.6708333334</v>
      </c>
      <c r="FN311" s="403">
        <v>3136649.6408333336</v>
      </c>
      <c r="FO311" s="403">
        <v>3127759.6208333336</v>
      </c>
      <c r="FP311" s="403">
        <v>3164504.6508333334</v>
      </c>
      <c r="FQ311" s="403">
        <v>3064612.7408333337</v>
      </c>
      <c r="FR311" s="403">
        <v>42096323.400000006</v>
      </c>
    </row>
    <row r="312" spans="1:174" ht="30">
      <c r="D312" s="74" t="str">
        <f t="shared" si="57"/>
        <v>4191p</v>
      </c>
      <c r="E312" s="78" t="s">
        <v>218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74" ht="30">
      <c r="D313" s="74" t="str">
        <f t="shared" si="57"/>
        <v>4192p</v>
      </c>
      <c r="E313" s="78" t="s">
        <v>220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74">
      <c r="D314" s="74" t="str">
        <f t="shared" si="57"/>
        <v>4193p</v>
      </c>
      <c r="E314" s="78" t="s">
        <v>222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74">
      <c r="D315" s="74" t="str">
        <f t="shared" si="57"/>
        <v>4194p</v>
      </c>
      <c r="E315" s="78" t="s">
        <v>224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74" ht="45">
      <c r="D316" s="74" t="str">
        <f t="shared" si="57"/>
        <v>4195p</v>
      </c>
      <c r="E316" s="78" t="s">
        <v>226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74">
      <c r="D317" s="74" t="str">
        <f t="shared" si="57"/>
        <v>4196p</v>
      </c>
      <c r="E317" s="78" t="s">
        <v>228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74">
      <c r="D318" s="74" t="str">
        <f t="shared" si="57"/>
        <v>4197p</v>
      </c>
      <c r="E318" s="78" t="s">
        <v>230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74">
      <c r="D319" s="74" t="str">
        <f t="shared" si="57"/>
        <v>4198p</v>
      </c>
      <c r="E319" s="78" t="s">
        <v>51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74">
      <c r="D320" s="74" t="str">
        <f t="shared" si="57"/>
        <v>4199p</v>
      </c>
      <c r="E320" s="78" t="s">
        <v>232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74" s="9" customFormat="1">
      <c r="A321" s="139"/>
      <c r="B321" s="139">
        <v>42</v>
      </c>
      <c r="C321" s="139" t="s">
        <v>96</v>
      </c>
      <c r="D321" s="139" t="str">
        <f t="shared" si="57"/>
        <v>p</v>
      </c>
      <c r="E321" s="140" t="s">
        <v>234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03">
        <v>45950724.162500009</v>
      </c>
      <c r="EU321" s="403">
        <v>45950724.162500009</v>
      </c>
      <c r="EV321" s="403">
        <v>45950724.162500009</v>
      </c>
      <c r="EW321" s="403">
        <v>45950724.162500009</v>
      </c>
      <c r="EX321" s="403">
        <v>45950724.162500009</v>
      </c>
      <c r="EY321" s="403">
        <v>45950724.162500009</v>
      </c>
      <c r="EZ321" s="403">
        <v>45950724.162500009</v>
      </c>
      <c r="FA321" s="403">
        <v>45950724.162500009</v>
      </c>
      <c r="FB321" s="403">
        <v>47831745.139999971</v>
      </c>
      <c r="FC321" s="403">
        <v>47831745.139999971</v>
      </c>
      <c r="FD321" s="403">
        <v>47831745.139999971</v>
      </c>
      <c r="FE321" s="403">
        <v>47831745.139999971</v>
      </c>
      <c r="FF321" s="403">
        <v>46204849.909999982</v>
      </c>
      <c r="FG321" s="403">
        <v>46206149.810000002</v>
      </c>
      <c r="FH321" s="403">
        <v>46206149.810000002</v>
      </c>
      <c r="FI321" s="403">
        <v>46206149.810000002</v>
      </c>
      <c r="FJ321" s="403">
        <v>46206149.810000002</v>
      </c>
      <c r="FK321" s="403">
        <v>46206149.810000002</v>
      </c>
      <c r="FL321" s="403">
        <v>46206149.810000002</v>
      </c>
      <c r="FM321" s="403">
        <v>46206149.810000002</v>
      </c>
      <c r="FN321" s="403">
        <v>46206149.810000002</v>
      </c>
      <c r="FO321" s="403">
        <v>46206149.810000002</v>
      </c>
      <c r="FP321" s="403">
        <v>46206149.810000002</v>
      </c>
      <c r="FQ321" s="403">
        <v>46206149.810000002</v>
      </c>
      <c r="FR321" s="403">
        <v>554472497.81999993</v>
      </c>
    </row>
    <row r="322" spans="1:174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236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03">
        <v>6651000</v>
      </c>
      <c r="EU322" s="403">
        <v>6651000</v>
      </c>
      <c r="EV322" s="403">
        <v>6651000</v>
      </c>
      <c r="EW322" s="403">
        <v>6651000</v>
      </c>
      <c r="EX322" s="403">
        <v>6651000</v>
      </c>
      <c r="EY322" s="403">
        <v>6651000</v>
      </c>
      <c r="EZ322" s="403">
        <v>6651000</v>
      </c>
      <c r="FA322" s="403">
        <v>6651000</v>
      </c>
      <c r="FB322" s="403">
        <v>7394520.9774999991</v>
      </c>
      <c r="FC322" s="403">
        <v>7394520.9774999991</v>
      </c>
      <c r="FD322" s="403">
        <v>7394520.9774999991</v>
      </c>
      <c r="FE322" s="403">
        <v>7394520.9774999991</v>
      </c>
      <c r="FF322" s="403">
        <v>6747975.0000000028</v>
      </c>
      <c r="FG322" s="403">
        <v>6749275.0000000028</v>
      </c>
      <c r="FH322" s="403">
        <v>6749275.0000000028</v>
      </c>
      <c r="FI322" s="403">
        <v>6749275.0000000028</v>
      </c>
      <c r="FJ322" s="403">
        <v>6749275.0000000028</v>
      </c>
      <c r="FK322" s="403">
        <v>6749275.0000000028</v>
      </c>
      <c r="FL322" s="403">
        <v>6749275.0000000028</v>
      </c>
      <c r="FM322" s="403">
        <v>6749275.0000000028</v>
      </c>
      <c r="FN322" s="403">
        <v>6749275.0000000028</v>
      </c>
      <c r="FO322" s="403">
        <v>6749275.0000000028</v>
      </c>
      <c r="FP322" s="403">
        <v>6749275.0000000028</v>
      </c>
      <c r="FQ322" s="403">
        <v>6749275.0000000028</v>
      </c>
      <c r="FR322" s="403">
        <v>80990000.000000015</v>
      </c>
    </row>
    <row r="323" spans="1:174">
      <c r="C323" s="74" t="s">
        <v>96</v>
      </c>
      <c r="D323" s="74" t="str">
        <f t="shared" si="57"/>
        <v>4211p</v>
      </c>
      <c r="E323" s="78" t="s">
        <v>238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74">
      <c r="D324" s="74" t="str">
        <f t="shared" si="57"/>
        <v>4212p</v>
      </c>
      <c r="E324" s="78" t="s">
        <v>240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74" ht="30">
      <c r="D325" s="74" t="str">
        <f t="shared" si="57"/>
        <v>4213p</v>
      </c>
      <c r="E325" s="78" t="s">
        <v>242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74">
      <c r="D326" s="74" t="str">
        <f t="shared" si="57"/>
        <v>4214p</v>
      </c>
      <c r="E326" s="78" t="s">
        <v>244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74">
      <c r="D327" s="74" t="str">
        <f t="shared" si="57"/>
        <v>4215p</v>
      </c>
      <c r="E327" s="78" t="s">
        <v>246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74" ht="30">
      <c r="D328" s="74" t="str">
        <f t="shared" si="57"/>
        <v>4216p</v>
      </c>
      <c r="E328" s="78" t="s">
        <v>248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74" ht="30">
      <c r="D329" s="74" t="str">
        <f t="shared" si="57"/>
        <v>4217p</v>
      </c>
      <c r="E329" s="78" t="s">
        <v>250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74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252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03">
        <v>1699899.96</v>
      </c>
      <c r="EU330" s="403">
        <v>1699899.96</v>
      </c>
      <c r="EV330" s="403">
        <v>1699899.96</v>
      </c>
      <c r="EW330" s="403">
        <v>1699899.96</v>
      </c>
      <c r="EX330" s="403">
        <v>1699899.96</v>
      </c>
      <c r="EY330" s="403">
        <v>1699899.96</v>
      </c>
      <c r="EZ330" s="403">
        <v>1699899.96</v>
      </c>
      <c r="FA330" s="403">
        <v>1699899.96</v>
      </c>
      <c r="FB330" s="403">
        <v>924899.9599999981</v>
      </c>
      <c r="FC330" s="403">
        <v>924899.9599999981</v>
      </c>
      <c r="FD330" s="403">
        <v>924899.9599999981</v>
      </c>
      <c r="FE330" s="403">
        <v>924899.9599999981</v>
      </c>
      <c r="FF330" s="403">
        <v>1236031.8000000014</v>
      </c>
      <c r="FG330" s="403">
        <v>1236031.8699999999</v>
      </c>
      <c r="FH330" s="403">
        <v>1236031.8699999999</v>
      </c>
      <c r="FI330" s="403">
        <v>1236031.8699999999</v>
      </c>
      <c r="FJ330" s="403">
        <v>1236031.8699999999</v>
      </c>
      <c r="FK330" s="403">
        <v>1236031.8699999999</v>
      </c>
      <c r="FL330" s="403">
        <v>1236031.8699999999</v>
      </c>
      <c r="FM330" s="403">
        <v>1236031.8699999999</v>
      </c>
      <c r="FN330" s="403">
        <v>1236031.8699999999</v>
      </c>
      <c r="FO330" s="403">
        <v>1236031.8699999999</v>
      </c>
      <c r="FP330" s="403">
        <v>1236031.8699999999</v>
      </c>
      <c r="FQ330" s="403">
        <v>1236031.8699999999</v>
      </c>
      <c r="FR330" s="403">
        <v>14832382.369999997</v>
      </c>
    </row>
    <row r="331" spans="1:174">
      <c r="D331" s="74" t="str">
        <f t="shared" si="73"/>
        <v>4221p</v>
      </c>
      <c r="E331" s="78" t="s">
        <v>254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74" ht="30">
      <c r="D332" s="74" t="str">
        <f t="shared" si="73"/>
        <v>4222p</v>
      </c>
      <c r="E332" s="78" t="s">
        <v>256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74">
      <c r="D333" s="74" t="str">
        <f t="shared" si="73"/>
        <v>4223p</v>
      </c>
      <c r="E333" s="78" t="s">
        <v>258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74">
      <c r="D334" s="74" t="str">
        <f t="shared" si="73"/>
        <v>4224p</v>
      </c>
      <c r="E334" s="78" t="s">
        <v>260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74">
      <c r="D335" s="74" t="str">
        <f t="shared" si="73"/>
        <v>4225p</v>
      </c>
      <c r="E335" s="78" t="s">
        <v>232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74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263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03">
        <v>35472732.535833336</v>
      </c>
      <c r="EU336" s="403">
        <v>35472732.535833336</v>
      </c>
      <c r="EV336" s="403">
        <v>35472732.535833336</v>
      </c>
      <c r="EW336" s="403">
        <v>35472732.535833336</v>
      </c>
      <c r="EX336" s="403">
        <v>35472732.535833336</v>
      </c>
      <c r="EY336" s="403">
        <v>35472732.535833336</v>
      </c>
      <c r="EZ336" s="403">
        <v>35472732.535833336</v>
      </c>
      <c r="FA336" s="403">
        <v>35472732.535833336</v>
      </c>
      <c r="FB336" s="403">
        <v>35472732.535833336</v>
      </c>
      <c r="FC336" s="403">
        <v>35472732.535833336</v>
      </c>
      <c r="FD336" s="403">
        <v>35472732.535833336</v>
      </c>
      <c r="FE336" s="403">
        <v>35472732.535833336</v>
      </c>
      <c r="FF336" s="403">
        <v>35752084.619999975</v>
      </c>
      <c r="FG336" s="403">
        <v>35752084.530000001</v>
      </c>
      <c r="FH336" s="403">
        <v>35752084.530000001</v>
      </c>
      <c r="FI336" s="403">
        <v>35752084.530000001</v>
      </c>
      <c r="FJ336" s="403">
        <v>35752084.530000001</v>
      </c>
      <c r="FK336" s="403">
        <v>35752084.530000001</v>
      </c>
      <c r="FL336" s="403">
        <v>35752084.530000001</v>
      </c>
      <c r="FM336" s="403">
        <v>35752084.530000001</v>
      </c>
      <c r="FN336" s="403">
        <v>35752084.530000001</v>
      </c>
      <c r="FO336" s="403">
        <v>35752084.530000001</v>
      </c>
      <c r="FP336" s="403">
        <v>35752084.530000001</v>
      </c>
      <c r="FQ336" s="403">
        <v>35752084.530000001</v>
      </c>
      <c r="FR336" s="403">
        <v>429025014.44999993</v>
      </c>
    </row>
    <row r="337" spans="1:174">
      <c r="D337" s="74" t="str">
        <f t="shared" si="73"/>
        <v>4231p</v>
      </c>
      <c r="E337" s="78" t="s">
        <v>265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74">
      <c r="D338" s="74" t="str">
        <f t="shared" si="73"/>
        <v>4232p</v>
      </c>
      <c r="E338" s="78" t="s">
        <v>267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74">
      <c r="D339" s="74" t="str">
        <f t="shared" si="73"/>
        <v>4233p</v>
      </c>
      <c r="E339" s="78" t="s">
        <v>269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74">
      <c r="D340" s="74" t="str">
        <f t="shared" si="73"/>
        <v>4234p</v>
      </c>
      <c r="E340" s="78" t="s">
        <v>65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74">
      <c r="D341" s="74" t="str">
        <f t="shared" si="73"/>
        <v>4235p</v>
      </c>
      <c r="E341" s="78" t="s">
        <v>272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74">
      <c r="D342" s="74" t="str">
        <f t="shared" si="73"/>
        <v>4236p</v>
      </c>
      <c r="E342" s="78" t="s">
        <v>274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74" ht="30">
      <c r="D343" s="74" t="str">
        <f t="shared" si="73"/>
        <v>4237p</v>
      </c>
      <c r="E343" s="78" t="s">
        <v>276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74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278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03">
        <v>1375008.3333333333</v>
      </c>
      <c r="EU344" s="403">
        <v>1375008.3333333333</v>
      </c>
      <c r="EV344" s="403">
        <v>1375008.3333333333</v>
      </c>
      <c r="EW344" s="403">
        <v>1375008.3333333333</v>
      </c>
      <c r="EX344" s="403">
        <v>1375008.3333333333</v>
      </c>
      <c r="EY344" s="403">
        <v>1375008.3333333333</v>
      </c>
      <c r="EZ344" s="403">
        <v>1375008.3333333333</v>
      </c>
      <c r="FA344" s="403">
        <v>1375008.3333333333</v>
      </c>
      <c r="FB344" s="403">
        <v>2000008.3333333328</v>
      </c>
      <c r="FC344" s="403">
        <v>2000008.3333333328</v>
      </c>
      <c r="FD344" s="403">
        <v>2000008.3333333328</v>
      </c>
      <c r="FE344" s="403">
        <v>2000008.3333333328</v>
      </c>
      <c r="FF344" s="403">
        <v>1583341.7399999984</v>
      </c>
      <c r="FG344" s="403">
        <v>1583341.6600000001</v>
      </c>
      <c r="FH344" s="403">
        <v>1583341.6600000001</v>
      </c>
      <c r="FI344" s="403">
        <v>1583341.6600000001</v>
      </c>
      <c r="FJ344" s="403">
        <v>1583341.6600000001</v>
      </c>
      <c r="FK344" s="403">
        <v>1583341.6600000001</v>
      </c>
      <c r="FL344" s="403">
        <v>1583341.6600000001</v>
      </c>
      <c r="FM344" s="403">
        <v>1583341.6600000001</v>
      </c>
      <c r="FN344" s="403">
        <v>1583341.6600000001</v>
      </c>
      <c r="FO344" s="403">
        <v>1583341.6600000001</v>
      </c>
      <c r="FP344" s="403">
        <v>1583341.6600000001</v>
      </c>
      <c r="FQ344" s="403">
        <v>1583341.6600000001</v>
      </c>
      <c r="FR344" s="403">
        <v>19000100</v>
      </c>
    </row>
    <row r="345" spans="1:174">
      <c r="D345" s="74" t="str">
        <f t="shared" si="73"/>
        <v>4241p</v>
      </c>
      <c r="E345" s="78" t="s">
        <v>280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74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282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03">
        <v>752083.33333333337</v>
      </c>
      <c r="EU346" s="403">
        <v>752083.33333333337</v>
      </c>
      <c r="EV346" s="403">
        <v>752083.33333333337</v>
      </c>
      <c r="EW346" s="403">
        <v>752083.33333333337</v>
      </c>
      <c r="EX346" s="403">
        <v>752083.33333333337</v>
      </c>
      <c r="EY346" s="403">
        <v>752083.33333333337</v>
      </c>
      <c r="EZ346" s="403">
        <v>752083.33333333337</v>
      </c>
      <c r="FA346" s="403">
        <v>752083.33333333337</v>
      </c>
      <c r="FB346" s="403">
        <v>2039583.333333334</v>
      </c>
      <c r="FC346" s="403">
        <v>2039583.333333334</v>
      </c>
      <c r="FD346" s="403">
        <v>2039583.333333334</v>
      </c>
      <c r="FE346" s="403">
        <v>2039583.333333334</v>
      </c>
      <c r="FF346" s="403">
        <v>885416.75</v>
      </c>
      <c r="FG346" s="403">
        <v>885416.75</v>
      </c>
      <c r="FH346" s="403">
        <v>885416.75</v>
      </c>
      <c r="FI346" s="403">
        <v>885416.75</v>
      </c>
      <c r="FJ346" s="403">
        <v>885416.75</v>
      </c>
      <c r="FK346" s="403">
        <v>885416.75</v>
      </c>
      <c r="FL346" s="403">
        <v>885416.75</v>
      </c>
      <c r="FM346" s="403">
        <v>885416.75</v>
      </c>
      <c r="FN346" s="403">
        <v>885416.75</v>
      </c>
      <c r="FO346" s="403">
        <v>885416.75</v>
      </c>
      <c r="FP346" s="403">
        <v>885416.75</v>
      </c>
      <c r="FQ346" s="403">
        <v>885416.75</v>
      </c>
      <c r="FR346" s="403">
        <v>10625001</v>
      </c>
    </row>
    <row r="347" spans="1:174">
      <c r="D347" s="74" t="str">
        <f t="shared" si="73"/>
        <v>4251p</v>
      </c>
      <c r="E347" s="78" t="s">
        <v>284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74" ht="30">
      <c r="D348" s="74" t="str">
        <f t="shared" si="73"/>
        <v>4252p</v>
      </c>
      <c r="E348" s="78" t="s">
        <v>286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74" ht="30">
      <c r="D349" s="74" t="str">
        <f t="shared" si="73"/>
        <v>4253p</v>
      </c>
      <c r="E349" s="78" t="s">
        <v>288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74" s="9" customFormat="1" ht="45">
      <c r="A350" s="139" t="s">
        <v>96</v>
      </c>
      <c r="B350" s="139">
        <v>43</v>
      </c>
      <c r="C350" s="139"/>
      <c r="D350" s="139" t="str">
        <f t="shared" si="73"/>
        <v>43p</v>
      </c>
      <c r="E350" s="140" t="s">
        <v>290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03">
        <v>15295211.558333334</v>
      </c>
      <c r="EU350" s="403">
        <v>15295211.558333334</v>
      </c>
      <c r="EV350" s="403">
        <v>15295211.558333334</v>
      </c>
      <c r="EW350" s="403">
        <v>18161878.224999998</v>
      </c>
      <c r="EX350" s="403">
        <v>18161878.224999998</v>
      </c>
      <c r="EY350" s="403">
        <v>18161878.224999998</v>
      </c>
      <c r="EZ350" s="403">
        <v>15295211.558333334</v>
      </c>
      <c r="FA350" s="403">
        <v>15295211.558333334</v>
      </c>
      <c r="FB350" s="403">
        <v>18930636.555833336</v>
      </c>
      <c r="FC350" s="403">
        <v>18930636.555833336</v>
      </c>
      <c r="FD350" s="403">
        <v>18930636.555833336</v>
      </c>
      <c r="FE350" s="403">
        <v>18930636.555833336</v>
      </c>
      <c r="FF350" s="403">
        <v>20338750.958333332</v>
      </c>
      <c r="FG350" s="403">
        <v>22018439.158333331</v>
      </c>
      <c r="FH350" s="403">
        <v>17975691.918333333</v>
      </c>
      <c r="FI350" s="403">
        <v>15972358.598333333</v>
      </c>
      <c r="FJ350" s="403">
        <v>15993608.598333333</v>
      </c>
      <c r="FK350" s="403">
        <v>16020602.668333333</v>
      </c>
      <c r="FL350" s="403">
        <v>20840700.928333335</v>
      </c>
      <c r="FM350" s="403">
        <v>15963999.858333332</v>
      </c>
      <c r="FN350" s="403">
        <v>15983999.858333332</v>
      </c>
      <c r="FO350" s="403">
        <v>15915666.518333333</v>
      </c>
      <c r="FP350" s="403">
        <v>15858166.538333332</v>
      </c>
      <c r="FQ350" s="403">
        <v>16016549.358333332</v>
      </c>
      <c r="FR350" s="403">
        <v>208898534.95999995</v>
      </c>
    </row>
    <row r="351" spans="1:174" s="9" customFormat="1" ht="45">
      <c r="A351" s="139" t="s">
        <v>96</v>
      </c>
      <c r="B351" s="139" t="s">
        <v>96</v>
      </c>
      <c r="C351" s="139">
        <v>431</v>
      </c>
      <c r="D351" s="139" t="str">
        <f t="shared" si="73"/>
        <v>431p</v>
      </c>
      <c r="E351" s="140" t="s">
        <v>290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03">
        <v>14810545.166666666</v>
      </c>
      <c r="EU351" s="403">
        <v>14810545.166666666</v>
      </c>
      <c r="EV351" s="403">
        <v>14810545.166666666</v>
      </c>
      <c r="EW351" s="403">
        <v>17677211.833333332</v>
      </c>
      <c r="EX351" s="403">
        <v>17677211.833333332</v>
      </c>
      <c r="EY351" s="403">
        <v>17677211.833333332</v>
      </c>
      <c r="EZ351" s="403">
        <v>14810545.166666666</v>
      </c>
      <c r="FA351" s="403">
        <v>14810545.166666666</v>
      </c>
      <c r="FB351" s="403">
        <v>18469212.55916667</v>
      </c>
      <c r="FC351" s="403">
        <v>18469212.55916667</v>
      </c>
      <c r="FD351" s="403">
        <v>18469212.55916667</v>
      </c>
      <c r="FE351" s="403">
        <v>18469212.55916667</v>
      </c>
      <c r="FF351" s="403">
        <v>18445155.148333333</v>
      </c>
      <c r="FG351" s="403">
        <v>20224843.348333333</v>
      </c>
      <c r="FH351" s="403">
        <v>16273762.778333332</v>
      </c>
      <c r="FI351" s="403">
        <v>14270429.458333332</v>
      </c>
      <c r="FJ351" s="403">
        <v>14291679.458333332</v>
      </c>
      <c r="FK351" s="403">
        <v>14318673.528333332</v>
      </c>
      <c r="FL351" s="403">
        <v>19138771.788333334</v>
      </c>
      <c r="FM351" s="403">
        <v>14278737.378333332</v>
      </c>
      <c r="FN351" s="403">
        <v>14298737.378333332</v>
      </c>
      <c r="FO351" s="403">
        <v>14278737.378333332</v>
      </c>
      <c r="FP351" s="403">
        <v>14298737.388333332</v>
      </c>
      <c r="FQ351" s="403">
        <v>14457120.208333332</v>
      </c>
      <c r="FR351" s="403">
        <v>188575385.23999998</v>
      </c>
    </row>
    <row r="352" spans="1:174">
      <c r="D352" s="74" t="str">
        <f t="shared" si="73"/>
        <v>4311p</v>
      </c>
      <c r="E352" s="78" t="s">
        <v>292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74">
      <c r="D353" s="74" t="str">
        <f t="shared" si="73"/>
        <v>4312p</v>
      </c>
      <c r="E353" s="78" t="s">
        <v>294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74" ht="30">
      <c r="D354" s="74" t="str">
        <f t="shared" si="73"/>
        <v>4313p</v>
      </c>
      <c r="E354" s="78" t="s">
        <v>296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74" ht="30">
      <c r="D355" s="74" t="str">
        <f t="shared" si="73"/>
        <v>4314p</v>
      </c>
      <c r="E355" s="78" t="s">
        <v>298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74" ht="30">
      <c r="D356" s="74" t="str">
        <f t="shared" si="73"/>
        <v>4315p</v>
      </c>
      <c r="E356" s="78" t="s">
        <v>300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74" ht="30">
      <c r="D357" s="74" t="str">
        <f t="shared" si="73"/>
        <v>4316p</v>
      </c>
      <c r="E357" s="78" t="s">
        <v>302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74" ht="30">
      <c r="D358" s="74" t="str">
        <f t="shared" si="73"/>
        <v>4317p</v>
      </c>
      <c r="E358" s="78" t="s">
        <v>304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74">
      <c r="D359" s="74" t="str">
        <f t="shared" si="73"/>
        <v>4318p</v>
      </c>
      <c r="E359" s="78" t="s">
        <v>306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74">
      <c r="D360" s="74" t="str">
        <f t="shared" si="73"/>
        <v>4319p</v>
      </c>
      <c r="E360" s="78" t="s">
        <v>308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74" s="9" customFormat="1">
      <c r="A361" s="139" t="s">
        <v>96</v>
      </c>
      <c r="B361" s="139" t="s">
        <v>96</v>
      </c>
      <c r="C361" s="139">
        <v>432</v>
      </c>
      <c r="D361" s="139" t="str">
        <f t="shared" si="73"/>
        <v>432p</v>
      </c>
      <c r="E361" s="140" t="s">
        <v>310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03">
        <v>484666.39166666666</v>
      </c>
      <c r="EU361" s="403">
        <v>484666.39166666666</v>
      </c>
      <c r="EV361" s="403">
        <v>484666.39166666666</v>
      </c>
      <c r="EW361" s="403">
        <v>484666.39166666666</v>
      </c>
      <c r="EX361" s="403">
        <v>484666.39166666666</v>
      </c>
      <c r="EY361" s="403">
        <v>484666.39166666666</v>
      </c>
      <c r="EZ361" s="403">
        <v>484666.39166666666</v>
      </c>
      <c r="FA361" s="403">
        <v>484666.39166666666</v>
      </c>
      <c r="FB361" s="403">
        <v>461423.99666666664</v>
      </c>
      <c r="FC361" s="403">
        <v>461423.99666666664</v>
      </c>
      <c r="FD361" s="403">
        <v>461423.99666666664</v>
      </c>
      <c r="FE361" s="403">
        <v>461423.99666666664</v>
      </c>
      <c r="FF361" s="403">
        <v>1893595.81</v>
      </c>
      <c r="FG361" s="403">
        <v>1793595.81</v>
      </c>
      <c r="FH361" s="403">
        <v>1701929.1400000001</v>
      </c>
      <c r="FI361" s="403">
        <v>1701929.1400000001</v>
      </c>
      <c r="FJ361" s="403">
        <v>1701929.1400000001</v>
      </c>
      <c r="FK361" s="403">
        <v>1701929.1400000001</v>
      </c>
      <c r="FL361" s="403">
        <v>1701929.1400000001</v>
      </c>
      <c r="FM361" s="403">
        <v>1685262.48</v>
      </c>
      <c r="FN361" s="403">
        <v>1685262.48</v>
      </c>
      <c r="FO361" s="403">
        <v>1636929.14</v>
      </c>
      <c r="FP361" s="403">
        <v>1559429.15</v>
      </c>
      <c r="FQ361" s="403">
        <v>1559429.15</v>
      </c>
      <c r="FR361" s="403">
        <v>20323149.719999999</v>
      </c>
    </row>
    <row r="362" spans="1:174" ht="30">
      <c r="D362" s="74" t="str">
        <f t="shared" ref="D362:D393" si="95">+CONCATENATE(D153,"p")</f>
        <v>4321p</v>
      </c>
      <c r="E362" s="78" t="s">
        <v>312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74">
      <c r="D363" s="74" t="str">
        <f t="shared" si="95"/>
        <v>4322p</v>
      </c>
      <c r="E363" s="78" t="s">
        <v>314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74" ht="30">
      <c r="D364" s="74" t="str">
        <f t="shared" si="95"/>
        <v>4323p</v>
      </c>
      <c r="E364" s="78" t="s">
        <v>316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74">
      <c r="D365" s="74" t="str">
        <f t="shared" si="95"/>
        <v>4324p</v>
      </c>
      <c r="E365" s="78" t="s">
        <v>318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74">
      <c r="D366" s="74" t="str">
        <f t="shared" si="95"/>
        <v>4325p</v>
      </c>
      <c r="E366" s="78" t="s">
        <v>320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74">
      <c r="D367" s="74" t="str">
        <f t="shared" si="95"/>
        <v>4326p</v>
      </c>
      <c r="E367" s="78" t="s">
        <v>322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74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549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03">
        <v>21472083.333333332</v>
      </c>
      <c r="EU368" s="403">
        <v>21472083.333333332</v>
      </c>
      <c r="EV368" s="403">
        <v>21472083.333333332</v>
      </c>
      <c r="EW368" s="403">
        <v>21472083.333333332</v>
      </c>
      <c r="EX368" s="403">
        <v>21472083.333333332</v>
      </c>
      <c r="EY368" s="403">
        <v>21472083.333333332</v>
      </c>
      <c r="EZ368" s="403">
        <v>26990416.666666664</v>
      </c>
      <c r="FA368" s="403">
        <v>26990416.666666664</v>
      </c>
      <c r="FB368" s="403">
        <v>26315416.666666701</v>
      </c>
      <c r="FC368" s="403">
        <v>26315416.666666701</v>
      </c>
      <c r="FD368" s="403">
        <v>26815416.670000002</v>
      </c>
      <c r="FE368" s="403">
        <v>26815416.66</v>
      </c>
      <c r="FF368" s="403">
        <v>26743749.989999995</v>
      </c>
      <c r="FG368" s="403">
        <v>26743749.989999995</v>
      </c>
      <c r="FH368" s="403">
        <v>26743749.989999995</v>
      </c>
      <c r="FI368" s="403">
        <v>26743749.989999995</v>
      </c>
      <c r="FJ368" s="403">
        <v>26743749.989999995</v>
      </c>
      <c r="FK368" s="403">
        <v>26743749.989999995</v>
      </c>
      <c r="FL368" s="403">
        <v>26743749.989999995</v>
      </c>
      <c r="FM368" s="403">
        <v>26743749.989999995</v>
      </c>
      <c r="FN368" s="403">
        <v>26743749.989999995</v>
      </c>
      <c r="FO368" s="403">
        <v>26743749.989999995</v>
      </c>
      <c r="FP368" s="403">
        <v>26743749.989999995</v>
      </c>
      <c r="FQ368" s="403">
        <v>26743750.109999999</v>
      </c>
      <c r="FR368" s="403">
        <v>320925000</v>
      </c>
    </row>
    <row r="369" spans="1:174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420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03">
        <v>3322124.294666667</v>
      </c>
      <c r="EU369" s="403">
        <v>3322124.294666667</v>
      </c>
      <c r="EV369" s="403">
        <v>3322124.294666667</v>
      </c>
      <c r="EW369" s="403">
        <v>3322124.294666667</v>
      </c>
      <c r="EX369" s="403">
        <v>3522124.2900000066</v>
      </c>
      <c r="EY369" s="403">
        <v>3322124.294666667</v>
      </c>
      <c r="EZ369" s="403">
        <v>4983186.4420000007</v>
      </c>
      <c r="FA369" s="403">
        <v>4983186.4420000007</v>
      </c>
      <c r="FB369" s="403">
        <v>5687111.6931666648</v>
      </c>
      <c r="FC369" s="403">
        <v>5687111.6931666648</v>
      </c>
      <c r="FD369" s="403">
        <v>5687111.6931666601</v>
      </c>
      <c r="FE369" s="403">
        <v>5687111.6931666601</v>
      </c>
      <c r="FF369" s="403">
        <v>4812459.1475000009</v>
      </c>
      <c r="FG369" s="403">
        <v>5271044.0675000008</v>
      </c>
      <c r="FH369" s="403">
        <v>5043677.4375000009</v>
      </c>
      <c r="FI369" s="403">
        <v>5031733.3975000009</v>
      </c>
      <c r="FJ369" s="403">
        <v>4720622.4975000015</v>
      </c>
      <c r="FK369" s="403">
        <v>4690580.477500001</v>
      </c>
      <c r="FL369" s="403">
        <v>4614205.3275000015</v>
      </c>
      <c r="FM369" s="403">
        <v>4567667.1475000018</v>
      </c>
      <c r="FN369" s="403">
        <v>4572709.1475000018</v>
      </c>
      <c r="FO369" s="403">
        <v>4547709.1475000018</v>
      </c>
      <c r="FP369" s="403">
        <v>4386209.1475000018</v>
      </c>
      <c r="FQ369" s="403">
        <v>4398442.6775000012</v>
      </c>
      <c r="FR369" s="403">
        <v>56657059.620000012</v>
      </c>
    </row>
    <row r="370" spans="1:174" ht="30">
      <c r="D370" s="74" t="str">
        <f t="shared" si="95"/>
        <v>4411p</v>
      </c>
      <c r="E370" s="78" t="s">
        <v>326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74">
      <c r="D371" s="74" t="str">
        <f t="shared" si="95"/>
        <v>4412p</v>
      </c>
      <c r="E371" s="78" t="s">
        <v>328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74">
      <c r="D372" s="74" t="str">
        <f t="shared" si="95"/>
        <v>4413p</v>
      </c>
      <c r="E372" s="78" t="s">
        <v>330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74">
      <c r="D373" s="74" t="str">
        <f t="shared" si="95"/>
        <v>4414p</v>
      </c>
      <c r="E373" s="78" t="s">
        <v>332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74">
      <c r="D374" s="74" t="str">
        <f t="shared" si="95"/>
        <v>4415p</v>
      </c>
      <c r="E374" s="78" t="s">
        <v>334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74">
      <c r="D375" s="74" t="str">
        <f t="shared" si="95"/>
        <v>4416p</v>
      </c>
      <c r="E375" s="78" t="s">
        <v>336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74">
      <c r="D376" s="74" t="str">
        <f t="shared" si="95"/>
        <v>4417p</v>
      </c>
      <c r="E376" s="78" t="s">
        <v>338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74" ht="30">
      <c r="D377" s="74" t="str">
        <f t="shared" si="95"/>
        <v>4418p</v>
      </c>
      <c r="E377" s="78" t="s">
        <v>340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03">
        <v>70000000</v>
      </c>
      <c r="FF377" s="446">
        <v>26666.67</v>
      </c>
      <c r="FG377" s="446">
        <v>26666.67</v>
      </c>
      <c r="FH377" s="446">
        <v>26666.67</v>
      </c>
      <c r="FI377" s="446">
        <v>39926666.670000002</v>
      </c>
      <c r="FJ377" s="446">
        <v>26666.67</v>
      </c>
      <c r="FK377" s="446">
        <v>26666.67</v>
      </c>
      <c r="FL377" s="446">
        <v>26666.67</v>
      </c>
      <c r="FM377" s="446">
        <v>26666.67</v>
      </c>
      <c r="FN377" s="446">
        <v>26666.67</v>
      </c>
      <c r="FO377" s="446">
        <v>26666.67</v>
      </c>
      <c r="FP377" s="446">
        <v>26666.67</v>
      </c>
      <c r="FQ377" s="446">
        <v>26666.63</v>
      </c>
      <c r="FR377" s="446">
        <v>40220000.000000015</v>
      </c>
    </row>
    <row r="378" spans="1:174">
      <c r="D378" s="74" t="str">
        <f t="shared" si="95"/>
        <v>4419p</v>
      </c>
      <c r="E378" s="78" t="s">
        <v>342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74" s="9" customFormat="1">
      <c r="A379" s="139" t="s">
        <v>96</v>
      </c>
      <c r="B379" s="139">
        <v>45</v>
      </c>
      <c r="C379" s="139"/>
      <c r="D379" s="139" t="str">
        <f t="shared" si="95"/>
        <v>p</v>
      </c>
      <c r="E379" s="140" t="s">
        <v>344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03">
        <v>239583.41666666666</v>
      </c>
      <c r="EU379" s="403">
        <v>239583.41666666666</v>
      </c>
      <c r="EV379" s="403">
        <v>239583.41666666666</v>
      </c>
      <c r="EW379" s="403">
        <v>239583.41666666666</v>
      </c>
      <c r="EX379" s="403">
        <v>239583.41666666666</v>
      </c>
      <c r="EY379" s="403">
        <v>239583.41666666666</v>
      </c>
      <c r="EZ379" s="403">
        <v>239583.41666666666</v>
      </c>
      <c r="FA379" s="403">
        <v>239583.41666666666</v>
      </c>
      <c r="FB379" s="403">
        <v>239583.41666666666</v>
      </c>
      <c r="FC379" s="403">
        <v>239583.41666666666</v>
      </c>
      <c r="FD379" s="403">
        <v>239583.41666666666</v>
      </c>
      <c r="FE379" s="403">
        <v>239583.41666666666</v>
      </c>
      <c r="FF379" s="403">
        <v>190000.08333333334</v>
      </c>
      <c r="FG379" s="403">
        <v>190000.08333333334</v>
      </c>
      <c r="FH379" s="403">
        <v>190000.08333333334</v>
      </c>
      <c r="FI379" s="403">
        <v>190000.08333333334</v>
      </c>
      <c r="FJ379" s="403">
        <v>190000.08333333334</v>
      </c>
      <c r="FK379" s="403">
        <v>190000.08333333334</v>
      </c>
      <c r="FL379" s="403">
        <v>190000.08333333334</v>
      </c>
      <c r="FM379" s="403">
        <v>190000.08333333334</v>
      </c>
      <c r="FN379" s="403">
        <v>190000.08333333334</v>
      </c>
      <c r="FO379" s="403">
        <v>190000.08333333334</v>
      </c>
      <c r="FP379" s="403">
        <v>190000.08333333334</v>
      </c>
      <c r="FQ379" s="403">
        <v>190000.08333333334</v>
      </c>
      <c r="FR379" s="403">
        <v>2280000.9999999995</v>
      </c>
    </row>
    <row r="380" spans="1:174">
      <c r="C380" s="74">
        <v>451</v>
      </c>
      <c r="D380" s="74" t="str">
        <f t="shared" si="95"/>
        <v>451p</v>
      </c>
      <c r="E380" s="78" t="s">
        <v>117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74" ht="30">
      <c r="D381" s="74" t="str">
        <f t="shared" si="95"/>
        <v>4511p</v>
      </c>
      <c r="E381" s="78" t="s">
        <v>346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74" ht="30">
      <c r="D382" s="74" t="str">
        <f t="shared" si="95"/>
        <v>4512p</v>
      </c>
      <c r="E382" s="78" t="s">
        <v>348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74">
      <c r="D383" s="74" t="str">
        <f t="shared" si="95"/>
        <v>4513p</v>
      </c>
      <c r="E383" s="78" t="s">
        <v>350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74" ht="45">
      <c r="D384" s="74" t="str">
        <f t="shared" si="95"/>
        <v>4514p</v>
      </c>
      <c r="E384" s="78" t="s">
        <v>352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74">
      <c r="D385" s="74" t="str">
        <f t="shared" si="95"/>
        <v>4515p</v>
      </c>
      <c r="E385" s="78" t="s">
        <v>354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74" s="9" customFormat="1">
      <c r="A386" s="139" t="s">
        <v>96</v>
      </c>
      <c r="B386" s="139">
        <v>46</v>
      </c>
      <c r="C386" s="139"/>
      <c r="D386" s="139" t="str">
        <f t="shared" si="95"/>
        <v>p</v>
      </c>
      <c r="E386" s="140" t="s">
        <v>356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2">
        <f>DV387+DV390+DV393</f>
        <v>32768615.2925</v>
      </c>
      <c r="DW386" s="392">
        <f t="shared" ref="DW386:ES386" si="106">DW387+DW390+DW393</f>
        <v>32768615.2925</v>
      </c>
      <c r="DX386" s="392">
        <f t="shared" si="106"/>
        <v>32768615.2925</v>
      </c>
      <c r="DY386" s="392">
        <f t="shared" si="106"/>
        <v>32768615.2925</v>
      </c>
      <c r="DZ386" s="392">
        <f t="shared" si="106"/>
        <v>32768615.2925</v>
      </c>
      <c r="EA386" s="392">
        <f t="shared" si="106"/>
        <v>32768615.2925</v>
      </c>
      <c r="EB386" s="392">
        <f t="shared" si="106"/>
        <v>32768615.2925</v>
      </c>
      <c r="EC386" s="392">
        <f t="shared" si="106"/>
        <v>32768615.2925</v>
      </c>
      <c r="ED386" s="392">
        <f t="shared" si="106"/>
        <v>32768615.2925</v>
      </c>
      <c r="EE386" s="392">
        <f t="shared" si="106"/>
        <v>32768615.2925</v>
      </c>
      <c r="EF386" s="392">
        <f t="shared" si="106"/>
        <v>32768615.2925</v>
      </c>
      <c r="EG386" s="392">
        <f t="shared" si="106"/>
        <v>32768615.2925</v>
      </c>
      <c r="EH386" s="392">
        <f t="shared" si="106"/>
        <v>4617467.5633333325</v>
      </c>
      <c r="EI386" s="392">
        <f t="shared" si="106"/>
        <v>5248180.4533333331</v>
      </c>
      <c r="EJ386" s="392">
        <f t="shared" si="106"/>
        <v>18465645.143333334</v>
      </c>
      <c r="EK386" s="392">
        <f t="shared" si="106"/>
        <v>67460865.603333324</v>
      </c>
      <c r="EL386" s="392">
        <f t="shared" si="106"/>
        <v>10247541.783333333</v>
      </c>
      <c r="EM386" s="392">
        <f t="shared" si="106"/>
        <v>16046343.563333331</v>
      </c>
      <c r="EN386" s="392">
        <f t="shared" si="106"/>
        <v>23103608.363333337</v>
      </c>
      <c r="EO386" s="392">
        <f t="shared" si="106"/>
        <v>16877006.883333333</v>
      </c>
      <c r="EP386" s="392">
        <f t="shared" si="106"/>
        <v>17318908.093333334</v>
      </c>
      <c r="EQ386" s="392">
        <f t="shared" si="106"/>
        <v>9686739.4033333324</v>
      </c>
      <c r="ER386" s="392">
        <f t="shared" si="106"/>
        <v>11714826.133333333</v>
      </c>
      <c r="ES386" s="392">
        <f t="shared" si="106"/>
        <v>19628370.163333334</v>
      </c>
      <c r="FF386" s="403">
        <v>1718363.6600000001</v>
      </c>
      <c r="FG386" s="403">
        <v>3362692.9499999997</v>
      </c>
      <c r="FH386" s="403">
        <v>17620925.690000001</v>
      </c>
      <c r="FI386" s="403">
        <v>21217195.289999999</v>
      </c>
      <c r="FJ386" s="403">
        <v>181489557.88</v>
      </c>
      <c r="FK386" s="403">
        <v>16844785.800000001</v>
      </c>
      <c r="FL386" s="403">
        <v>61721044.270000003</v>
      </c>
      <c r="FM386" s="403">
        <v>13754741.09</v>
      </c>
      <c r="FN386" s="403">
        <v>17831317.309999999</v>
      </c>
      <c r="FO386" s="403">
        <v>6151156.2299999995</v>
      </c>
      <c r="FP386" s="403">
        <v>10176505.869999999</v>
      </c>
      <c r="FQ386" s="403">
        <v>21711713.960000001</v>
      </c>
      <c r="FR386" s="403">
        <v>373600000</v>
      </c>
    </row>
    <row r="387" spans="1:174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358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  <c r="FF387" s="403">
        <v>1718363.6600000001</v>
      </c>
      <c r="FG387" s="403">
        <v>3362692.9499999997</v>
      </c>
      <c r="FH387" s="403">
        <v>17620925.690000001</v>
      </c>
      <c r="FI387" s="403">
        <v>21217195.289999999</v>
      </c>
      <c r="FJ387" s="403">
        <v>181489557.88</v>
      </c>
      <c r="FK387" s="403">
        <v>16844785.800000001</v>
      </c>
      <c r="FL387" s="403">
        <v>61721044.270000003</v>
      </c>
      <c r="FM387" s="403">
        <v>13754741.09</v>
      </c>
      <c r="FN387" s="403">
        <v>17831317.309999999</v>
      </c>
      <c r="FO387" s="403">
        <v>6151156.2299999995</v>
      </c>
      <c r="FP387" s="403">
        <v>10176505.869999999</v>
      </c>
      <c r="FQ387" s="403">
        <v>21711713.960000001</v>
      </c>
      <c r="FR387" s="403">
        <v>373600000</v>
      </c>
    </row>
    <row r="388" spans="1:174" ht="30">
      <c r="D388" s="74" t="str">
        <f t="shared" si="95"/>
        <v>4611p</v>
      </c>
      <c r="E388" s="78" t="s">
        <v>359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06">
        <v>1983333.3333333333</v>
      </c>
      <c r="CS388" s="406">
        <v>1983333.3333333333</v>
      </c>
      <c r="CT388" s="406">
        <v>1983333.3333333333</v>
      </c>
      <c r="CU388" s="406">
        <v>1983333.3333333333</v>
      </c>
      <c r="CV388" s="406">
        <v>1983333.3333333333</v>
      </c>
      <c r="CW388" s="407">
        <v>1983333.3333333333</v>
      </c>
      <c r="CX388" s="408">
        <v>2500695.4391666665</v>
      </c>
      <c r="CY388" s="409">
        <v>2500695.4391666665</v>
      </c>
      <c r="CZ388" s="409">
        <v>2500695.4391666665</v>
      </c>
      <c r="DA388" s="409">
        <v>2500695.4391666665</v>
      </c>
      <c r="DB388" s="409">
        <v>2500695.4391666665</v>
      </c>
      <c r="DC388" s="409">
        <v>2500695.4391666665</v>
      </c>
      <c r="DD388" s="409">
        <v>2500695.4391666665</v>
      </c>
      <c r="DE388" s="409">
        <v>2500695.4391666665</v>
      </c>
      <c r="DF388" s="409">
        <v>2500695.4391666665</v>
      </c>
      <c r="DG388" s="409">
        <v>2500695.4391666665</v>
      </c>
      <c r="DH388" s="409">
        <v>2500695.4391666665</v>
      </c>
      <c r="DI388" s="410">
        <v>2500695.4391666665</v>
      </c>
      <c r="DJ388" s="411">
        <v>3892510.16</v>
      </c>
      <c r="DK388" s="406">
        <v>3892510.16</v>
      </c>
      <c r="DL388" s="406">
        <v>3892510.16</v>
      </c>
      <c r="DM388" s="406">
        <v>3892510.16</v>
      </c>
      <c r="DN388" s="406">
        <v>3892510.16</v>
      </c>
      <c r="DO388" s="406">
        <v>3892510.16</v>
      </c>
      <c r="DP388" s="406">
        <v>3892510.16</v>
      </c>
      <c r="DQ388" s="406">
        <v>3892510.16</v>
      </c>
      <c r="DR388" s="406">
        <v>3892510.16</v>
      </c>
      <c r="DS388" s="406">
        <v>3892510.16</v>
      </c>
      <c r="DT388" s="406">
        <v>3892510.16</v>
      </c>
      <c r="DU388" s="407">
        <v>3892510.16</v>
      </c>
      <c r="DV388" s="412">
        <v>3722931.8866666667</v>
      </c>
      <c r="DW388" s="412">
        <v>3722931.8866666667</v>
      </c>
      <c r="DX388" s="412">
        <v>3722931.8866666667</v>
      </c>
      <c r="DY388" s="412">
        <v>3722931.8866666667</v>
      </c>
      <c r="DZ388" s="412">
        <v>3722931.8866666667</v>
      </c>
      <c r="EA388" s="412">
        <v>3722931.8866666667</v>
      </c>
      <c r="EB388" s="412">
        <v>3722931.8866666667</v>
      </c>
      <c r="EC388" s="412">
        <v>3722931.8866666667</v>
      </c>
      <c r="ED388" s="412">
        <v>3722931.8866666667</v>
      </c>
      <c r="EE388" s="412">
        <v>3722931.8866666667</v>
      </c>
      <c r="EF388" s="412">
        <v>3722931.8866666667</v>
      </c>
      <c r="EG388" s="412">
        <v>3722931.8866666667</v>
      </c>
      <c r="EH388" s="412">
        <v>174340.51</v>
      </c>
      <c r="EI388" s="412">
        <v>177326.85</v>
      </c>
      <c r="EJ388" s="412">
        <v>7687779.1100000003</v>
      </c>
      <c r="EK388" s="412">
        <v>191127.48</v>
      </c>
      <c r="EL388" s="412">
        <v>949797.77</v>
      </c>
      <c r="EM388" s="412">
        <v>2019268.13</v>
      </c>
      <c r="EN388" s="412">
        <v>10660481.32</v>
      </c>
      <c r="EO388" s="412">
        <v>11526152.189999999</v>
      </c>
      <c r="EP388" s="412">
        <v>10016017.119999999</v>
      </c>
      <c r="EQ388" s="412">
        <v>1834828.67</v>
      </c>
      <c r="ER388" s="412">
        <v>2345417.37</v>
      </c>
      <c r="ES388" s="412">
        <v>4329305.63</v>
      </c>
      <c r="ET388" s="439">
        <v>116701.86</v>
      </c>
      <c r="EU388" s="440">
        <v>867332.36</v>
      </c>
      <c r="EV388" s="440">
        <v>7801367.0199999996</v>
      </c>
      <c r="EW388" s="440">
        <v>4481623.79</v>
      </c>
      <c r="EX388" s="440">
        <v>2831467.37</v>
      </c>
      <c r="EY388" s="440">
        <v>7170000.0800000001</v>
      </c>
      <c r="EZ388" s="440">
        <v>82322.3</v>
      </c>
      <c r="FA388" s="440">
        <v>10832753.109999999</v>
      </c>
      <c r="FB388" s="440">
        <v>1958366.01</v>
      </c>
      <c r="FC388" s="440">
        <v>1510132.11</v>
      </c>
      <c r="FD388" s="440">
        <v>834059.15</v>
      </c>
      <c r="FE388" s="440">
        <v>12202154.65</v>
      </c>
      <c r="FF388" s="446">
        <v>84944.84</v>
      </c>
      <c r="FG388" s="446">
        <v>835385.84</v>
      </c>
      <c r="FH388" s="446">
        <v>1812259.88</v>
      </c>
      <c r="FI388" s="446">
        <v>4541832.53</v>
      </c>
      <c r="FJ388" s="446">
        <v>2836722.65</v>
      </c>
      <c r="FK388" s="446">
        <v>7054086.1200000001</v>
      </c>
      <c r="FL388" s="446">
        <v>87625.45</v>
      </c>
      <c r="FM388" s="446">
        <v>10838080.380000001</v>
      </c>
      <c r="FN388" s="446">
        <v>1831359.63</v>
      </c>
      <c r="FO388" s="446">
        <v>1571862.21</v>
      </c>
      <c r="FP388" s="446">
        <v>839459.36</v>
      </c>
      <c r="FQ388" s="446">
        <v>11766381.15</v>
      </c>
      <c r="FR388" s="446">
        <v>44100000.039999999</v>
      </c>
    </row>
    <row r="389" spans="1:174" ht="30">
      <c r="D389" s="74" t="str">
        <f t="shared" si="95"/>
        <v>4612p</v>
      </c>
      <c r="E389" s="78" t="s">
        <v>361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39">
        <v>2071825.5645770216</v>
      </c>
      <c r="EU389" s="440">
        <v>2862393.2253735214</v>
      </c>
      <c r="EV389" s="440">
        <v>12467636.918240691</v>
      </c>
      <c r="EW389" s="440">
        <v>17326274.372907523</v>
      </c>
      <c r="EX389" s="440">
        <v>15150457.606090657</v>
      </c>
      <c r="EY389" s="440">
        <v>8947929.7645770218</v>
      </c>
      <c r="EZ389" s="440">
        <v>2071825.5545770216</v>
      </c>
      <c r="FA389" s="440">
        <v>2989936.9753735219</v>
      </c>
      <c r="FB389" s="440">
        <v>16625761.232895471</v>
      </c>
      <c r="FC389" s="440">
        <v>4165314.0029075216</v>
      </c>
      <c r="FD389" s="440">
        <v>6972714.957903021</v>
      </c>
      <c r="FE389" s="440">
        <v>369847929.82457697</v>
      </c>
      <c r="FF389" s="446">
        <v>1633418.82</v>
      </c>
      <c r="FG389" s="446">
        <v>2527307.11</v>
      </c>
      <c r="FH389" s="446">
        <v>15808665.810000001</v>
      </c>
      <c r="FI389" s="446">
        <v>16675362.76</v>
      </c>
      <c r="FJ389" s="446">
        <v>178652835.22999999</v>
      </c>
      <c r="FK389" s="446">
        <v>9790699.6799999997</v>
      </c>
      <c r="FL389" s="446">
        <v>61633418.82</v>
      </c>
      <c r="FM389" s="446">
        <v>2916660.71</v>
      </c>
      <c r="FN389" s="446">
        <v>15999957.68</v>
      </c>
      <c r="FO389" s="446">
        <v>4579294.0199999996</v>
      </c>
      <c r="FP389" s="446">
        <v>9337046.5099999998</v>
      </c>
      <c r="FQ389" s="446">
        <v>9945332.8100000005</v>
      </c>
      <c r="FR389" s="446">
        <v>329499999.95999998</v>
      </c>
    </row>
    <row r="390" spans="1:174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363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  <c r="FF390" s="9">
        <v>0</v>
      </c>
      <c r="FG390" s="9">
        <v>0</v>
      </c>
      <c r="FH390" s="9">
        <v>0</v>
      </c>
      <c r="FI390" s="9">
        <v>0</v>
      </c>
      <c r="FJ390" s="9">
        <v>0</v>
      </c>
      <c r="FK390" s="9">
        <v>0</v>
      </c>
      <c r="FL390" s="9">
        <v>0</v>
      </c>
      <c r="FM390" s="9">
        <v>0</v>
      </c>
      <c r="FN390" s="9">
        <v>0</v>
      </c>
      <c r="FO390" s="9">
        <v>0</v>
      </c>
      <c r="FP390" s="9">
        <v>0</v>
      </c>
      <c r="FQ390" s="9">
        <v>0</v>
      </c>
      <c r="FR390" s="9">
        <v>0</v>
      </c>
    </row>
    <row r="391" spans="1:174">
      <c r="D391" s="74" t="str">
        <f t="shared" si="95"/>
        <v>4621p</v>
      </c>
      <c r="E391" s="78" t="s">
        <v>365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74">
      <c r="D392" s="74" t="str">
        <f t="shared" si="95"/>
        <v>4622p</v>
      </c>
      <c r="E392" s="78" t="s">
        <v>367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74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369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03">
        <v>2681427.6666666665</v>
      </c>
      <c r="CS393" s="403">
        <v>2681427.6666666665</v>
      </c>
      <c r="CT393" s="403">
        <v>2681427.6666666665</v>
      </c>
      <c r="CU393" s="403">
        <v>2681427.6666666665</v>
      </c>
      <c r="CV393" s="403">
        <v>2681427.6666666665</v>
      </c>
      <c r="CW393" s="403">
        <v>2681427.6666666665</v>
      </c>
      <c r="CX393" s="403">
        <v>2778179.9974999996</v>
      </c>
      <c r="CY393" s="403">
        <v>2778179.9974999996</v>
      </c>
      <c r="CZ393" s="403">
        <v>2778179.9974999996</v>
      </c>
      <c r="DA393" s="403">
        <v>2778179.9974999996</v>
      </c>
      <c r="DB393" s="403">
        <v>2778179.9974999996</v>
      </c>
      <c r="DC393" s="403">
        <v>2778179.9974999996</v>
      </c>
      <c r="DD393" s="403">
        <v>2778179.9974999996</v>
      </c>
      <c r="DE393" s="403">
        <v>2778179.9974999996</v>
      </c>
      <c r="DF393" s="403">
        <v>2778179.9974999996</v>
      </c>
      <c r="DG393" s="403">
        <v>2778179.9974999996</v>
      </c>
      <c r="DH393" s="403">
        <v>2778179.9974999996</v>
      </c>
      <c r="DI393" s="403">
        <v>2778179.9974999996</v>
      </c>
      <c r="DJ393" s="403">
        <v>2817590</v>
      </c>
      <c r="DK393" s="403">
        <v>2817590</v>
      </c>
      <c r="DL393" s="403">
        <v>2817590</v>
      </c>
      <c r="DM393" s="403">
        <v>2817590</v>
      </c>
      <c r="DN393" s="403">
        <v>2817590</v>
      </c>
      <c r="DO393" s="403">
        <v>2817590</v>
      </c>
      <c r="DP393" s="403">
        <v>2817590</v>
      </c>
      <c r="DQ393" s="403">
        <v>2817590</v>
      </c>
      <c r="DR393" s="403">
        <v>2817590</v>
      </c>
      <c r="DS393" s="403">
        <v>2817590</v>
      </c>
      <c r="DT393" s="403">
        <v>2817590</v>
      </c>
      <c r="DU393" s="403">
        <v>2817590</v>
      </c>
      <c r="DV393" s="403">
        <v>3281229.6141666663</v>
      </c>
      <c r="DW393" s="403">
        <v>3281229.6141666663</v>
      </c>
      <c r="DX393" s="403">
        <v>3281229.6141666663</v>
      </c>
      <c r="DY393" s="403">
        <v>3281229.6141666663</v>
      </c>
      <c r="DZ393" s="403">
        <v>3281229.6141666663</v>
      </c>
      <c r="EA393" s="403">
        <v>3281229.6141666663</v>
      </c>
      <c r="EB393" s="403">
        <v>3281229.6141666663</v>
      </c>
      <c r="EC393" s="403">
        <v>3281229.6141666663</v>
      </c>
      <c r="ED393" s="403">
        <v>3281229.6141666663</v>
      </c>
      <c r="EE393" s="403">
        <v>3281229.6141666663</v>
      </c>
      <c r="EF393" s="403">
        <v>3281229.6141666663</v>
      </c>
      <c r="EG393" s="403">
        <v>3281229.6141666663</v>
      </c>
      <c r="EH393" s="403">
        <v>2809708.2333333329</v>
      </c>
      <c r="EI393" s="403">
        <v>2809708.2333333329</v>
      </c>
      <c r="EJ393" s="403">
        <v>2809708.2333333329</v>
      </c>
      <c r="EK393" s="403">
        <v>2809708.2333333329</v>
      </c>
      <c r="EL393" s="403">
        <v>2809708.2333333329</v>
      </c>
      <c r="EM393" s="403">
        <v>2809708.2333333329</v>
      </c>
      <c r="EN393" s="403">
        <v>2809708.2333333329</v>
      </c>
      <c r="EO393" s="403">
        <v>2809708.2333333329</v>
      </c>
      <c r="EP393" s="403">
        <v>2809708.2333333329</v>
      </c>
      <c r="EQ393" s="403">
        <v>2809708.2333333329</v>
      </c>
      <c r="ER393" s="403">
        <v>2809708.2333333329</v>
      </c>
      <c r="ES393" s="403">
        <v>2809708.2333333329</v>
      </c>
      <c r="ET393" s="403">
        <v>1807457.9166666667</v>
      </c>
      <c r="EU393" s="403">
        <v>1882457.9166666667</v>
      </c>
      <c r="EV393" s="403">
        <v>1937457.9166666667</v>
      </c>
      <c r="EW393" s="403">
        <v>1912457.9166666667</v>
      </c>
      <c r="EX393" s="403">
        <v>1967457.9166666667</v>
      </c>
      <c r="EY393" s="403">
        <v>1907457.9166666667</v>
      </c>
      <c r="EZ393" s="403">
        <v>3852457.9166666665</v>
      </c>
      <c r="FA393" s="403">
        <v>3337457.9166666665</v>
      </c>
      <c r="FB393" s="403">
        <v>2702457.9166666698</v>
      </c>
      <c r="FC393" s="403">
        <v>2797457.9166666698</v>
      </c>
      <c r="FD393" s="403">
        <v>2792457.9166666698</v>
      </c>
      <c r="FE393" s="403">
        <v>3347457.9166666698</v>
      </c>
      <c r="FF393" s="403">
        <v>1281814.4500000002</v>
      </c>
      <c r="FG393" s="403">
        <v>1266814.4500000002</v>
      </c>
      <c r="FH393" s="403">
        <v>1451704.4</v>
      </c>
      <c r="FI393" s="403">
        <v>1544149.3599999999</v>
      </c>
      <c r="FJ393" s="403">
        <v>1677270.12</v>
      </c>
      <c r="FK393" s="403">
        <v>1669874.52</v>
      </c>
      <c r="FL393" s="403">
        <v>1839973.2600000002</v>
      </c>
      <c r="FM393" s="403">
        <v>1832577.67</v>
      </c>
      <c r="FN393" s="403">
        <v>1610709.73</v>
      </c>
      <c r="FO393" s="403">
        <v>1374050.6099999999</v>
      </c>
      <c r="FP393" s="403">
        <v>1448006.5899999999</v>
      </c>
      <c r="FQ393" s="403">
        <v>1533055.8399999999</v>
      </c>
      <c r="FR393" s="403">
        <v>18530001</v>
      </c>
    </row>
    <row r="394" spans="1:174" s="9" customFormat="1">
      <c r="A394" s="139" t="s">
        <v>96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371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03">
        <v>830846.24800000002</v>
      </c>
      <c r="EU394" s="403">
        <v>830846.24800000002</v>
      </c>
      <c r="EV394" s="403">
        <v>830846.24800000002</v>
      </c>
      <c r="EW394" s="403">
        <v>949846.13199999998</v>
      </c>
      <c r="EX394" s="403">
        <v>1306845.784</v>
      </c>
      <c r="EY394" s="403">
        <v>830846.24800000002</v>
      </c>
      <c r="EZ394" s="403">
        <v>1246269.3720000002</v>
      </c>
      <c r="FA394" s="403">
        <v>1246269.3720000002</v>
      </c>
      <c r="FB394" s="403">
        <v>5393218.1470000008</v>
      </c>
      <c r="FC394" s="403">
        <v>5393218.1470000008</v>
      </c>
      <c r="FD394" s="403">
        <v>5393218.1470000008</v>
      </c>
      <c r="FE394" s="403">
        <v>5393218.1470000008</v>
      </c>
      <c r="FF394" s="403">
        <v>1650583.3333333333</v>
      </c>
      <c r="FG394" s="403">
        <v>1843583.3333333333</v>
      </c>
      <c r="FH394" s="403">
        <v>1650583.3333333333</v>
      </c>
      <c r="FI394" s="403">
        <v>1650583.3333333333</v>
      </c>
      <c r="FJ394" s="403">
        <v>1650583.3333333333</v>
      </c>
      <c r="FK394" s="403">
        <v>1650583.3333333333</v>
      </c>
      <c r="FL394" s="403">
        <v>1650583.3333333333</v>
      </c>
      <c r="FM394" s="403">
        <v>1650583.3333333333</v>
      </c>
      <c r="FN394" s="403">
        <v>1650583.3333333333</v>
      </c>
      <c r="FO394" s="403">
        <v>1650583.3333333333</v>
      </c>
      <c r="FP394" s="403">
        <v>1650583.3333333333</v>
      </c>
      <c r="FQ394" s="403">
        <v>1650583.3333333333</v>
      </c>
      <c r="FR394" s="403">
        <v>20000000</v>
      </c>
    </row>
    <row r="395" spans="1:174">
      <c r="A395" s="74" t="s">
        <v>96</v>
      </c>
      <c r="B395" s="74" t="s">
        <v>96</v>
      </c>
      <c r="C395" s="74">
        <v>471</v>
      </c>
      <c r="D395" s="74" t="str">
        <f t="shared" si="113"/>
        <v>4710p</v>
      </c>
      <c r="E395" s="78" t="s">
        <v>373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03">
        <v>830846.24800000002</v>
      </c>
      <c r="EU395" s="403">
        <v>830846.24800000002</v>
      </c>
      <c r="EV395" s="403">
        <v>830846.24800000002</v>
      </c>
      <c r="EW395" s="403">
        <v>830846.24800000002</v>
      </c>
      <c r="EX395" s="403">
        <v>830846.24800000002</v>
      </c>
      <c r="EY395" s="403">
        <v>830846.24800000002</v>
      </c>
      <c r="EZ395" s="403">
        <v>1246269.3720000002</v>
      </c>
      <c r="FA395" s="403">
        <v>1246269.3720000002</v>
      </c>
      <c r="FB395" s="403">
        <v>2223304.53675</v>
      </c>
      <c r="FC395" s="403">
        <v>3116522.6837499999</v>
      </c>
      <c r="FD395" s="403">
        <v>8116522.6837499999</v>
      </c>
      <c r="FE395" s="403">
        <v>8116522.6837499999</v>
      </c>
      <c r="FF395" s="446">
        <v>1650583.3333333333</v>
      </c>
      <c r="FG395" s="446">
        <v>1843583.3333333333</v>
      </c>
      <c r="FH395" s="446">
        <v>1650583.3333333333</v>
      </c>
      <c r="FI395" s="446">
        <v>1650583.3333333333</v>
      </c>
      <c r="FJ395" s="446">
        <v>1650583.3333333333</v>
      </c>
      <c r="FK395" s="446">
        <v>1650583.3333333333</v>
      </c>
      <c r="FL395" s="446">
        <v>1650583.3333333333</v>
      </c>
      <c r="FM395" s="446">
        <v>1650583.3333333333</v>
      </c>
      <c r="FN395" s="446">
        <v>1650583.3333333333</v>
      </c>
      <c r="FO395" s="446">
        <v>1650583.3333333333</v>
      </c>
      <c r="FP395" s="446">
        <v>1650583.3333333333</v>
      </c>
      <c r="FQ395" s="446">
        <v>1650583.3333333333</v>
      </c>
      <c r="FR395" s="446">
        <v>20000000</v>
      </c>
    </row>
    <row r="396" spans="1:174">
      <c r="C396" s="74">
        <v>472</v>
      </c>
      <c r="D396" s="74" t="str">
        <f t="shared" si="113"/>
        <v>4720p</v>
      </c>
      <c r="E396" s="78" t="s">
        <v>375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03">
        <v>0</v>
      </c>
      <c r="EU396" s="403">
        <v>0</v>
      </c>
      <c r="EV396" s="403">
        <v>0</v>
      </c>
      <c r="EW396" s="403">
        <v>118999.88400000001</v>
      </c>
      <c r="EX396" s="403">
        <v>475999.53600000002</v>
      </c>
      <c r="EY396" s="403">
        <v>0</v>
      </c>
      <c r="EZ396" s="403">
        <v>0</v>
      </c>
      <c r="FA396" s="403">
        <v>0</v>
      </c>
      <c r="FB396" s="403">
        <v>0</v>
      </c>
      <c r="FC396" s="403">
        <v>0</v>
      </c>
      <c r="FD396" s="403">
        <v>0</v>
      </c>
      <c r="FE396" s="403">
        <v>0</v>
      </c>
      <c r="FF396" s="446"/>
    </row>
    <row r="397" spans="1:174">
      <c r="C397" s="74">
        <v>473</v>
      </c>
      <c r="D397" s="74" t="str">
        <f t="shared" si="113"/>
        <v>4730p</v>
      </c>
      <c r="E397" s="78" t="s">
        <v>377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74">
      <c r="D398" s="74">
        <v>1005</v>
      </c>
      <c r="E398" s="78" t="s">
        <v>694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74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74">
      <c r="FF400" s="405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68" activePane="bottomLeft" state="frozen"/>
      <selection pane="bottomLeft" activeCell="E96" sqref="E96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1</v>
      </c>
      <c r="C2" s="56" t="s">
        <v>0</v>
      </c>
    </row>
    <row r="3" spans="2:7" ht="15.75" thickBot="1">
      <c r="B3" s="305">
        <v>5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5">
        <v>2019</v>
      </c>
      <c r="C4" s="56" t="s">
        <v>689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3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777</v>
      </c>
      <c r="F11" s="12" t="s">
        <v>778</v>
      </c>
      <c r="G11" s="52" t="str">
        <f t="shared" si="0"/>
        <v>Mjesečni podaci 2019</v>
      </c>
    </row>
    <row r="12" spans="2:7">
      <c r="D12" s="41"/>
      <c r="E12" s="11" t="s">
        <v>775</v>
      </c>
      <c r="F12" s="12" t="s">
        <v>776</v>
      </c>
      <c r="G12" s="52" t="str">
        <f t="shared" si="0"/>
        <v>Mjesečni podaci 2018</v>
      </c>
    </row>
    <row r="13" spans="2:7">
      <c r="D13" s="41"/>
      <c r="E13" s="11" t="s">
        <v>749</v>
      </c>
      <c r="F13" s="12" t="s">
        <v>750</v>
      </c>
      <c r="G13" s="52" t="str">
        <f t="shared" si="0"/>
        <v>Mjesečni podaci 2017</v>
      </c>
    </row>
    <row r="14" spans="2:7">
      <c r="D14" s="41"/>
      <c r="E14" s="11" t="s">
        <v>727</v>
      </c>
      <c r="F14" s="12" t="s">
        <v>728</v>
      </c>
      <c r="G14" s="52" t="str">
        <f t="shared" si="0"/>
        <v>Mjesečni podaci 2016</v>
      </c>
    </row>
    <row r="15" spans="2:7">
      <c r="E15" s="11" t="s">
        <v>698</v>
      </c>
      <c r="F15" s="12" t="s">
        <v>699</v>
      </c>
      <c r="G15" s="52" t="str">
        <f t="shared" si="0"/>
        <v>Mjesečni podaci 2015</v>
      </c>
    </row>
    <row r="16" spans="2:7">
      <c r="E16" s="11" t="s">
        <v>14</v>
      </c>
      <c r="F16" s="12" t="s">
        <v>15</v>
      </c>
      <c r="G16" s="52" t="str">
        <f t="shared" si="0"/>
        <v>Mjesečni podaci 2014</v>
      </c>
    </row>
    <row r="17" spans="2:7">
      <c r="E17" s="11" t="s">
        <v>16</v>
      </c>
      <c r="F17" s="12" t="s">
        <v>17</v>
      </c>
      <c r="G17" s="52" t="str">
        <f t="shared" si="0"/>
        <v>Mjesečni podaci 2013</v>
      </c>
    </row>
    <row r="18" spans="2:7">
      <c r="E18" s="11" t="s">
        <v>751</v>
      </c>
      <c r="F18" s="12" t="s">
        <v>752</v>
      </c>
      <c r="G18" s="52" t="str">
        <f t="shared" si="0"/>
        <v>Mjesečni podaci 2012</v>
      </c>
    </row>
    <row r="19" spans="2:7">
      <c r="E19" s="11" t="s">
        <v>753</v>
      </c>
      <c r="F19" s="12" t="s">
        <v>754</v>
      </c>
      <c r="G19" s="52" t="str">
        <f t="shared" si="0"/>
        <v>Mjesečni podaci 2011</v>
      </c>
    </row>
    <row r="20" spans="2:7">
      <c r="E20" s="11" t="s">
        <v>18</v>
      </c>
      <c r="F20" s="12" t="s">
        <v>408</v>
      </c>
      <c r="G20" s="52" t="str">
        <f t="shared" si="0"/>
        <v>Istorijski podaci, od 2006</v>
      </c>
    </row>
    <row r="21" spans="2:7">
      <c r="E21" s="11" t="s">
        <v>19</v>
      </c>
      <c r="F21" s="12" t="s">
        <v>20</v>
      </c>
      <c r="G21" s="52" t="str">
        <f t="shared" si="0"/>
        <v>Javni dug</v>
      </c>
    </row>
    <row r="22" spans="2:7">
      <c r="E22" s="11" t="s">
        <v>415</v>
      </c>
      <c r="F22" s="12" t="s">
        <v>415</v>
      </c>
      <c r="G22" s="52" t="str">
        <f t="shared" si="0"/>
        <v>Plan</v>
      </c>
    </row>
    <row r="23" spans="2:7">
      <c r="E23" s="11" t="s">
        <v>416</v>
      </c>
      <c r="F23" s="12" t="s">
        <v>417</v>
      </c>
      <c r="G23" s="52" t="str">
        <f t="shared" si="0"/>
        <v>Ostvarenje</v>
      </c>
    </row>
    <row r="24" spans="2:7">
      <c r="D24" s="43"/>
      <c r="E24" s="33" t="s">
        <v>418</v>
      </c>
      <c r="F24" s="34" t="s">
        <v>419</v>
      </c>
      <c r="G24" s="53" t="str">
        <f t="shared" si="0"/>
        <v>Početak</v>
      </c>
    </row>
    <row r="25" spans="2:7">
      <c r="D25" s="39"/>
      <c r="E25" s="40"/>
      <c r="F25" s="40"/>
      <c r="G25" s="54" t="str">
        <f t="shared" si="0"/>
        <v/>
      </c>
    </row>
    <row r="26" spans="2:7">
      <c r="E26" s="11"/>
      <c r="F26" s="12"/>
      <c r="G26" s="52" t="str">
        <f t="shared" si="0"/>
        <v/>
      </c>
    </row>
    <row r="27" spans="2:7">
      <c r="B27" s="13"/>
      <c r="C27" s="44"/>
      <c r="D27" s="44">
        <v>7</v>
      </c>
      <c r="E27" s="15" t="s">
        <v>690</v>
      </c>
      <c r="F27" s="16" t="s">
        <v>22</v>
      </c>
      <c r="G27" s="52" t="str">
        <f t="shared" si="0"/>
        <v>Prihodi budžeta</v>
      </c>
    </row>
    <row r="28" spans="2:7">
      <c r="B28" s="13"/>
      <c r="C28" s="45"/>
      <c r="D28" s="45">
        <v>71</v>
      </c>
      <c r="E28" s="15" t="s">
        <v>23</v>
      </c>
      <c r="F28" s="16" t="s">
        <v>24</v>
      </c>
      <c r="G28" s="52" t="str">
        <f t="shared" si="0"/>
        <v>Tekući prihodi</v>
      </c>
    </row>
    <row r="29" spans="2:7">
      <c r="B29" s="17"/>
      <c r="C29" s="46"/>
      <c r="D29" s="45">
        <v>711</v>
      </c>
      <c r="E29" s="18" t="s">
        <v>25</v>
      </c>
      <c r="F29" s="19" t="s">
        <v>26</v>
      </c>
      <c r="G29" s="52" t="str">
        <f t="shared" si="0"/>
        <v>Porezi</v>
      </c>
    </row>
    <row r="30" spans="2:7">
      <c r="B30" s="17"/>
      <c r="C30" s="47"/>
      <c r="D30" s="47">
        <v>7111</v>
      </c>
      <c r="E30" s="21" t="s">
        <v>27</v>
      </c>
      <c r="F30" s="22" t="s">
        <v>28</v>
      </c>
      <c r="G30" s="52" t="str">
        <f t="shared" si="0"/>
        <v>Porez na dohodak fizičkih lica</v>
      </c>
    </row>
    <row r="31" spans="2:7">
      <c r="B31" s="20"/>
      <c r="C31" s="47"/>
      <c r="D31" s="47">
        <v>7112</v>
      </c>
      <c r="E31" s="21" t="s">
        <v>29</v>
      </c>
      <c r="F31" s="22" t="s">
        <v>30</v>
      </c>
      <c r="G31" s="52" t="str">
        <f t="shared" si="0"/>
        <v>Porez na dobit pravnih lica</v>
      </c>
    </row>
    <row r="32" spans="2:7">
      <c r="B32" s="20"/>
      <c r="C32" s="47"/>
      <c r="D32" s="47">
        <v>7113</v>
      </c>
      <c r="E32" s="21" t="s">
        <v>31</v>
      </c>
      <c r="F32" s="22" t="s">
        <v>32</v>
      </c>
      <c r="G32" s="52" t="str">
        <f t="shared" si="0"/>
        <v>Porez na promet nepokretnosti</v>
      </c>
    </row>
    <row r="33" spans="2:7">
      <c r="B33" s="20"/>
      <c r="C33" s="47"/>
      <c r="D33" s="47">
        <v>7114</v>
      </c>
      <c r="E33" s="21" t="s">
        <v>33</v>
      </c>
      <c r="F33" s="22" t="s">
        <v>34</v>
      </c>
      <c r="G33" s="52" t="str">
        <f t="shared" si="0"/>
        <v>Porez na dodatu vrijednost</v>
      </c>
    </row>
    <row r="34" spans="2:7">
      <c r="B34" s="20"/>
      <c r="C34" s="47"/>
      <c r="D34" s="47">
        <v>7115</v>
      </c>
      <c r="E34" s="21" t="s">
        <v>35</v>
      </c>
      <c r="F34" s="22" t="s">
        <v>36</v>
      </c>
      <c r="G34" s="52" t="str">
        <f t="shared" si="0"/>
        <v>Akcize</v>
      </c>
    </row>
    <row r="35" spans="2:7">
      <c r="B35" s="20"/>
      <c r="C35" s="47"/>
      <c r="D35" s="47">
        <v>7116</v>
      </c>
      <c r="E35" s="21" t="s">
        <v>37</v>
      </c>
      <c r="F35" s="22" t="s">
        <v>38</v>
      </c>
      <c r="G35" s="52" t="str">
        <f t="shared" si="0"/>
        <v>Porez na međunarodnu trgovinu i transakcije</v>
      </c>
    </row>
    <row r="36" spans="2:7">
      <c r="B36" s="20"/>
      <c r="C36" s="47"/>
      <c r="D36" s="47"/>
      <c r="E36" s="21"/>
      <c r="F36" s="22"/>
    </row>
    <row r="37" spans="2:7">
      <c r="B37" s="20"/>
      <c r="C37" s="47"/>
      <c r="D37" s="47">
        <v>7118</v>
      </c>
      <c r="E37" s="21" t="s">
        <v>733</v>
      </c>
      <c r="F37" s="22" t="s">
        <v>40</v>
      </c>
      <c r="G37" s="52" t="str">
        <f t="shared" si="0"/>
        <v>Ostali državni porezi</v>
      </c>
    </row>
    <row r="38" spans="2:7">
      <c r="B38" s="20"/>
      <c r="C38" s="46"/>
      <c r="D38" s="45">
        <v>712</v>
      </c>
      <c r="E38" s="18" t="s">
        <v>41</v>
      </c>
      <c r="F38" s="19" t="s">
        <v>42</v>
      </c>
      <c r="G38" s="52" t="str">
        <f t="shared" si="0"/>
        <v>Doprinosi</v>
      </c>
    </row>
    <row r="39" spans="2:7">
      <c r="B39" s="17"/>
      <c r="C39" s="47"/>
      <c r="D39" s="47">
        <v>7121</v>
      </c>
      <c r="E39" s="21" t="s">
        <v>43</v>
      </c>
      <c r="F39" s="22" t="s">
        <v>44</v>
      </c>
      <c r="G39" s="52" t="str">
        <f t="shared" si="0"/>
        <v>Doprinosi za penzijsko i invalidsko osiguranje</v>
      </c>
    </row>
    <row r="40" spans="2:7">
      <c r="B40" s="20"/>
      <c r="C40" s="47"/>
      <c r="D40" s="47">
        <v>7122</v>
      </c>
      <c r="E40" s="21" t="s">
        <v>45</v>
      </c>
      <c r="F40" s="22" t="s">
        <v>46</v>
      </c>
      <c r="G40" s="52" t="str">
        <f t="shared" si="0"/>
        <v>Doprinosi za zdravstveno osiguranje</v>
      </c>
    </row>
    <row r="41" spans="2:7">
      <c r="B41" s="20"/>
      <c r="C41" s="47"/>
      <c r="D41" s="47">
        <v>7123</v>
      </c>
      <c r="E41" s="21" t="s">
        <v>47</v>
      </c>
      <c r="F41" s="22" t="s">
        <v>48</v>
      </c>
      <c r="G41" s="52" t="str">
        <f t="shared" si="0"/>
        <v>Doprinosi za osiguranje od nezaposlenosti</v>
      </c>
    </row>
    <row r="42" spans="2:7">
      <c r="B42" s="20"/>
      <c r="C42" s="47"/>
      <c r="D42" s="47">
        <v>7124</v>
      </c>
      <c r="E42" s="21" t="s">
        <v>49</v>
      </c>
      <c r="F42" s="22" t="s">
        <v>50</v>
      </c>
      <c r="G42" s="52" t="str">
        <f t="shared" si="0"/>
        <v>Ostali doprinosi</v>
      </c>
    </row>
    <row r="43" spans="2:7">
      <c r="B43" s="20"/>
      <c r="C43" s="46"/>
      <c r="D43" s="45">
        <v>713</v>
      </c>
      <c r="E43" s="18" t="s">
        <v>51</v>
      </c>
      <c r="F43" s="19" t="s">
        <v>52</v>
      </c>
      <c r="G43" s="52" t="str">
        <f t="shared" si="0"/>
        <v>Takse</v>
      </c>
    </row>
    <row r="44" spans="2:7">
      <c r="B44" s="17"/>
      <c r="C44" s="47"/>
      <c r="D44" s="47">
        <v>7131</v>
      </c>
      <c r="E44" s="21" t="s">
        <v>53</v>
      </c>
      <c r="F44" s="22" t="s">
        <v>54</v>
      </c>
      <c r="G44" s="52" t="str">
        <f t="shared" si="0"/>
        <v>Administrativne takse</v>
      </c>
    </row>
    <row r="45" spans="2:7">
      <c r="B45" s="20"/>
      <c r="C45" s="47"/>
      <c r="D45" s="47">
        <v>7132</v>
      </c>
      <c r="E45" s="21" t="s">
        <v>55</v>
      </c>
      <c r="F45" s="22" t="s">
        <v>56</v>
      </c>
      <c r="G45" s="52" t="str">
        <f t="shared" si="0"/>
        <v>Sudske takse</v>
      </c>
    </row>
    <row r="46" spans="2:7">
      <c r="B46" s="20"/>
      <c r="C46" s="47"/>
      <c r="D46" s="47">
        <v>7133</v>
      </c>
      <c r="E46" s="21" t="s">
        <v>57</v>
      </c>
      <c r="F46" s="22" t="s">
        <v>58</v>
      </c>
      <c r="G46" s="52" t="str">
        <f t="shared" si="0"/>
        <v>Boravišne takse</v>
      </c>
    </row>
    <row r="47" spans="2:7">
      <c r="B47" s="20"/>
      <c r="C47" s="47"/>
      <c r="D47" s="47">
        <v>7134</v>
      </c>
      <c r="E47" s="21" t="s">
        <v>59</v>
      </c>
      <c r="F47" s="22" t="s">
        <v>60</v>
      </c>
      <c r="G47" s="52" t="str">
        <f t="shared" si="0"/>
        <v>Registracione takse</v>
      </c>
    </row>
    <row r="48" spans="2:7">
      <c r="B48" s="20"/>
      <c r="C48" s="47"/>
      <c r="D48" s="47">
        <v>7135</v>
      </c>
      <c r="E48" s="21" t="s">
        <v>61</v>
      </c>
      <c r="F48" s="22" t="s">
        <v>62</v>
      </c>
      <c r="G48" s="52" t="str">
        <f t="shared" si="0"/>
        <v>Lokalne komunalne takse</v>
      </c>
    </row>
    <row r="49" spans="2:7">
      <c r="B49" s="20"/>
      <c r="C49" s="47"/>
      <c r="D49" s="47">
        <v>7136</v>
      </c>
      <c r="E49" s="21" t="s">
        <v>63</v>
      </c>
      <c r="F49" s="22" t="s">
        <v>64</v>
      </c>
      <c r="G49" s="52" t="str">
        <f t="shared" si="0"/>
        <v>Ostale takse</v>
      </c>
    </row>
    <row r="50" spans="2:7">
      <c r="B50" s="20"/>
      <c r="C50" s="46"/>
      <c r="D50" s="45">
        <v>714</v>
      </c>
      <c r="E50" s="18" t="s">
        <v>65</v>
      </c>
      <c r="F50" s="19" t="s">
        <v>66</v>
      </c>
      <c r="G50" s="52" t="str">
        <f t="shared" si="0"/>
        <v>Naknade</v>
      </c>
    </row>
    <row r="51" spans="2:7" ht="23.25">
      <c r="B51" s="17"/>
      <c r="C51" s="47"/>
      <c r="D51" s="47">
        <v>7141</v>
      </c>
      <c r="E51" s="21" t="s">
        <v>67</v>
      </c>
      <c r="F51" s="22" t="s">
        <v>68</v>
      </c>
      <c r="G51" s="52" t="str">
        <f t="shared" si="0"/>
        <v>Naknade za korišćenje dobara od opšteg interesa</v>
      </c>
    </row>
    <row r="52" spans="2:7">
      <c r="B52" s="20"/>
      <c r="C52" s="47"/>
      <c r="D52" s="47">
        <v>7142</v>
      </c>
      <c r="E52" s="21" t="s">
        <v>69</v>
      </c>
      <c r="F52" s="22" t="s">
        <v>70</v>
      </c>
      <c r="G52" s="52" t="str">
        <f t="shared" si="0"/>
        <v>Naknade za korišćenje prirodnih dobara</v>
      </c>
    </row>
    <row r="53" spans="2:7">
      <c r="B53" s="20"/>
      <c r="C53" s="47"/>
      <c r="D53" s="47">
        <v>7143</v>
      </c>
      <c r="E53" s="21" t="s">
        <v>71</v>
      </c>
      <c r="F53" s="22" t="s">
        <v>72</v>
      </c>
      <c r="G53" s="52" t="str">
        <f t="shared" si="0"/>
        <v>Ekološke naknade</v>
      </c>
    </row>
    <row r="54" spans="2:7">
      <c r="B54" s="20"/>
      <c r="C54" s="47"/>
      <c r="D54" s="47">
        <v>7144</v>
      </c>
      <c r="E54" s="21" t="s">
        <v>73</v>
      </c>
      <c r="F54" s="22" t="s">
        <v>74</v>
      </c>
      <c r="G54" s="52" t="str">
        <f t="shared" si="0"/>
        <v>Naknade za priređivanje igara na sreću</v>
      </c>
    </row>
    <row r="55" spans="2:7">
      <c r="B55" s="20"/>
      <c r="C55" s="47"/>
      <c r="D55" s="47">
        <v>7145</v>
      </c>
      <c r="E55" s="21" t="s">
        <v>75</v>
      </c>
      <c r="F55" s="22" t="s">
        <v>76</v>
      </c>
      <c r="G55" s="52" t="str">
        <f t="shared" si="0"/>
        <v>Naknade za korišćenje građevinskog zemljišta</v>
      </c>
    </row>
    <row r="56" spans="2:7" ht="23.25">
      <c r="B56" s="20"/>
      <c r="C56" s="47"/>
      <c r="D56" s="47">
        <v>7146</v>
      </c>
      <c r="E56" s="21" t="s">
        <v>77</v>
      </c>
      <c r="F56" s="22" t="s">
        <v>78</v>
      </c>
      <c r="G56" s="52" t="str">
        <f t="shared" si="0"/>
        <v xml:space="preserve">Naknade za uređivanje i izgradnju građevinskog zemljišta </v>
      </c>
    </row>
    <row r="57" spans="2:7" ht="34.5">
      <c r="B57" s="20"/>
      <c r="C57" s="47"/>
      <c r="D57" s="47">
        <v>7147</v>
      </c>
      <c r="E57" s="21" t="s">
        <v>79</v>
      </c>
      <c r="F57" s="22" t="s">
        <v>80</v>
      </c>
      <c r="G57" s="52" t="str">
        <f t="shared" si="0"/>
        <v xml:space="preserve">Naknade za izgradnju i održavanje lokalnih puteva i drugih javnih objekata od opštinskog značaja </v>
      </c>
    </row>
    <row r="58" spans="2:7">
      <c r="B58" s="20"/>
      <c r="C58" s="47"/>
      <c r="D58" s="47">
        <v>7148</v>
      </c>
      <c r="E58" s="21" t="s">
        <v>81</v>
      </c>
      <c r="F58" s="22" t="s">
        <v>82</v>
      </c>
      <c r="G58" s="52" t="str">
        <f t="shared" si="0"/>
        <v>Naknada za puteve</v>
      </c>
    </row>
    <row r="59" spans="2:7">
      <c r="B59" s="20"/>
      <c r="C59" s="47"/>
      <c r="D59" s="47">
        <v>7149</v>
      </c>
      <c r="E59" s="21" t="s">
        <v>83</v>
      </c>
      <c r="F59" s="22" t="s">
        <v>84</v>
      </c>
      <c r="G59" s="52" t="str">
        <f t="shared" si="0"/>
        <v>Ostale naknade</v>
      </c>
    </row>
    <row r="60" spans="2:7">
      <c r="B60" s="20"/>
      <c r="C60" s="46"/>
      <c r="D60" s="45">
        <v>715</v>
      </c>
      <c r="E60" s="18" t="s">
        <v>85</v>
      </c>
      <c r="F60" s="19" t="s">
        <v>86</v>
      </c>
      <c r="G60" s="52" t="str">
        <f t="shared" si="0"/>
        <v>Ostali prihodi</v>
      </c>
    </row>
    <row r="61" spans="2:7">
      <c r="B61" s="17"/>
      <c r="C61" s="47"/>
      <c r="D61" s="47">
        <v>7151</v>
      </c>
      <c r="E61" s="21" t="s">
        <v>87</v>
      </c>
      <c r="F61" s="22" t="s">
        <v>88</v>
      </c>
      <c r="G61" s="52" t="str">
        <f t="shared" si="0"/>
        <v>Prihodi od kapitala</v>
      </c>
    </row>
    <row r="62" spans="2:7">
      <c r="B62" s="20"/>
      <c r="C62" s="47"/>
      <c r="D62" s="47">
        <v>7152</v>
      </c>
      <c r="E62" s="21" t="s">
        <v>89</v>
      </c>
      <c r="F62" s="22" t="s">
        <v>90</v>
      </c>
      <c r="G62" s="52" t="str">
        <f t="shared" si="0"/>
        <v>Novčane kazne i oduzete imovinske koristi</v>
      </c>
    </row>
    <row r="63" spans="2:7" ht="23.25">
      <c r="B63" s="20"/>
      <c r="C63" s="47"/>
      <c r="D63" s="47">
        <v>7153</v>
      </c>
      <c r="E63" s="21" t="s">
        <v>91</v>
      </c>
      <c r="F63" s="22" t="s">
        <v>92</v>
      </c>
      <c r="G63" s="52" t="str">
        <f t="shared" si="0"/>
        <v>Prihodi koje organi ostvaruju vršenjem svoje djelatnosti</v>
      </c>
    </row>
    <row r="64" spans="2:7">
      <c r="B64" s="20"/>
      <c r="C64" s="47"/>
      <c r="D64" s="47">
        <v>7154</v>
      </c>
      <c r="E64" s="21" t="s">
        <v>93</v>
      </c>
      <c r="F64" s="22" t="s">
        <v>94</v>
      </c>
      <c r="G64" s="52" t="str">
        <f t="shared" si="0"/>
        <v>Samodoprinosi</v>
      </c>
    </row>
    <row r="65" spans="2:7">
      <c r="B65" s="20"/>
      <c r="C65" s="47"/>
      <c r="D65" s="47">
        <v>7155</v>
      </c>
      <c r="E65" s="21" t="s">
        <v>85</v>
      </c>
      <c r="F65" s="22" t="s">
        <v>95</v>
      </c>
      <c r="G65" s="52" t="str">
        <f t="shared" si="0"/>
        <v>Ostali prihodi</v>
      </c>
    </row>
    <row r="66" spans="2:7">
      <c r="B66" s="20"/>
      <c r="C66" s="45" t="s">
        <v>96</v>
      </c>
      <c r="D66" s="45">
        <v>72</v>
      </c>
      <c r="E66" s="23" t="s">
        <v>97</v>
      </c>
      <c r="F66" s="16" t="s">
        <v>98</v>
      </c>
      <c r="G66" s="52" t="str">
        <f t="shared" si="0"/>
        <v>Primici od prodaje imovine</v>
      </c>
    </row>
    <row r="67" spans="2:7">
      <c r="B67" s="17"/>
      <c r="C67" s="47">
        <v>721</v>
      </c>
      <c r="D67" s="47">
        <v>7212</v>
      </c>
      <c r="E67" s="21" t="s">
        <v>99</v>
      </c>
      <c r="F67" s="22" t="s">
        <v>100</v>
      </c>
      <c r="G67" s="52" t="str">
        <f t="shared" si="0"/>
        <v>Primici od prodaje nefinansijske imovine</v>
      </c>
    </row>
    <row r="68" spans="2:7">
      <c r="B68" s="20"/>
      <c r="C68" s="47">
        <v>722</v>
      </c>
      <c r="D68" s="47">
        <v>7222</v>
      </c>
      <c r="E68" s="21" t="s">
        <v>101</v>
      </c>
      <c r="F68" s="22" t="s">
        <v>102</v>
      </c>
      <c r="G68" s="52" t="str">
        <f t="shared" si="0"/>
        <v>Primici od prodaje finansijske imovine</v>
      </c>
    </row>
    <row r="69" spans="2:7" ht="23.25">
      <c r="B69" s="20"/>
      <c r="C69" s="45"/>
      <c r="D69" s="45">
        <v>73</v>
      </c>
      <c r="E69" s="23" t="s">
        <v>103</v>
      </c>
      <c r="F69" s="16" t="s">
        <v>104</v>
      </c>
      <c r="G69" s="52" t="str">
        <f t="shared" si="0"/>
        <v>Primici od otplate kredita i sredstva prenesena iz prethodne godine</v>
      </c>
    </row>
    <row r="70" spans="2:7">
      <c r="B70" s="17"/>
      <c r="C70" s="47">
        <v>731</v>
      </c>
      <c r="D70" s="47">
        <v>7311</v>
      </c>
      <c r="E70" s="21" t="s">
        <v>105</v>
      </c>
      <c r="F70" s="22" t="s">
        <v>106</v>
      </c>
      <c r="G70" s="52" t="str">
        <f t="shared" si="0"/>
        <v>Primici od otplate kredita</v>
      </c>
    </row>
    <row r="71" spans="2:7">
      <c r="B71" s="20"/>
      <c r="C71" s="47">
        <v>732</v>
      </c>
      <c r="D71" s="47">
        <v>7321</v>
      </c>
      <c r="E71" s="21" t="s">
        <v>107</v>
      </c>
      <c r="F71" s="22" t="s">
        <v>108</v>
      </c>
      <c r="G71" s="52" t="str">
        <f t="shared" si="0"/>
        <v>Sredstva prenesena iz prethodne godine</v>
      </c>
    </row>
    <row r="72" spans="2:7">
      <c r="B72" s="20"/>
      <c r="C72" s="45" t="s">
        <v>96</v>
      </c>
      <c r="D72" s="45">
        <v>74</v>
      </c>
      <c r="E72" s="23" t="s">
        <v>109</v>
      </c>
      <c r="F72" s="16" t="s">
        <v>110</v>
      </c>
      <c r="G72" s="52" t="str">
        <f t="shared" si="0"/>
        <v>Donacije i transferi</v>
      </c>
    </row>
    <row r="73" spans="2:7">
      <c r="B73" s="17"/>
      <c r="C73" s="47">
        <v>741</v>
      </c>
      <c r="D73" s="47">
        <v>7411</v>
      </c>
      <c r="E73" s="21" t="s">
        <v>111</v>
      </c>
      <c r="F73" s="22" t="s">
        <v>112</v>
      </c>
      <c r="G73" s="52" t="str">
        <f t="shared" si="0"/>
        <v>Donacije</v>
      </c>
    </row>
    <row r="74" spans="2:7">
      <c r="B74" s="20"/>
      <c r="C74" s="47">
        <v>742</v>
      </c>
      <c r="D74" s="47">
        <v>7421</v>
      </c>
      <c r="E74" s="21" t="s">
        <v>113</v>
      </c>
      <c r="F74" s="22" t="s">
        <v>114</v>
      </c>
      <c r="G74" s="52" t="str">
        <f t="shared" ref="G74:G139" si="1">+IF(ISBLANK(IF($B$2=1,E74,F74)),"",IF($B$2=1,E74,F74))</f>
        <v>Transferi</v>
      </c>
    </row>
    <row r="75" spans="2:7">
      <c r="B75" s="20"/>
      <c r="C75" s="46"/>
      <c r="D75" s="45">
        <v>75</v>
      </c>
      <c r="E75" s="23" t="s">
        <v>115</v>
      </c>
      <c r="F75" s="16" t="s">
        <v>116</v>
      </c>
      <c r="G75" s="52" t="str">
        <f t="shared" si="1"/>
        <v xml:space="preserve">Pozajmice i krediti </v>
      </c>
    </row>
    <row r="76" spans="2:7">
      <c r="B76" s="17"/>
      <c r="C76" s="45"/>
      <c r="D76" s="45">
        <v>751</v>
      </c>
      <c r="E76" s="18" t="s">
        <v>117</v>
      </c>
      <c r="F76" s="19" t="s">
        <v>116</v>
      </c>
      <c r="G76" s="52" t="str">
        <f t="shared" si="1"/>
        <v>Pozajmice i krediti</v>
      </c>
    </row>
    <row r="77" spans="2:7">
      <c r="B77" s="17"/>
      <c r="C77" s="47"/>
      <c r="D77" s="47">
        <v>7511</v>
      </c>
      <c r="E77" s="21" t="s">
        <v>118</v>
      </c>
      <c r="F77" s="22" t="s">
        <v>119</v>
      </c>
      <c r="G77" s="52" t="str">
        <f t="shared" si="1"/>
        <v>Pozajmice i krediti od domaćih izvora</v>
      </c>
    </row>
    <row r="78" spans="2:7">
      <c r="B78" s="20"/>
      <c r="C78" s="48"/>
      <c r="D78" s="48">
        <v>7512</v>
      </c>
      <c r="E78" s="24" t="s">
        <v>120</v>
      </c>
      <c r="F78" s="62" t="s">
        <v>121</v>
      </c>
      <c r="G78" s="53" t="str">
        <f t="shared" si="1"/>
        <v>Pozajmice i krediti od inostranih izvora</v>
      </c>
    </row>
    <row r="79" spans="2:7">
      <c r="B79" s="20"/>
      <c r="C79" s="44"/>
      <c r="D79" s="44">
        <v>4</v>
      </c>
      <c r="E79" s="15" t="s">
        <v>771</v>
      </c>
      <c r="F79" s="16" t="s">
        <v>123</v>
      </c>
      <c r="G79" s="52" t="str">
        <f t="shared" si="1"/>
        <v>Budžetski izdaci</v>
      </c>
    </row>
    <row r="80" spans="2:7">
      <c r="B80" s="20"/>
      <c r="C80" s="44"/>
      <c r="D80" s="44">
        <v>40</v>
      </c>
      <c r="E80" s="15" t="s">
        <v>124</v>
      </c>
      <c r="F80" s="16" t="s">
        <v>125</v>
      </c>
      <c r="G80" s="52" t="str">
        <f t="shared" si="1"/>
        <v>Tekući izdaci</v>
      </c>
    </row>
    <row r="81" spans="2:7">
      <c r="B81" s="13"/>
      <c r="C81" s="44"/>
      <c r="D81" s="44">
        <v>41</v>
      </c>
      <c r="E81" s="15" t="s">
        <v>795</v>
      </c>
      <c r="F81" s="16" t="s">
        <v>794</v>
      </c>
      <c r="G81" s="52" t="str">
        <f t="shared" si="1"/>
        <v>Tekuća budžetska potrošnja</v>
      </c>
    </row>
    <row r="82" spans="2:7">
      <c r="B82" s="14" t="s">
        <v>96</v>
      </c>
      <c r="C82" s="46"/>
      <c r="D82" s="44">
        <v>411</v>
      </c>
      <c r="E82" s="18" t="s">
        <v>126</v>
      </c>
      <c r="F82" s="19" t="s">
        <v>127</v>
      </c>
      <c r="G82" s="52" t="str">
        <f t="shared" si="1"/>
        <v>Bruto zarade i doprinosi na teret poslodavca</v>
      </c>
    </row>
    <row r="83" spans="2:7">
      <c r="B83" s="14"/>
      <c r="C83" s="49"/>
      <c r="D83" s="49">
        <v>4111</v>
      </c>
      <c r="E83" s="21" t="s">
        <v>128</v>
      </c>
      <c r="F83" s="22" t="s">
        <v>129</v>
      </c>
      <c r="G83" s="52" t="str">
        <f t="shared" si="1"/>
        <v>Neto zarade</v>
      </c>
    </row>
    <row r="84" spans="2:7">
      <c r="B84" s="25"/>
      <c r="C84" s="49"/>
      <c r="D84" s="49">
        <v>4112</v>
      </c>
      <c r="E84" s="21" t="s">
        <v>130</v>
      </c>
      <c r="F84" s="22" t="s">
        <v>28</v>
      </c>
      <c r="G84" s="52" t="str">
        <f t="shared" si="1"/>
        <v>Porez na zarade</v>
      </c>
    </row>
    <row r="85" spans="2:7">
      <c r="B85" s="25"/>
      <c r="C85" s="49"/>
      <c r="D85" s="49">
        <v>4113</v>
      </c>
      <c r="E85" s="21" t="s">
        <v>131</v>
      </c>
      <c r="F85" s="22" t="s">
        <v>132</v>
      </c>
      <c r="G85" s="52" t="str">
        <f t="shared" si="1"/>
        <v>Doprinosi na teret zaposlenog</v>
      </c>
    </row>
    <row r="86" spans="2:7" ht="15.75">
      <c r="B86" s="25"/>
      <c r="C86" s="50"/>
      <c r="D86" s="49">
        <v>4114</v>
      </c>
      <c r="E86" s="21" t="s">
        <v>133</v>
      </c>
      <c r="F86" s="22" t="s">
        <v>134</v>
      </c>
      <c r="G86" s="52" t="str">
        <f t="shared" si="1"/>
        <v>Doprinosi na teret poslodavca</v>
      </c>
    </row>
    <row r="87" spans="2:7" ht="15.75">
      <c r="B87" s="26"/>
      <c r="C87" s="49"/>
      <c r="D87" s="49">
        <v>4115</v>
      </c>
      <c r="E87" s="21" t="s">
        <v>135</v>
      </c>
      <c r="F87" s="22" t="s">
        <v>136</v>
      </c>
      <c r="G87" s="52" t="str">
        <f t="shared" si="1"/>
        <v>Opštinski prirez</v>
      </c>
    </row>
    <row r="88" spans="2:7">
      <c r="B88" s="25"/>
      <c r="C88" s="46"/>
      <c r="D88" s="44">
        <v>412</v>
      </c>
      <c r="E88" s="18" t="s">
        <v>137</v>
      </c>
      <c r="F88" s="19" t="s">
        <v>138</v>
      </c>
      <c r="G88" s="52" t="str">
        <f t="shared" si="1"/>
        <v>Ostala lična primanja</v>
      </c>
    </row>
    <row r="89" spans="2:7">
      <c r="B89" s="14"/>
      <c r="C89" s="49"/>
      <c r="D89" s="49">
        <v>4121</v>
      </c>
      <c r="E89" s="21" t="s">
        <v>139</v>
      </c>
      <c r="F89" s="22" t="s">
        <v>140</v>
      </c>
      <c r="G89" s="52" t="str">
        <f t="shared" si="1"/>
        <v>Naknada za zimnicu</v>
      </c>
    </row>
    <row r="90" spans="2:7">
      <c r="B90" s="25"/>
      <c r="C90" s="49"/>
      <c r="D90" s="49">
        <v>4122</v>
      </c>
      <c r="E90" s="21" t="s">
        <v>141</v>
      </c>
      <c r="F90" s="22" t="s">
        <v>142</v>
      </c>
      <c r="G90" s="52" t="str">
        <f t="shared" si="1"/>
        <v>Naknada za stanovanje i odvojen život</v>
      </c>
    </row>
    <row r="91" spans="2:7">
      <c r="B91" s="25"/>
      <c r="C91" s="49"/>
      <c r="D91" s="49">
        <v>4123</v>
      </c>
      <c r="E91" s="21" t="s">
        <v>143</v>
      </c>
      <c r="F91" s="22" t="s">
        <v>144</v>
      </c>
      <c r="G91" s="52" t="str">
        <f t="shared" si="1"/>
        <v>Naknada za prevoz</v>
      </c>
    </row>
    <row r="92" spans="2:7">
      <c r="B92" s="25"/>
      <c r="C92" s="49"/>
      <c r="D92" s="49">
        <v>4124</v>
      </c>
      <c r="E92" s="21" t="s">
        <v>145</v>
      </c>
      <c r="F92" s="22" t="s">
        <v>146</v>
      </c>
      <c r="G92" s="52" t="str">
        <f t="shared" si="1"/>
        <v>Jubilarne nagrade</v>
      </c>
    </row>
    <row r="93" spans="2:7">
      <c r="B93" s="25"/>
      <c r="C93" s="49"/>
      <c r="D93" s="49">
        <v>4125</v>
      </c>
      <c r="E93" s="21" t="s">
        <v>147</v>
      </c>
      <c r="F93" s="22" t="s">
        <v>148</v>
      </c>
      <c r="G93" s="52" t="str">
        <f t="shared" si="1"/>
        <v>Otpremnine</v>
      </c>
    </row>
    <row r="94" spans="2:7">
      <c r="B94" s="25"/>
      <c r="C94" s="49"/>
      <c r="D94" s="49">
        <v>4126</v>
      </c>
      <c r="E94" s="21" t="s">
        <v>149</v>
      </c>
      <c r="F94" s="22" t="s">
        <v>150</v>
      </c>
      <c r="G94" s="52" t="str">
        <f t="shared" si="1"/>
        <v>Naknada skupstinskim poslanicima</v>
      </c>
    </row>
    <row r="95" spans="2:7">
      <c r="B95" s="25"/>
      <c r="C95" s="49"/>
      <c r="D95" s="49">
        <v>4127</v>
      </c>
      <c r="E95" s="21" t="s">
        <v>83</v>
      </c>
      <c r="F95" s="22" t="s">
        <v>151</v>
      </c>
      <c r="G95" s="52" t="str">
        <f t="shared" si="1"/>
        <v>Ostale naknade</v>
      </c>
    </row>
    <row r="96" spans="2:7">
      <c r="B96" s="25"/>
      <c r="C96" s="49"/>
      <c r="D96" s="49">
        <v>4128</v>
      </c>
      <c r="E96" s="21" t="s">
        <v>730</v>
      </c>
      <c r="F96" s="22" t="s">
        <v>732</v>
      </c>
      <c r="G96" s="52" t="str">
        <f t="shared" si="1"/>
        <v>Ostala prava iz oblasti socijalne zaštite</v>
      </c>
    </row>
    <row r="97" spans="2:7">
      <c r="B97" s="25"/>
      <c r="C97" s="46"/>
      <c r="D97" s="44">
        <v>413</v>
      </c>
      <c r="E97" s="18" t="s">
        <v>152</v>
      </c>
      <c r="F97" s="19" t="s">
        <v>153</v>
      </c>
      <c r="G97" s="52" t="str">
        <f t="shared" si="1"/>
        <v>Rashodi za materijal</v>
      </c>
    </row>
    <row r="98" spans="2:7">
      <c r="B98" s="14"/>
      <c r="C98" s="49"/>
      <c r="D98" s="49">
        <v>4131</v>
      </c>
      <c r="E98" s="21" t="s">
        <v>154</v>
      </c>
      <c r="F98" s="22" t="s">
        <v>155</v>
      </c>
      <c r="G98" s="52" t="str">
        <f t="shared" si="1"/>
        <v>Administrativni materijal</v>
      </c>
    </row>
    <row r="99" spans="2:7">
      <c r="B99" s="25"/>
      <c r="C99" s="49"/>
      <c r="D99" s="49">
        <v>4132</v>
      </c>
      <c r="E99" s="21" t="s">
        <v>156</v>
      </c>
      <c r="F99" s="22" t="s">
        <v>157</v>
      </c>
      <c r="G99" s="52" t="str">
        <f t="shared" si="1"/>
        <v>Materijal za zdravstvenu zaštitu</v>
      </c>
    </row>
    <row r="100" spans="2:7">
      <c r="B100" s="25"/>
      <c r="C100" s="49"/>
      <c r="D100" s="49">
        <v>4133</v>
      </c>
      <c r="E100" s="21" t="s">
        <v>158</v>
      </c>
      <c r="F100" s="22" t="s">
        <v>159</v>
      </c>
      <c r="G100" s="52" t="str">
        <f t="shared" si="1"/>
        <v>Materijal za posebne namjene</v>
      </c>
    </row>
    <row r="101" spans="2:7">
      <c r="B101" s="25"/>
      <c r="C101" s="49"/>
      <c r="D101" s="49">
        <v>4134</v>
      </c>
      <c r="E101" s="21" t="s">
        <v>160</v>
      </c>
      <c r="F101" s="22" t="s">
        <v>161</v>
      </c>
      <c r="G101" s="52" t="str">
        <f t="shared" si="1"/>
        <v>Rashodi za energiju</v>
      </c>
    </row>
    <row r="102" spans="2:7">
      <c r="B102" s="25"/>
      <c r="C102" s="49"/>
      <c r="D102" s="49">
        <v>4135</v>
      </c>
      <c r="E102" s="21" t="s">
        <v>162</v>
      </c>
      <c r="F102" s="22" t="s">
        <v>163</v>
      </c>
      <c r="G102" s="52" t="str">
        <f t="shared" si="1"/>
        <v>Rashodi za gorivo</v>
      </c>
    </row>
    <row r="103" spans="2:7">
      <c r="B103" s="25"/>
      <c r="C103" s="49"/>
      <c r="D103" s="49">
        <v>4139</v>
      </c>
      <c r="E103" s="21" t="s">
        <v>164</v>
      </c>
      <c r="F103" s="22" t="s">
        <v>165</v>
      </c>
      <c r="G103" s="52" t="str">
        <f t="shared" si="1"/>
        <v>Ostali rashodi za materijal</v>
      </c>
    </row>
    <row r="104" spans="2:7">
      <c r="B104" s="25"/>
      <c r="C104" s="46"/>
      <c r="D104" s="44">
        <v>414</v>
      </c>
      <c r="E104" s="18" t="s">
        <v>166</v>
      </c>
      <c r="F104" s="19" t="s">
        <v>167</v>
      </c>
      <c r="G104" s="52" t="str">
        <f t="shared" si="1"/>
        <v>Rashodi za usluge</v>
      </c>
    </row>
    <row r="105" spans="2:7">
      <c r="B105" s="14"/>
      <c r="C105" s="49"/>
      <c r="D105" s="49">
        <v>4141</v>
      </c>
      <c r="E105" s="21" t="s">
        <v>168</v>
      </c>
      <c r="F105" s="22" t="s">
        <v>169</v>
      </c>
      <c r="G105" s="52" t="str">
        <f t="shared" si="1"/>
        <v>Službena putovanja</v>
      </c>
    </row>
    <row r="106" spans="2:7">
      <c r="B106" s="25"/>
      <c r="C106" s="49"/>
      <c r="D106" s="49">
        <v>4142</v>
      </c>
      <c r="E106" s="21" t="s">
        <v>170</v>
      </c>
      <c r="F106" s="22" t="s">
        <v>171</v>
      </c>
      <c r="G106" s="52" t="str">
        <f t="shared" si="1"/>
        <v>Reprezentacija</v>
      </c>
    </row>
    <row r="107" spans="2:7">
      <c r="B107" s="25"/>
      <c r="C107" s="49"/>
      <c r="D107" s="49">
        <v>4143</v>
      </c>
      <c r="E107" s="21" t="s">
        <v>172</v>
      </c>
      <c r="F107" s="22" t="s">
        <v>173</v>
      </c>
      <c r="G107" s="52" t="str">
        <f t="shared" si="1"/>
        <v>Komunikacione usluge</v>
      </c>
    </row>
    <row r="108" spans="2:7">
      <c r="B108" s="25"/>
      <c r="C108" s="49"/>
      <c r="D108" s="49">
        <v>4144</v>
      </c>
      <c r="E108" s="21" t="s">
        <v>174</v>
      </c>
      <c r="F108" s="22" t="s">
        <v>175</v>
      </c>
      <c r="G108" s="52" t="str">
        <f t="shared" si="1"/>
        <v>Bankarske usluge i negativne kursne razlike</v>
      </c>
    </row>
    <row r="109" spans="2:7">
      <c r="B109" s="25"/>
      <c r="C109" s="49"/>
      <c r="D109" s="49">
        <v>4145</v>
      </c>
      <c r="E109" s="21" t="s">
        <v>176</v>
      </c>
      <c r="F109" s="22" t="s">
        <v>177</v>
      </c>
      <c r="G109" s="52" t="str">
        <f t="shared" si="1"/>
        <v>Usluge prevoza</v>
      </c>
    </row>
    <row r="110" spans="2:7">
      <c r="B110" s="25"/>
      <c r="C110" s="49"/>
      <c r="D110" s="49">
        <v>4146</v>
      </c>
      <c r="E110" s="21" t="s">
        <v>178</v>
      </c>
      <c r="F110" s="22" t="s">
        <v>179</v>
      </c>
      <c r="G110" s="52" t="str">
        <f t="shared" si="1"/>
        <v>Advokatske, notarske i pravne usluge</v>
      </c>
    </row>
    <row r="111" spans="2:7">
      <c r="B111" s="25"/>
      <c r="C111" s="49"/>
      <c r="D111" s="49">
        <v>4147</v>
      </c>
      <c r="E111" s="21" t="s">
        <v>180</v>
      </c>
      <c r="F111" s="22" t="s">
        <v>181</v>
      </c>
      <c r="G111" s="52" t="str">
        <f t="shared" si="1"/>
        <v>Konsultantske usluge, projekti i studije</v>
      </c>
    </row>
    <row r="112" spans="2:7">
      <c r="B112" s="25"/>
      <c r="C112" s="49"/>
      <c r="D112" s="49">
        <v>4148</v>
      </c>
      <c r="E112" s="21" t="s">
        <v>182</v>
      </c>
      <c r="F112" s="22" t="s">
        <v>183</v>
      </c>
      <c r="G112" s="52" t="str">
        <f t="shared" si="1"/>
        <v>Usluge stručnog usavršavanja</v>
      </c>
    </row>
    <row r="113" spans="2:7">
      <c r="B113" s="25"/>
      <c r="C113" s="49"/>
      <c r="D113" s="49">
        <v>4149</v>
      </c>
      <c r="E113" s="21" t="s">
        <v>184</v>
      </c>
      <c r="F113" s="22" t="s">
        <v>185</v>
      </c>
      <c r="G113" s="52" t="str">
        <f t="shared" si="1"/>
        <v>Ostale usluge</v>
      </c>
    </row>
    <row r="114" spans="2:7">
      <c r="B114" s="25"/>
      <c r="C114" s="46"/>
      <c r="D114" s="44">
        <v>415</v>
      </c>
      <c r="E114" s="18" t="s">
        <v>186</v>
      </c>
      <c r="F114" s="19" t="s">
        <v>187</v>
      </c>
      <c r="G114" s="52" t="str">
        <f t="shared" si="1"/>
        <v>Rashodi za tekuće održavanje</v>
      </c>
    </row>
    <row r="115" spans="2:7">
      <c r="B115" s="14"/>
      <c r="C115" s="49"/>
      <c r="D115" s="49">
        <v>4151</v>
      </c>
      <c r="E115" s="21" t="s">
        <v>188</v>
      </c>
      <c r="F115" s="22" t="s">
        <v>189</v>
      </c>
      <c r="G115" s="52" t="str">
        <f t="shared" si="1"/>
        <v>Tekuće održavanje javne infrastrukture</v>
      </c>
    </row>
    <row r="116" spans="2:7">
      <c r="B116" s="25"/>
      <c r="C116" s="49"/>
      <c r="D116" s="49">
        <v>4152</v>
      </c>
      <c r="E116" s="21" t="s">
        <v>190</v>
      </c>
      <c r="F116" s="22" t="s">
        <v>191</v>
      </c>
      <c r="G116" s="52" t="str">
        <f t="shared" si="1"/>
        <v>Tekuće održavanje građevinskih objekata</v>
      </c>
    </row>
    <row r="117" spans="2:7">
      <c r="B117" s="25"/>
      <c r="C117" s="49"/>
      <c r="D117" s="49">
        <v>4153</v>
      </c>
      <c r="E117" s="21" t="s">
        <v>192</v>
      </c>
      <c r="F117" s="22" t="s">
        <v>193</v>
      </c>
      <c r="G117" s="52" t="str">
        <f t="shared" si="1"/>
        <v>Tekuće održavanje opreme</v>
      </c>
    </row>
    <row r="118" spans="2:7">
      <c r="B118" s="25"/>
      <c r="C118" s="46"/>
      <c r="D118" s="44">
        <v>416</v>
      </c>
      <c r="E118" s="18" t="s">
        <v>194</v>
      </c>
      <c r="F118" s="19" t="s">
        <v>195</v>
      </c>
      <c r="G118" s="52" t="str">
        <f t="shared" si="1"/>
        <v>Kamate</v>
      </c>
    </row>
    <row r="119" spans="2:7">
      <c r="B119" s="14"/>
      <c r="C119" s="49"/>
      <c r="D119" s="49">
        <v>4161</v>
      </c>
      <c r="E119" s="21" t="s">
        <v>196</v>
      </c>
      <c r="F119" s="22" t="s">
        <v>197</v>
      </c>
      <c r="G119" s="52" t="str">
        <f t="shared" si="1"/>
        <v>Kamate rezidentima</v>
      </c>
    </row>
    <row r="120" spans="2:7">
      <c r="B120" s="25"/>
      <c r="C120" s="49"/>
      <c r="D120" s="49">
        <v>4162</v>
      </c>
      <c r="E120" s="21" t="s">
        <v>198</v>
      </c>
      <c r="F120" s="22" t="s">
        <v>199</v>
      </c>
      <c r="G120" s="52" t="str">
        <f t="shared" si="1"/>
        <v>Kamate nerezidentima</v>
      </c>
    </row>
    <row r="121" spans="2:7">
      <c r="B121" s="25"/>
      <c r="C121" s="46"/>
      <c r="D121" s="44">
        <v>417</v>
      </c>
      <c r="E121" s="18" t="s">
        <v>200</v>
      </c>
      <c r="F121" s="19" t="s">
        <v>201</v>
      </c>
      <c r="G121" s="52" t="str">
        <f t="shared" si="1"/>
        <v>Renta</v>
      </c>
    </row>
    <row r="122" spans="2:7">
      <c r="B122" s="14"/>
      <c r="C122" s="49"/>
      <c r="D122" s="49">
        <v>4171</v>
      </c>
      <c r="E122" s="21" t="s">
        <v>202</v>
      </c>
      <c r="F122" s="22" t="s">
        <v>203</v>
      </c>
      <c r="G122" s="52" t="str">
        <f t="shared" si="1"/>
        <v>Zakup objekata</v>
      </c>
    </row>
    <row r="123" spans="2:7">
      <c r="B123" s="25"/>
      <c r="C123" s="49"/>
      <c r="D123" s="49">
        <v>4172</v>
      </c>
      <c r="E123" s="21" t="s">
        <v>204</v>
      </c>
      <c r="F123" s="22" t="s">
        <v>205</v>
      </c>
      <c r="G123" s="52" t="str">
        <f t="shared" si="1"/>
        <v>Zakup opreme</v>
      </c>
    </row>
    <row r="124" spans="2:7">
      <c r="B124" s="25"/>
      <c r="C124" s="49"/>
      <c r="D124" s="49">
        <v>4173</v>
      </c>
      <c r="E124" s="21" t="s">
        <v>206</v>
      </c>
      <c r="F124" s="22" t="s">
        <v>207</v>
      </c>
      <c r="G124" s="52" t="str">
        <f t="shared" si="1"/>
        <v>Zakup zemljišta</v>
      </c>
    </row>
    <row r="125" spans="2:7">
      <c r="B125" s="25"/>
      <c r="C125" s="46"/>
      <c r="D125" s="44">
        <v>418</v>
      </c>
      <c r="E125" s="18" t="s">
        <v>208</v>
      </c>
      <c r="F125" s="19" t="s">
        <v>209</v>
      </c>
      <c r="G125" s="52" t="str">
        <f t="shared" si="1"/>
        <v>Subvencije</v>
      </c>
    </row>
    <row r="126" spans="2:7">
      <c r="B126" s="14"/>
      <c r="C126" s="49"/>
      <c r="D126" s="49">
        <v>4181</v>
      </c>
      <c r="E126" s="21" t="s">
        <v>210</v>
      </c>
      <c r="F126" s="22" t="s">
        <v>211</v>
      </c>
      <c r="G126" s="52" t="str">
        <f t="shared" si="1"/>
        <v>Subvencije za proizvodnju i pružanje usluga</v>
      </c>
    </row>
    <row r="127" spans="2:7">
      <c r="B127" s="25"/>
      <c r="C127" s="49"/>
      <c r="D127" s="49">
        <v>4182</v>
      </c>
      <c r="E127" s="21" t="s">
        <v>212</v>
      </c>
      <c r="F127" s="22" t="s">
        <v>213</v>
      </c>
      <c r="G127" s="52" t="str">
        <f t="shared" si="1"/>
        <v>Izvozne subvencije</v>
      </c>
    </row>
    <row r="128" spans="2:7">
      <c r="B128" s="25"/>
      <c r="C128" s="49"/>
      <c r="D128" s="49">
        <v>4183</v>
      </c>
      <c r="E128" s="21" t="s">
        <v>214</v>
      </c>
      <c r="F128" s="22" t="s">
        <v>215</v>
      </c>
      <c r="G128" s="52" t="str">
        <f t="shared" si="1"/>
        <v>Uvozne subvencije</v>
      </c>
    </row>
    <row r="129" spans="2:7">
      <c r="B129" s="25"/>
      <c r="C129" s="46"/>
      <c r="D129" s="44">
        <v>419</v>
      </c>
      <c r="E129" s="18" t="s">
        <v>216</v>
      </c>
      <c r="F129" s="19" t="s">
        <v>217</v>
      </c>
      <c r="G129" s="52" t="str">
        <f t="shared" si="1"/>
        <v>Ostali izdaci</v>
      </c>
    </row>
    <row r="130" spans="2:7">
      <c r="B130" s="14"/>
      <c r="C130" s="49"/>
      <c r="D130" s="49">
        <v>4191</v>
      </c>
      <c r="E130" s="21" t="s">
        <v>218</v>
      </c>
      <c r="F130" s="22" t="s">
        <v>219</v>
      </c>
      <c r="G130" s="52" t="str">
        <f t="shared" si="1"/>
        <v>Izdaci po osnovu isplate ugovora o djelu</v>
      </c>
    </row>
    <row r="131" spans="2:7">
      <c r="B131" s="25"/>
      <c r="C131" s="49"/>
      <c r="D131" s="49">
        <v>4192</v>
      </c>
      <c r="E131" s="21" t="s">
        <v>220</v>
      </c>
      <c r="F131" s="22" t="s">
        <v>221</v>
      </c>
      <c r="G131" s="52" t="str">
        <f t="shared" si="1"/>
        <v>Izdaci po osnovu troškova sudskih postupaka</v>
      </c>
    </row>
    <row r="132" spans="2:7">
      <c r="B132" s="25"/>
      <c r="C132" s="49"/>
      <c r="D132" s="49">
        <v>4193</v>
      </c>
      <c r="E132" s="21" t="s">
        <v>222</v>
      </c>
      <c r="F132" s="22" t="s">
        <v>223</v>
      </c>
      <c r="G132" s="52" t="str">
        <f t="shared" si="1"/>
        <v>Izrada i održavanje softvera</v>
      </c>
    </row>
    <row r="133" spans="2:7">
      <c r="B133" s="25"/>
      <c r="C133" s="49"/>
      <c r="D133" s="49">
        <v>4194</v>
      </c>
      <c r="E133" s="21" t="s">
        <v>224</v>
      </c>
      <c r="F133" s="22" t="s">
        <v>225</v>
      </c>
      <c r="G133" s="52" t="str">
        <f t="shared" si="1"/>
        <v>Osiguranje</v>
      </c>
    </row>
    <row r="134" spans="2:7" ht="23.25">
      <c r="B134" s="25"/>
      <c r="C134" s="47"/>
      <c r="D134" s="47">
        <v>4195</v>
      </c>
      <c r="E134" s="27" t="s">
        <v>226</v>
      </c>
      <c r="F134" s="22" t="s">
        <v>227</v>
      </c>
      <c r="G134" s="52" t="str">
        <f t="shared" si="1"/>
        <v>Kontribucije za članstvo u domaćim i međunarodnim organizacijama</v>
      </c>
    </row>
    <row r="135" spans="2:7">
      <c r="B135" s="20"/>
      <c r="C135" s="49"/>
      <c r="D135" s="49">
        <v>4196</v>
      </c>
      <c r="E135" s="21" t="s">
        <v>228</v>
      </c>
      <c r="F135" s="22" t="s">
        <v>229</v>
      </c>
      <c r="G135" s="52" t="str">
        <f t="shared" si="1"/>
        <v>Komunalne naknade</v>
      </c>
    </row>
    <row r="136" spans="2:7">
      <c r="B136" s="25"/>
      <c r="C136" s="49"/>
      <c r="D136" s="47">
        <v>4197</v>
      </c>
      <c r="E136" s="21" t="s">
        <v>230</v>
      </c>
      <c r="F136" s="22" t="s">
        <v>231</v>
      </c>
      <c r="G136" s="52" t="str">
        <f t="shared" si="1"/>
        <v>Kazne</v>
      </c>
    </row>
    <row r="137" spans="2:7">
      <c r="B137" s="25"/>
      <c r="C137" s="49"/>
      <c r="D137" s="49">
        <v>4198</v>
      </c>
      <c r="E137" s="21" t="s">
        <v>51</v>
      </c>
      <c r="F137" s="22" t="s">
        <v>66</v>
      </c>
      <c r="G137" s="52" t="str">
        <f t="shared" si="1"/>
        <v>Takse</v>
      </c>
    </row>
    <row r="138" spans="2:7">
      <c r="B138" s="25"/>
      <c r="C138" s="49"/>
      <c r="D138" s="47">
        <v>4199</v>
      </c>
      <c r="E138" s="21" t="s">
        <v>232</v>
      </c>
      <c r="F138" s="22" t="s">
        <v>233</v>
      </c>
      <c r="G138" s="52" t="str">
        <f t="shared" si="1"/>
        <v>Ostalo</v>
      </c>
    </row>
    <row r="139" spans="2:7">
      <c r="B139" s="25"/>
      <c r="C139" s="44" t="s">
        <v>96</v>
      </c>
      <c r="D139" s="44">
        <v>42</v>
      </c>
      <c r="E139" s="15" t="s">
        <v>234</v>
      </c>
      <c r="F139" s="16" t="s">
        <v>235</v>
      </c>
      <c r="G139" s="52" t="str">
        <f t="shared" si="1"/>
        <v>Transferi za socijalnu zaštitu</v>
      </c>
    </row>
    <row r="140" spans="2:7">
      <c r="B140" s="14"/>
      <c r="C140" s="46"/>
      <c r="D140" s="44">
        <v>421</v>
      </c>
      <c r="E140" s="18" t="s">
        <v>236</v>
      </c>
      <c r="F140" s="19" t="s">
        <v>237</v>
      </c>
      <c r="G140" s="52" t="str">
        <f t="shared" ref="G140:G205" si="2">+IF(ISBLANK(IF($B$2=1,E140,F140)),"",IF($B$2=1,E140,F140))</f>
        <v>Prava iz oblasti socijalne zaštite</v>
      </c>
    </row>
    <row r="141" spans="2:7">
      <c r="B141" s="14"/>
      <c r="C141" s="49" t="s">
        <v>96</v>
      </c>
      <c r="D141" s="49">
        <v>4211</v>
      </c>
      <c r="E141" s="21" t="s">
        <v>238</v>
      </c>
      <c r="F141" s="22" t="s">
        <v>239</v>
      </c>
      <c r="G141" s="52" t="str">
        <f t="shared" si="2"/>
        <v>Dječiji dodaci</v>
      </c>
    </row>
    <row r="142" spans="2:7">
      <c r="B142" s="25"/>
      <c r="C142" s="49"/>
      <c r="D142" s="49">
        <v>4212</v>
      </c>
      <c r="E142" s="21" t="s">
        <v>240</v>
      </c>
      <c r="F142" s="22" t="s">
        <v>241</v>
      </c>
      <c r="G142" s="52" t="str">
        <f t="shared" si="2"/>
        <v>Boračko invalidska zaštita</v>
      </c>
    </row>
    <row r="143" spans="2:7">
      <c r="B143" s="25"/>
      <c r="C143" s="49"/>
      <c r="D143" s="49">
        <v>4213</v>
      </c>
      <c r="E143" s="21" t="s">
        <v>242</v>
      </c>
      <c r="F143" s="22" t="s">
        <v>243</v>
      </c>
      <c r="G143" s="52" t="str">
        <f t="shared" si="2"/>
        <v>Materijalno obezbjeđenje porodice</v>
      </c>
    </row>
    <row r="144" spans="2:7">
      <c r="B144" s="25"/>
      <c r="C144" s="49"/>
      <c r="D144" s="49">
        <v>4214</v>
      </c>
      <c r="E144" s="21" t="s">
        <v>244</v>
      </c>
      <c r="F144" s="22" t="s">
        <v>245</v>
      </c>
      <c r="G144" s="52" t="str">
        <f t="shared" si="2"/>
        <v>Porodiljska odsustva</v>
      </c>
    </row>
    <row r="145" spans="2:7">
      <c r="B145" s="25"/>
      <c r="C145" s="49"/>
      <c r="D145" s="49">
        <v>4215</v>
      </c>
      <c r="E145" s="21" t="s">
        <v>246</v>
      </c>
      <c r="F145" s="22" t="s">
        <v>247</v>
      </c>
      <c r="G145" s="52" t="str">
        <f t="shared" si="2"/>
        <v>Tuđa njega i pomoć</v>
      </c>
    </row>
    <row r="146" spans="2:7">
      <c r="B146" s="25"/>
      <c r="C146" s="49"/>
      <c r="D146" s="49">
        <v>4216</v>
      </c>
      <c r="E146" s="21" t="s">
        <v>248</v>
      </c>
      <c r="F146" s="22" t="s">
        <v>249</v>
      </c>
      <c r="G146" s="52" t="str">
        <f t="shared" si="2"/>
        <v>Ishrana djece u predškolskim ustanovama</v>
      </c>
    </row>
    <row r="147" spans="2:7">
      <c r="B147" s="25"/>
      <c r="C147" s="49"/>
      <c r="D147" s="49">
        <v>4217</v>
      </c>
      <c r="E147" s="21" t="s">
        <v>250</v>
      </c>
      <c r="F147" s="22" t="s">
        <v>251</v>
      </c>
      <c r="G147" s="52" t="str">
        <f t="shared" si="2"/>
        <v>Izdržavanje štićenika u domovima</v>
      </c>
    </row>
    <row r="148" spans="2:7">
      <c r="B148" s="25"/>
      <c r="C148" s="49"/>
      <c r="D148" s="49">
        <v>4218</v>
      </c>
      <c r="E148" s="21" t="s">
        <v>730</v>
      </c>
      <c r="F148" s="22" t="s">
        <v>731</v>
      </c>
      <c r="G148" s="52" t="str">
        <f t="shared" si="2"/>
        <v>Ostala prava iz oblasti socijalne zaštite</v>
      </c>
    </row>
    <row r="149" spans="2:7">
      <c r="B149" s="25"/>
      <c r="C149" s="46"/>
      <c r="D149" s="44">
        <v>422</v>
      </c>
      <c r="E149" s="18" t="s">
        <v>252</v>
      </c>
      <c r="F149" s="19" t="s">
        <v>253</v>
      </c>
      <c r="G149" s="52" t="str">
        <f t="shared" si="2"/>
        <v>Sredstva za tehnološke viškove</v>
      </c>
    </row>
    <row r="150" spans="2:7">
      <c r="B150" s="14"/>
      <c r="C150" s="49"/>
      <c r="D150" s="49">
        <v>4221</v>
      </c>
      <c r="E150" s="21" t="s">
        <v>254</v>
      </c>
      <c r="F150" s="22" t="s">
        <v>255</v>
      </c>
      <c r="G150" s="52" t="str">
        <f t="shared" si="2"/>
        <v>Garantovane zarade</v>
      </c>
    </row>
    <row r="151" spans="2:7">
      <c r="B151" s="25"/>
      <c r="C151" s="49"/>
      <c r="D151" s="49">
        <v>4222</v>
      </c>
      <c r="E151" s="21" t="s">
        <v>256</v>
      </c>
      <c r="F151" s="22" t="s">
        <v>257</v>
      </c>
      <c r="G151" s="52" t="str">
        <f t="shared" si="2"/>
        <v>Otpremnine za tehnološke viškove</v>
      </c>
    </row>
    <row r="152" spans="2:7">
      <c r="B152" s="25"/>
      <c r="C152" s="49"/>
      <c r="D152" s="49">
        <v>4223</v>
      </c>
      <c r="E152" s="21" t="s">
        <v>258</v>
      </c>
      <c r="F152" s="22" t="s">
        <v>259</v>
      </c>
      <c r="G152" s="52" t="str">
        <f t="shared" si="2"/>
        <v>Dokup staža</v>
      </c>
    </row>
    <row r="153" spans="2:7">
      <c r="B153" s="25"/>
      <c r="C153" s="49"/>
      <c r="D153" s="49">
        <v>4224</v>
      </c>
      <c r="E153" s="21" t="s">
        <v>260</v>
      </c>
      <c r="F153" s="22" t="s">
        <v>261</v>
      </c>
      <c r="G153" s="52" t="str">
        <f t="shared" si="2"/>
        <v>Naknade nezaposlenim licima</v>
      </c>
    </row>
    <row r="154" spans="2:7">
      <c r="B154" s="25"/>
      <c r="C154" s="49"/>
      <c r="D154" s="49">
        <v>4225</v>
      </c>
      <c r="E154" s="21" t="s">
        <v>232</v>
      </c>
      <c r="F154" s="22" t="s">
        <v>262</v>
      </c>
      <c r="G154" s="52" t="str">
        <f t="shared" si="2"/>
        <v>Ostalo</v>
      </c>
    </row>
    <row r="155" spans="2:7">
      <c r="B155" s="25"/>
      <c r="C155" s="46"/>
      <c r="D155" s="44">
        <v>423</v>
      </c>
      <c r="E155" s="18" t="s">
        <v>263</v>
      </c>
      <c r="F155" s="19" t="s">
        <v>264</v>
      </c>
      <c r="G155" s="52" t="str">
        <f t="shared" si="2"/>
        <v>Prava iz oblasti penzijskog i invalidskog osiguranja</v>
      </c>
    </row>
    <row r="156" spans="2:7">
      <c r="B156" s="14"/>
      <c r="C156" s="49"/>
      <c r="D156" s="49">
        <v>4231</v>
      </c>
      <c r="E156" s="21" t="s">
        <v>265</v>
      </c>
      <c r="F156" s="22" t="s">
        <v>266</v>
      </c>
      <c r="G156" s="52" t="str">
        <f t="shared" si="2"/>
        <v>Starosna penzija</v>
      </c>
    </row>
    <row r="157" spans="2:7">
      <c r="B157" s="25"/>
      <c r="C157" s="49"/>
      <c r="D157" s="49">
        <v>4232</v>
      </c>
      <c r="E157" s="21" t="s">
        <v>267</v>
      </c>
      <c r="F157" s="22" t="s">
        <v>268</v>
      </c>
      <c r="G157" s="52" t="str">
        <f t="shared" si="2"/>
        <v>Invalidska penzija</v>
      </c>
    </row>
    <row r="158" spans="2:7">
      <c r="B158" s="25"/>
      <c r="C158" s="49"/>
      <c r="D158" s="49">
        <v>4233</v>
      </c>
      <c r="E158" s="21" t="s">
        <v>269</v>
      </c>
      <c r="F158" s="22" t="s">
        <v>270</v>
      </c>
      <c r="G158" s="52" t="str">
        <f t="shared" si="2"/>
        <v>Porodična penzija</v>
      </c>
    </row>
    <row r="159" spans="2:7">
      <c r="B159" s="25"/>
      <c r="C159" s="49"/>
      <c r="D159" s="49">
        <v>4234</v>
      </c>
      <c r="E159" s="21" t="s">
        <v>65</v>
      </c>
      <c r="F159" s="22" t="s">
        <v>271</v>
      </c>
      <c r="G159" s="52" t="str">
        <f t="shared" si="2"/>
        <v>Naknade</v>
      </c>
    </row>
    <row r="160" spans="2:7">
      <c r="B160" s="25"/>
      <c r="C160" s="49"/>
      <c r="D160" s="49">
        <v>4235</v>
      </c>
      <c r="E160" s="21" t="s">
        <v>272</v>
      </c>
      <c r="F160" s="22" t="s">
        <v>273</v>
      </c>
      <c r="G160" s="52" t="str">
        <f t="shared" si="2"/>
        <v>Dodaci</v>
      </c>
    </row>
    <row r="161" spans="2:7">
      <c r="B161" s="25"/>
      <c r="C161" s="49"/>
      <c r="D161" s="49">
        <v>4236</v>
      </c>
      <c r="E161" s="21" t="s">
        <v>274</v>
      </c>
      <c r="F161" s="22" t="s">
        <v>275</v>
      </c>
      <c r="G161" s="52" t="str">
        <f t="shared" si="2"/>
        <v>Ostala prava</v>
      </c>
    </row>
    <row r="162" spans="2:7">
      <c r="B162" s="25"/>
      <c r="C162" s="49"/>
      <c r="D162" s="49">
        <v>4237</v>
      </c>
      <c r="E162" s="21" t="s">
        <v>276</v>
      </c>
      <c r="F162" s="22" t="s">
        <v>277</v>
      </c>
      <c r="G162" s="52" t="str">
        <f t="shared" si="2"/>
        <v>Doprinos za zdravstvenu zaštitu penzionera</v>
      </c>
    </row>
    <row r="163" spans="2:7">
      <c r="B163" s="25"/>
      <c r="C163" s="46"/>
      <c r="D163" s="44">
        <v>424</v>
      </c>
      <c r="E163" s="18" t="s">
        <v>278</v>
      </c>
      <c r="F163" s="19" t="s">
        <v>279</v>
      </c>
      <c r="G163" s="52" t="str">
        <f t="shared" si="2"/>
        <v>Ostala prava iz oblasti zdravstvene zaštite</v>
      </c>
    </row>
    <row r="164" spans="2:7">
      <c r="B164" s="14"/>
      <c r="C164" s="49"/>
      <c r="D164" s="49">
        <v>4241</v>
      </c>
      <c r="E164" s="21" t="s">
        <v>280</v>
      </c>
      <c r="F164" s="22" t="s">
        <v>281</v>
      </c>
      <c r="G164" s="52" t="str">
        <f t="shared" si="2"/>
        <v>Liječenje van Crne Gore</v>
      </c>
    </row>
    <row r="165" spans="2:7">
      <c r="B165" s="25"/>
      <c r="C165" s="46"/>
      <c r="D165" s="44">
        <v>425</v>
      </c>
      <c r="E165" s="18" t="s">
        <v>282</v>
      </c>
      <c r="F165" s="19" t="s">
        <v>283</v>
      </c>
      <c r="G165" s="52" t="str">
        <f t="shared" si="2"/>
        <v>Ostala prava iz zdravstvenog osiguranja</v>
      </c>
    </row>
    <row r="166" spans="2:7">
      <c r="B166" s="14"/>
      <c r="C166" s="49"/>
      <c r="D166" s="49">
        <v>4251</v>
      </c>
      <c r="E166" s="21" t="s">
        <v>284</v>
      </c>
      <c r="F166" s="22" t="s">
        <v>285</v>
      </c>
      <c r="G166" s="52" t="str">
        <f t="shared" si="2"/>
        <v>Ortopedske sprave i pomagala</v>
      </c>
    </row>
    <row r="167" spans="2:7">
      <c r="B167" s="25"/>
      <c r="C167" s="49"/>
      <c r="D167" s="49">
        <v>4252</v>
      </c>
      <c r="E167" s="21" t="s">
        <v>286</v>
      </c>
      <c r="F167" s="22" t="s">
        <v>287</v>
      </c>
      <c r="G167" s="52" t="str">
        <f t="shared" si="2"/>
        <v>Naknade za bolovanje preko 60 dana</v>
      </c>
    </row>
    <row r="168" spans="2:7">
      <c r="B168" s="25"/>
      <c r="C168" s="49"/>
      <c r="D168" s="49">
        <v>4253</v>
      </c>
      <c r="E168" s="21" t="s">
        <v>288</v>
      </c>
      <c r="F168" s="22" t="s">
        <v>289</v>
      </c>
      <c r="G168" s="52" t="str">
        <f t="shared" si="2"/>
        <v>Naknade za putne troškove osiguranika</v>
      </c>
    </row>
    <row r="169" spans="2:7" ht="23.25">
      <c r="B169" s="25"/>
      <c r="C169" s="44"/>
      <c r="D169" s="44">
        <v>43</v>
      </c>
      <c r="E169" s="15" t="s">
        <v>290</v>
      </c>
      <c r="F169" s="16" t="s">
        <v>291</v>
      </c>
      <c r="G169" s="52" t="str">
        <f t="shared" si="2"/>
        <v xml:space="preserve">Transferi institucijama, pojedincima, nevladinom i javnom sektoru </v>
      </c>
    </row>
    <row r="170" spans="2:7" ht="23.25">
      <c r="B170" s="14" t="s">
        <v>96</v>
      </c>
      <c r="C170" s="46"/>
      <c r="D170" s="44">
        <v>431</v>
      </c>
      <c r="E170" s="18" t="s">
        <v>290</v>
      </c>
      <c r="F170" s="19" t="s">
        <v>291</v>
      </c>
      <c r="G170" s="52" t="str">
        <f t="shared" si="2"/>
        <v xml:space="preserve">Transferi institucijama, pojedincima, nevladinom i javnom sektoru </v>
      </c>
    </row>
    <row r="171" spans="2:7">
      <c r="B171" s="14" t="s">
        <v>96</v>
      </c>
      <c r="C171" s="49"/>
      <c r="D171" s="49">
        <v>4311</v>
      </c>
      <c r="E171" s="21" t="s">
        <v>292</v>
      </c>
      <c r="F171" s="22" t="s">
        <v>293</v>
      </c>
      <c r="G171" s="52" t="str">
        <f t="shared" si="2"/>
        <v xml:space="preserve">Transferi za zdravstvenu zaštitu </v>
      </c>
    </row>
    <row r="172" spans="2:7">
      <c r="B172" s="25"/>
      <c r="C172" s="49"/>
      <c r="D172" s="49">
        <v>4312</v>
      </c>
      <c r="E172" s="21" t="s">
        <v>294</v>
      </c>
      <c r="F172" s="22" t="s">
        <v>295</v>
      </c>
      <c r="G172" s="52" t="str">
        <f t="shared" si="2"/>
        <v>Transferi obrazovanju</v>
      </c>
    </row>
    <row r="173" spans="2:7">
      <c r="B173" s="25"/>
      <c r="C173" s="49"/>
      <c r="D173" s="49">
        <v>4313</v>
      </c>
      <c r="E173" s="21" t="s">
        <v>296</v>
      </c>
      <c r="F173" s="22" t="s">
        <v>297</v>
      </c>
      <c r="G173" s="52" t="str">
        <f t="shared" si="2"/>
        <v>Transferi institucijama kulture i sporta</v>
      </c>
    </row>
    <row r="174" spans="2:7">
      <c r="B174" s="25"/>
      <c r="C174" s="49"/>
      <c r="D174" s="49">
        <v>4314</v>
      </c>
      <c r="E174" s="21" t="s">
        <v>298</v>
      </c>
      <c r="F174" s="22" t="s">
        <v>299</v>
      </c>
      <c r="G174" s="52" t="str">
        <f t="shared" si="2"/>
        <v>Transferi nevladinim organizacijama</v>
      </c>
    </row>
    <row r="175" spans="2:7" ht="23.25">
      <c r="B175" s="25"/>
      <c r="C175" s="49"/>
      <c r="D175" s="49">
        <v>4315</v>
      </c>
      <c r="E175" s="21" t="s">
        <v>300</v>
      </c>
      <c r="F175" s="22" t="s">
        <v>301</v>
      </c>
      <c r="G175" s="52" t="str">
        <f t="shared" si="2"/>
        <v>Transferi političkim partijama, strankama i udruženjima</v>
      </c>
    </row>
    <row r="176" spans="2:7">
      <c r="B176" s="25"/>
      <c r="C176" s="49"/>
      <c r="D176" s="49">
        <v>4316</v>
      </c>
      <c r="E176" s="21" t="s">
        <v>302</v>
      </c>
      <c r="F176" s="22" t="s">
        <v>303</v>
      </c>
      <c r="G176" s="52" t="str">
        <f t="shared" si="2"/>
        <v>Transferi za jednokratne socijalne pomoći</v>
      </c>
    </row>
    <row r="177" spans="2:7">
      <c r="B177" s="25"/>
      <c r="C177" s="49"/>
      <c r="D177" s="49">
        <v>4317</v>
      </c>
      <c r="E177" s="21" t="s">
        <v>304</v>
      </c>
      <c r="F177" s="22" t="s">
        <v>305</v>
      </c>
      <c r="G177" s="52" t="str">
        <f t="shared" si="2"/>
        <v>Transferi za lična primanja pripravnika</v>
      </c>
    </row>
    <row r="178" spans="2:7">
      <c r="B178" s="25"/>
      <c r="C178" s="49"/>
      <c r="D178" s="49">
        <v>4318</v>
      </c>
      <c r="E178" s="21" t="s">
        <v>306</v>
      </c>
      <c r="F178" s="22" t="s">
        <v>307</v>
      </c>
      <c r="G178" s="52" t="str">
        <f t="shared" si="2"/>
        <v>Ostali transferi pojedincima</v>
      </c>
    </row>
    <row r="179" spans="2:7">
      <c r="B179" s="25"/>
      <c r="C179" s="49"/>
      <c r="D179" s="49">
        <v>4319</v>
      </c>
      <c r="E179" s="21" t="s">
        <v>308</v>
      </c>
      <c r="F179" s="22" t="s">
        <v>309</v>
      </c>
      <c r="G179" s="52" t="str">
        <f t="shared" si="2"/>
        <v>Ostali transferi institucijama</v>
      </c>
    </row>
    <row r="180" spans="2:7">
      <c r="B180" s="25"/>
      <c r="C180" s="46"/>
      <c r="D180" s="44">
        <v>432</v>
      </c>
      <c r="E180" s="18" t="s">
        <v>310</v>
      </c>
      <c r="F180" s="19" t="s">
        <v>311</v>
      </c>
      <c r="G180" s="52" t="str">
        <f t="shared" si="2"/>
        <v xml:space="preserve">Ostali transferi </v>
      </c>
    </row>
    <row r="181" spans="2:7" ht="23.25">
      <c r="B181" s="14" t="s">
        <v>96</v>
      </c>
      <c r="C181" s="49"/>
      <c r="D181" s="49">
        <v>4321</v>
      </c>
      <c r="E181" s="21" t="s">
        <v>312</v>
      </c>
      <c r="F181" s="22" t="s">
        <v>313</v>
      </c>
      <c r="G181" s="52" t="str">
        <f t="shared" si="2"/>
        <v>Transferi Fondu penzijskog i invalidskog osiguranja</v>
      </c>
    </row>
    <row r="182" spans="2:7">
      <c r="B182" s="25"/>
      <c r="C182" s="49"/>
      <c r="D182" s="49">
        <v>4322</v>
      </c>
      <c r="E182" s="21" t="s">
        <v>314</v>
      </c>
      <c r="F182" s="22" t="s">
        <v>315</v>
      </c>
      <c r="G182" s="52" t="str">
        <f t="shared" si="2"/>
        <v>Transferi Fondu zdravstva</v>
      </c>
    </row>
    <row r="183" spans="2:7">
      <c r="B183" s="25"/>
      <c r="C183" s="49"/>
      <c r="D183" s="49">
        <v>4323</v>
      </c>
      <c r="E183" s="21" t="s">
        <v>316</v>
      </c>
      <c r="F183" s="22" t="s">
        <v>317</v>
      </c>
      <c r="G183" s="52" t="str">
        <f t="shared" si="2"/>
        <v>Transferi zavodu za zapošljavanje</v>
      </c>
    </row>
    <row r="184" spans="2:7">
      <c r="B184" s="25"/>
      <c r="C184" s="49"/>
      <c r="D184" s="49">
        <v>4324</v>
      </c>
      <c r="E184" s="21" t="s">
        <v>318</v>
      </c>
      <c r="F184" s="22" t="s">
        <v>319</v>
      </c>
      <c r="G184" s="52" t="str">
        <f t="shared" si="2"/>
        <v>Transferi opštinama</v>
      </c>
    </row>
    <row r="185" spans="2:7">
      <c r="B185" s="25"/>
      <c r="C185" s="49"/>
      <c r="D185" s="49">
        <v>4325</v>
      </c>
      <c r="E185" s="21" t="s">
        <v>320</v>
      </c>
      <c r="F185" s="22" t="s">
        <v>321</v>
      </c>
      <c r="G185" s="52" t="str">
        <f t="shared" si="2"/>
        <v>Transferi budžetu države</v>
      </c>
    </row>
    <row r="186" spans="2:7">
      <c r="B186" s="25"/>
      <c r="C186" s="49"/>
      <c r="D186" s="49">
        <v>4326</v>
      </c>
      <c r="E186" s="21" t="s">
        <v>322</v>
      </c>
      <c r="F186" s="22" t="s">
        <v>323</v>
      </c>
      <c r="G186" s="52" t="str">
        <f t="shared" si="2"/>
        <v>Transferi javnim preduzećima</v>
      </c>
    </row>
    <row r="187" spans="2:7">
      <c r="B187" s="25"/>
      <c r="C187" s="44" t="s">
        <v>96</v>
      </c>
      <c r="D187" s="44">
        <v>44</v>
      </c>
      <c r="E187" s="15" t="s">
        <v>549</v>
      </c>
      <c r="F187" s="16" t="s">
        <v>325</v>
      </c>
      <c r="G187" s="52" t="str">
        <f t="shared" si="2"/>
        <v>Kapitalni budžet</v>
      </c>
    </row>
    <row r="188" spans="2:7">
      <c r="B188" s="25"/>
      <c r="C188" s="44"/>
      <c r="D188" s="44">
        <v>440</v>
      </c>
      <c r="E188" s="15" t="s">
        <v>420</v>
      </c>
      <c r="F188" s="16" t="s">
        <v>421</v>
      </c>
      <c r="G188" s="52" t="str">
        <f t="shared" si="2"/>
        <v>Kapitalni izdaci u tekućem budžetu</v>
      </c>
    </row>
    <row r="189" spans="2:7">
      <c r="B189" s="14" t="s">
        <v>96</v>
      </c>
      <c r="C189" s="46"/>
      <c r="D189" s="44">
        <v>441</v>
      </c>
      <c r="E189" s="18" t="s">
        <v>324</v>
      </c>
      <c r="F189" s="19" t="s">
        <v>325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326</v>
      </c>
      <c r="F190" s="22" t="s">
        <v>327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328</v>
      </c>
      <c r="F191" s="22" t="s">
        <v>329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330</v>
      </c>
      <c r="F192" s="22" t="s">
        <v>331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332</v>
      </c>
      <c r="F193" s="22" t="s">
        <v>333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334</v>
      </c>
      <c r="F194" s="22" t="s">
        <v>335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336</v>
      </c>
      <c r="F195" s="22" t="s">
        <v>337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338</v>
      </c>
      <c r="F196" s="22" t="s">
        <v>339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340</v>
      </c>
      <c r="F197" s="22" t="s">
        <v>341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342</v>
      </c>
      <c r="F198" s="22" t="s">
        <v>343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344</v>
      </c>
      <c r="F199" s="16" t="s">
        <v>345</v>
      </c>
      <c r="G199" s="52" t="str">
        <f t="shared" si="2"/>
        <v>Krediti i pozajmice</v>
      </c>
    </row>
    <row r="200" spans="2:7">
      <c r="B200" s="14" t="s">
        <v>96</v>
      </c>
      <c r="C200" s="46"/>
      <c r="D200" s="44">
        <v>451</v>
      </c>
      <c r="E200" s="18" t="s">
        <v>117</v>
      </c>
      <c r="F200" s="19" t="s">
        <v>345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346</v>
      </c>
      <c r="F201" s="22" t="s">
        <v>347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348</v>
      </c>
      <c r="F202" s="22" t="s">
        <v>349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350</v>
      </c>
      <c r="F203" s="22" t="s">
        <v>351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352</v>
      </c>
      <c r="F204" s="22" t="s">
        <v>353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354</v>
      </c>
      <c r="F205" s="22" t="s">
        <v>355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356</v>
      </c>
      <c r="F206" s="16" t="s">
        <v>357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96</v>
      </c>
      <c r="C207" s="46"/>
      <c r="D207" s="44">
        <v>461</v>
      </c>
      <c r="E207" s="18" t="s">
        <v>358</v>
      </c>
      <c r="F207" s="19" t="s">
        <v>357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359</v>
      </c>
      <c r="F208" s="22" t="s">
        <v>360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361</v>
      </c>
      <c r="F209" s="22" t="s">
        <v>362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363</v>
      </c>
      <c r="F210" s="19" t="s">
        <v>364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365</v>
      </c>
      <c r="F211" s="22" t="s">
        <v>366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367</v>
      </c>
      <c r="F212" s="22" t="s">
        <v>368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369</v>
      </c>
      <c r="F213" s="19" t="s">
        <v>370</v>
      </c>
      <c r="G213" s="52" t="str">
        <f t="shared" si="3"/>
        <v>Otplata obaveza iz prethodnih godina</v>
      </c>
    </row>
    <row r="214" spans="2:7">
      <c r="B214" s="14"/>
      <c r="C214" s="44"/>
      <c r="D214" s="44">
        <v>47</v>
      </c>
      <c r="E214" s="28" t="s">
        <v>371</v>
      </c>
      <c r="F214" s="29" t="s">
        <v>372</v>
      </c>
      <c r="G214" s="52" t="str">
        <f t="shared" si="3"/>
        <v>Rezerve</v>
      </c>
    </row>
    <row r="215" spans="2:7">
      <c r="B215" s="14" t="s">
        <v>96</v>
      </c>
      <c r="C215" s="49">
        <v>471</v>
      </c>
      <c r="D215" s="49">
        <v>4710</v>
      </c>
      <c r="E215" s="30" t="s">
        <v>373</v>
      </c>
      <c r="F215" s="31" t="s">
        <v>374</v>
      </c>
      <c r="G215" s="52" t="str">
        <f t="shared" si="3"/>
        <v>Tekuća budžetska rezerva</v>
      </c>
    </row>
    <row r="216" spans="2:7">
      <c r="B216" s="25" t="s">
        <v>96</v>
      </c>
      <c r="C216" s="49">
        <v>472</v>
      </c>
      <c r="D216" s="49">
        <v>4720</v>
      </c>
      <c r="E216" s="30" t="s">
        <v>375</v>
      </c>
      <c r="F216" s="31" t="s">
        <v>376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377</v>
      </c>
      <c r="F217" s="36" t="s">
        <v>378</v>
      </c>
      <c r="G217" s="53" t="str">
        <f t="shared" si="3"/>
        <v>Ostale rezerve</v>
      </c>
    </row>
    <row r="218" spans="2:7">
      <c r="B218" s="25"/>
      <c r="C218" s="49"/>
      <c r="D218" s="92"/>
      <c r="E218" s="93"/>
      <c r="F218" s="94"/>
      <c r="G218" s="95"/>
    </row>
    <row r="219" spans="2:7">
      <c r="B219" s="25"/>
      <c r="C219" s="49"/>
      <c r="D219" s="49">
        <v>1000</v>
      </c>
      <c r="E219" s="30" t="s">
        <v>552</v>
      </c>
      <c r="F219" s="96" t="s">
        <v>553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554</v>
      </c>
      <c r="F220" s="96" t="s">
        <v>555</v>
      </c>
      <c r="G220" s="52" t="str">
        <f t="shared" si="3"/>
        <v>Primarni bilans</v>
      </c>
    </row>
    <row r="221" spans="2:7">
      <c r="B221" s="25"/>
      <c r="C221" s="49"/>
      <c r="D221" s="49"/>
      <c r="E221" s="30"/>
      <c r="F221" s="96" t="s">
        <v>96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550</v>
      </c>
      <c r="F222" s="96" t="s">
        <v>556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551</v>
      </c>
      <c r="F223" s="96" t="s">
        <v>557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6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558</v>
      </c>
      <c r="F225" s="96" t="s">
        <v>559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6"/>
    </row>
    <row r="227" spans="2:7">
      <c r="B227" s="25"/>
      <c r="C227" s="49"/>
      <c r="D227" s="49">
        <v>1005</v>
      </c>
      <c r="E227" s="30" t="s">
        <v>694</v>
      </c>
      <c r="F227" s="96" t="s">
        <v>695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422</v>
      </c>
      <c r="D231" s="49">
        <v>1</v>
      </c>
      <c r="E231" s="9" t="s">
        <v>379</v>
      </c>
      <c r="F231" s="10" t="s">
        <v>380</v>
      </c>
      <c r="G231" s="52" t="str">
        <f t="shared" si="3"/>
        <v>Januar</v>
      </c>
    </row>
    <row r="232" spans="2:7">
      <c r="C232" s="41" t="s">
        <v>427</v>
      </c>
      <c r="D232" s="49">
        <v>2</v>
      </c>
      <c r="E232" s="9" t="s">
        <v>381</v>
      </c>
      <c r="F232" s="10" t="s">
        <v>382</v>
      </c>
      <c r="G232" s="52" t="str">
        <f t="shared" si="3"/>
        <v>Februar</v>
      </c>
    </row>
    <row r="233" spans="2:7">
      <c r="C233" s="41" t="s">
        <v>428</v>
      </c>
      <c r="D233" s="49">
        <v>3</v>
      </c>
      <c r="E233" s="9" t="s">
        <v>383</v>
      </c>
      <c r="F233" s="10" t="s">
        <v>384</v>
      </c>
      <c r="G233" s="52" t="str">
        <f t="shared" si="3"/>
        <v>Mart</v>
      </c>
    </row>
    <row r="234" spans="2:7">
      <c r="D234" s="49">
        <v>4</v>
      </c>
      <c r="E234" s="9" t="s">
        <v>385</v>
      </c>
      <c r="F234" s="10" t="s">
        <v>385</v>
      </c>
      <c r="G234" s="52" t="str">
        <f t="shared" si="3"/>
        <v>April</v>
      </c>
    </row>
    <row r="235" spans="2:7">
      <c r="D235" s="49">
        <v>5</v>
      </c>
      <c r="E235" s="9" t="s">
        <v>386</v>
      </c>
      <c r="F235" s="10" t="s">
        <v>387</v>
      </c>
      <c r="G235" s="52" t="str">
        <f t="shared" si="3"/>
        <v>Maj</v>
      </c>
    </row>
    <row r="236" spans="2:7">
      <c r="D236" s="49">
        <v>6</v>
      </c>
      <c r="E236" s="9" t="s">
        <v>388</v>
      </c>
      <c r="F236" s="10" t="s">
        <v>389</v>
      </c>
      <c r="G236" s="52" t="str">
        <f t="shared" si="3"/>
        <v>Jun</v>
      </c>
    </row>
    <row r="237" spans="2:7">
      <c r="D237" s="49">
        <v>7</v>
      </c>
      <c r="E237" s="9" t="s">
        <v>390</v>
      </c>
      <c r="F237" s="10" t="s">
        <v>391</v>
      </c>
      <c r="G237" s="52" t="str">
        <f t="shared" si="3"/>
        <v>Jul</v>
      </c>
    </row>
    <row r="238" spans="2:7">
      <c r="D238" s="49">
        <v>8</v>
      </c>
      <c r="E238" s="9" t="s">
        <v>392</v>
      </c>
      <c r="F238" s="10" t="s">
        <v>393</v>
      </c>
      <c r="G238" s="52" t="str">
        <f t="shared" si="3"/>
        <v>Avgust</v>
      </c>
    </row>
    <row r="239" spans="2:7">
      <c r="D239" s="49">
        <v>9</v>
      </c>
      <c r="E239" s="9" t="s">
        <v>394</v>
      </c>
      <c r="F239" s="10" t="s">
        <v>395</v>
      </c>
      <c r="G239" s="52" t="str">
        <f t="shared" si="3"/>
        <v>Septembar</v>
      </c>
    </row>
    <row r="240" spans="2:7">
      <c r="D240" s="49">
        <v>10</v>
      </c>
      <c r="E240" s="9" t="s">
        <v>396</v>
      </c>
      <c r="F240" s="10" t="s">
        <v>397</v>
      </c>
      <c r="G240" s="52" t="str">
        <f t="shared" si="3"/>
        <v>Oktobar</v>
      </c>
    </row>
    <row r="241" spans="4:7">
      <c r="D241" s="49">
        <v>11</v>
      </c>
      <c r="E241" s="9" t="s">
        <v>398</v>
      </c>
      <c r="F241" s="10" t="s">
        <v>399</v>
      </c>
      <c r="G241" s="52" t="str">
        <f t="shared" si="3"/>
        <v>Novembar</v>
      </c>
    </row>
    <row r="242" spans="4:7">
      <c r="D242" s="49">
        <v>12</v>
      </c>
      <c r="E242" s="9" t="s">
        <v>400</v>
      </c>
      <c r="F242" s="10" t="s">
        <v>401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Maj</v>
      </c>
    </row>
    <row r="245" spans="4:7">
      <c r="D245" s="49"/>
      <c r="E245" s="9"/>
      <c r="F245" s="10"/>
      <c r="G245" s="52" t="str">
        <f>+CONCATENATE("Jan - ",LEFT(G244,3))</f>
        <v>Jan - Maj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425</v>
      </c>
      <c r="F248" s="10" t="s">
        <v>426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563</v>
      </c>
      <c r="F251" s="10" t="s">
        <v>560</v>
      </c>
      <c r="G251" s="52" t="str">
        <f t="shared" si="3"/>
        <v>Ostvarenje budžeta</v>
      </c>
    </row>
    <row r="252" spans="4:7">
      <c r="D252" s="46"/>
      <c r="E252" s="9" t="s">
        <v>561</v>
      </c>
      <c r="F252" s="10" t="s">
        <v>562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",G244)</f>
        <v>Analitika za period Maj</v>
      </c>
      <c r="F253" s="10" t="str">
        <f>+CONCATENATE("Analytics for period ",G244)</f>
        <v>Analytics for period Maj</v>
      </c>
      <c r="G253" s="52" t="str">
        <f>+IF(ISBLANK(IF($B$2=1,E253,F253)),"",IF($B$2=1,E253,F253))</f>
        <v>Analitika za period Maj</v>
      </c>
    </row>
    <row r="254" spans="4:7">
      <c r="D254" s="46"/>
      <c r="E254" s="9" t="str">
        <f>+CONCATENATE("Analitika za period ",G245)</f>
        <v>Analitika za period Jan - Maj</v>
      </c>
      <c r="F254" s="10" t="str">
        <f>+CONCATENATE("Analytics for period ",G245)</f>
        <v>Analytics for period Jan - Maj</v>
      </c>
      <c r="G254" s="52" t="str">
        <f>+IF(ISBLANK(IF($B$2=1,E254,F254)),"",IF($B$2=1,E254,F254))</f>
        <v>Analitika za period Jan - Maj</v>
      </c>
    </row>
    <row r="255" spans="4:7">
      <c r="D255" s="39"/>
      <c r="E255" s="144"/>
      <c r="F255" s="145"/>
      <c r="G255" s="54"/>
    </row>
    <row r="256" spans="4:7">
      <c r="D256" s="46"/>
      <c r="E256" s="9"/>
      <c r="F256" s="10"/>
    </row>
    <row r="257" spans="4:7">
      <c r="D257" s="46"/>
      <c r="E257" s="9" t="s">
        <v>415</v>
      </c>
      <c r="F257" s="10" t="s">
        <v>415</v>
      </c>
      <c r="G257" s="52" t="str">
        <f t="shared" si="3"/>
        <v>Plan</v>
      </c>
    </row>
    <row r="258" spans="4:7">
      <c r="D258" s="46"/>
      <c r="E258" s="9" t="s">
        <v>416</v>
      </c>
      <c r="F258" s="10" t="s">
        <v>417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686</v>
      </c>
      <c r="F260" s="10" t="s">
        <v>687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691</v>
      </c>
      <c r="F262" s="10" t="s">
        <v>692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4"/>
      <c r="F266" s="65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424</v>
      </c>
      <c r="E269" s="9" t="s">
        <v>402</v>
      </c>
      <c r="F269" s="10" t="s">
        <v>403</v>
      </c>
      <c r="G269" s="52" t="str">
        <f>+CONCATENATE(IF(ISBLANK(IF($B$2=1,E269,F269)),"",IF($B$2=1,E269,F269))," ",$G$244)</f>
        <v>Prihodi za mjesec Maj</v>
      </c>
    </row>
    <row r="270" spans="4:7">
      <c r="E270" s="9" t="s">
        <v>404</v>
      </c>
      <c r="F270" s="10" t="s">
        <v>405</v>
      </c>
      <c r="G270" s="52" t="str">
        <f>+CONCATENATE(IF(ISBLANK(IF($B$2=1,E270,F270)),"",IF($B$2=1,E270,F270))," ",$G$244)</f>
        <v>Rashodi za mjesec Maj</v>
      </c>
    </row>
    <row r="271" spans="4:7">
      <c r="E271" s="9" t="s">
        <v>736</v>
      </c>
      <c r="F271" s="10" t="s">
        <v>793</v>
      </c>
      <c r="G271" s="52" t="str">
        <f>+CONCATENATE(IF(ISBLANK(IF($B$2=1,E271,F271)),"",IF($B$2=1,E271,F271))," ",$G$244)</f>
        <v>Suficit/Deficit za mjesec Maj</v>
      </c>
    </row>
    <row r="273" spans="5:7">
      <c r="E273" s="9" t="s">
        <v>406</v>
      </c>
      <c r="F273" s="10" t="s">
        <v>409</v>
      </c>
      <c r="G273" s="52" t="str">
        <f>+CONCATENATE(IF(ISBLANK(IF($B$2=1,E273,F273)),"",IF($B$2=1,E273,F273))," ",$G$244)</f>
        <v>Prihodi za period Januar - Maj</v>
      </c>
    </row>
    <row r="274" spans="5:7">
      <c r="E274" s="9" t="s">
        <v>407</v>
      </c>
      <c r="F274" s="10" t="s">
        <v>410</v>
      </c>
      <c r="G274" s="52" t="str">
        <f>+CONCATENATE(IF(ISBLANK(IF($B$2=1,E274,F274)),"",IF($B$2=1,E274,F274))," ",$G$244)</f>
        <v>Rashodi za period Januar - Maj</v>
      </c>
    </row>
    <row r="275" spans="5:7">
      <c r="E275" s="9" t="s">
        <v>791</v>
      </c>
      <c r="F275" s="10" t="s">
        <v>792</v>
      </c>
      <c r="G275" s="52" t="str">
        <f>+CONCATENATE(IF(ISBLANK(IF($B$2=1,E275,F275)),"",IF($B$2=1,E275,F275))," ",$G$244)</f>
        <v>Suficit/Deficit za period Januar - Maj</v>
      </c>
    </row>
    <row r="277" spans="5:7">
      <c r="E277" s="9" t="s">
        <v>413</v>
      </c>
      <c r="F277" s="10" t="s">
        <v>414</v>
      </c>
      <c r="G277" s="52" t="str">
        <f t="shared" si="3"/>
        <v>Stanje javnog duga (% BDP)</v>
      </c>
    </row>
    <row r="279" spans="5:7">
      <c r="E279" s="9" t="s">
        <v>411</v>
      </c>
      <c r="F279" s="10" t="s">
        <v>412</v>
      </c>
      <c r="G279" s="52" t="str">
        <f t="shared" si="3"/>
        <v>Pregled</v>
      </c>
    </row>
    <row r="281" spans="5:7" ht="60">
      <c r="E281" s="301" t="s">
        <v>696</v>
      </c>
      <c r="F281" s="60" t="s">
        <v>697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M34" sqref="M34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Crna Gora</v>
      </c>
      <c r="I2" s="151"/>
    </row>
    <row r="3" spans="3:11" s="148" customFormat="1">
      <c r="E3" s="151" t="str">
        <f>+Master!G7</f>
        <v>Ministarstvo finansija</v>
      </c>
    </row>
    <row r="4" spans="3:11" s="148" customFormat="1">
      <c r="E4" s="151" t="str">
        <f>+Master!G8</f>
        <v>Direktorat za ekonomsku politiku i razvoj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+Master!G269</f>
        <v>Prihodi za mjesec Maj</v>
      </c>
      <c r="E11" s="157"/>
      <c r="F11" s="157"/>
      <c r="G11" s="157"/>
      <c r="H11" s="318" t="str">
        <f>+Master!G273</f>
        <v>Prihodi za period Januar - Maj</v>
      </c>
      <c r="I11" s="319"/>
      <c r="J11" s="307"/>
      <c r="K11" s="158"/>
    </row>
    <row r="12" spans="3:11">
      <c r="C12" s="156"/>
      <c r="D12" s="160">
        <f>+'Analitika - 2019'!N10</f>
        <v>144137664.75999999</v>
      </c>
      <c r="E12" s="161">
        <f>+D12/'2019'!T7</f>
        <v>3.0100168057469821E-2</v>
      </c>
      <c r="F12" s="157"/>
      <c r="G12" s="157"/>
      <c r="H12" s="320">
        <f>+'Analitika - 2019'!G10</f>
        <v>680530323.25999999</v>
      </c>
      <c r="I12" s="321">
        <f>+H12/'2019'!T7</f>
        <v>0.14211467302760722</v>
      </c>
      <c r="J12" s="307"/>
      <c r="K12" s="158"/>
    </row>
    <row r="13" spans="3:11">
      <c r="C13" s="156"/>
      <c r="D13" s="162" t="s">
        <v>423</v>
      </c>
      <c r="E13" s="162" t="str">
        <f>+Master!G249</f>
        <v>% BDP</v>
      </c>
      <c r="F13" s="157"/>
      <c r="G13" s="157"/>
      <c r="H13" s="322" t="str">
        <f>+D13</f>
        <v>mil. €</v>
      </c>
      <c r="I13" s="322" t="str">
        <f>+E13</f>
        <v>% BDP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+Master!G270</f>
        <v>Rashodi za mjesec Maj</v>
      </c>
      <c r="E15" s="157"/>
      <c r="F15" s="157"/>
      <c r="G15" s="157"/>
      <c r="H15" s="318" t="str">
        <f>+Master!G274</f>
        <v>Rashodi za period Januar - Maj</v>
      </c>
      <c r="I15" s="319"/>
      <c r="J15" s="307"/>
      <c r="K15" s="158"/>
    </row>
    <row r="16" spans="3:11">
      <c r="C16" s="156"/>
      <c r="D16" s="160">
        <f>+'Analitika - 2019'!N29</f>
        <v>136373040.24000001</v>
      </c>
      <c r="E16" s="161">
        <f>+D16/'2019'!T7</f>
        <v>2.8478686931462226E-2</v>
      </c>
      <c r="F16" s="157"/>
      <c r="G16" s="157"/>
      <c r="H16" s="320">
        <f>+'Analitika - 2019'!G29</f>
        <v>733920536.6400001</v>
      </c>
      <c r="I16" s="321">
        <f>+H16/'2019'!T7</f>
        <v>0.15326411407091844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BDP</v>
      </c>
      <c r="F17" s="157"/>
      <c r="G17" s="157"/>
      <c r="H17" s="322" t="str">
        <f>+D13</f>
        <v>mil. €</v>
      </c>
      <c r="I17" s="322" t="str">
        <f>+E13</f>
        <v>% BDP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+Master!G271</f>
        <v>Suficit/Deficit za mjesec Maj</v>
      </c>
      <c r="E19" s="157"/>
      <c r="F19" s="157"/>
      <c r="G19" s="157"/>
      <c r="H19" s="318" t="str">
        <f>+Master!G275</f>
        <v>Suficit/Deficit za period Januar - Maj</v>
      </c>
      <c r="I19" s="319"/>
      <c r="J19" s="307"/>
      <c r="K19" s="158"/>
    </row>
    <row r="20" spans="3:11">
      <c r="C20" s="156"/>
      <c r="D20" s="160">
        <f>+'Analitika - 2019'!N55</f>
        <v>7764624.5199999809</v>
      </c>
      <c r="E20" s="161">
        <f>+D20/'2019'!T7</f>
        <v>1.6214811260075975E-3</v>
      </c>
      <c r="F20" s="157"/>
      <c r="G20" s="157"/>
      <c r="H20" s="320">
        <f>+'Analitika - 2019'!G55</f>
        <v>-53390213.380000114</v>
      </c>
      <c r="I20" s="321">
        <f>+H20/'2019'!T7</f>
        <v>-1.1149441043311222E-2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BDP</v>
      </c>
      <c r="F21" s="157"/>
      <c r="G21" s="157"/>
      <c r="H21" s="308" t="str">
        <f>+D13</f>
        <v>mil. €</v>
      </c>
      <c r="I21" s="308" t="str">
        <f>+E13</f>
        <v>% BDP</v>
      </c>
      <c r="J21" s="307"/>
      <c r="K21" s="158"/>
    </row>
    <row r="22" spans="3:11">
      <c r="C22" s="156"/>
      <c r="D22" s="500"/>
      <c r="E22" s="501"/>
      <c r="F22" s="501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1"/>
  <sheetViews>
    <sheetView tabSelected="1" zoomScaleNormal="100" workbookViewId="0">
      <pane ySplit="5" topLeftCell="A6" activePane="bottomLeft" state="frozen"/>
      <selection activeCell="DK219" sqref="DK219"/>
      <selection pane="bottomLeft" activeCell="B25" sqref="B25:F25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B3" s="188"/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2019-05</v>
      </c>
      <c r="O6" s="168" t="str">
        <f>+CONCATENATE(N6,"p")</f>
        <v>2019-05p</v>
      </c>
      <c r="P6" s="152"/>
      <c r="Q6" s="152"/>
      <c r="R6" s="168" t="str">
        <f>+IF(Master!B3-10&gt;=0,CONCATENATE(Master!B4-1,"-",Master!B3),CONCATENATE(Master!B4-1,"-0",Master!B3))</f>
        <v>2018-05</v>
      </c>
      <c r="S6" s="152"/>
      <c r="T6" s="152"/>
    </row>
    <row r="7" spans="1:20">
      <c r="A7" s="169"/>
      <c r="B7" s="454" t="str">
        <f>+Master!G253</f>
        <v>Analitika za period Maj</v>
      </c>
      <c r="C7" s="455"/>
      <c r="D7" s="455"/>
      <c r="E7" s="455"/>
      <c r="F7" s="455"/>
      <c r="G7" s="463" t="str">
        <f>+Master!G245</f>
        <v>Jan - Maj</v>
      </c>
      <c r="H7" s="464"/>
      <c r="I7" s="464"/>
      <c r="J7" s="464"/>
      <c r="K7" s="464"/>
      <c r="L7" s="464"/>
      <c r="M7" s="465"/>
      <c r="N7" s="466" t="str">
        <f>+Master!G244</f>
        <v>Maj</v>
      </c>
      <c r="O7" s="464"/>
      <c r="P7" s="464"/>
      <c r="Q7" s="464"/>
      <c r="R7" s="464"/>
      <c r="S7" s="464"/>
      <c r="T7" s="467"/>
    </row>
    <row r="8" spans="1:20">
      <c r="A8" s="169"/>
      <c r="B8" s="456"/>
      <c r="C8" s="457"/>
      <c r="D8" s="457"/>
      <c r="E8" s="457"/>
      <c r="F8" s="458"/>
      <c r="G8" s="170" t="str">
        <f>+Master!G23</f>
        <v>Ostvarenje</v>
      </c>
      <c r="H8" s="170" t="str">
        <f>+Master!G22</f>
        <v>Plan</v>
      </c>
      <c r="I8" s="450" t="str">
        <f>+Master!G260</f>
        <v>Odstupanje</v>
      </c>
      <c r="J8" s="450"/>
      <c r="K8" s="170" t="str">
        <f>+CONCATENATE(Master!G245," ",Master!B4-1)</f>
        <v>Jan - Maj 2018</v>
      </c>
      <c r="L8" s="450" t="str">
        <f>+I8</f>
        <v>Odstupanje</v>
      </c>
      <c r="M8" s="462"/>
      <c r="N8" s="171" t="str">
        <f>+G8</f>
        <v>Ostvarenje</v>
      </c>
      <c r="O8" s="170" t="str">
        <f>+H8</f>
        <v>Plan</v>
      </c>
      <c r="P8" s="450" t="str">
        <f>+I8</f>
        <v>Odstupanje</v>
      </c>
      <c r="Q8" s="450"/>
      <c r="R8" s="170" t="str">
        <f>+CONCATENATE(Master!G244," ",Master!B4-1)</f>
        <v>Maj 2018</v>
      </c>
      <c r="S8" s="450" t="str">
        <f>+P8</f>
        <v>Odstupanje</v>
      </c>
      <c r="T8" s="451"/>
    </row>
    <row r="9" spans="1:20" ht="15.75" thickBot="1">
      <c r="A9" s="169"/>
      <c r="B9" s="459"/>
      <c r="C9" s="460"/>
      <c r="D9" s="460"/>
      <c r="E9" s="460"/>
      <c r="F9" s="461"/>
      <c r="G9" s="162" t="s">
        <v>423</v>
      </c>
      <c r="H9" s="162" t="s">
        <v>423</v>
      </c>
      <c r="I9" s="162" t="s">
        <v>423</v>
      </c>
      <c r="J9" s="162" t="s">
        <v>688</v>
      </c>
      <c r="K9" s="162" t="s">
        <v>423</v>
      </c>
      <c r="L9" s="162" t="s">
        <v>423</v>
      </c>
      <c r="M9" s="172" t="s">
        <v>688</v>
      </c>
      <c r="N9" s="173" t="s">
        <v>423</v>
      </c>
      <c r="O9" s="162" t="s">
        <v>423</v>
      </c>
      <c r="P9" s="162" t="s">
        <v>423</v>
      </c>
      <c r="Q9" s="162" t="s">
        <v>688</v>
      </c>
      <c r="R9" s="162" t="s">
        <v>423</v>
      </c>
      <c r="S9" s="162" t="s">
        <v>423</v>
      </c>
      <c r="T9" s="174" t="s">
        <v>688</v>
      </c>
    </row>
    <row r="10" spans="1:20" ht="15.75" thickBot="1">
      <c r="A10" s="175">
        <v>7</v>
      </c>
      <c r="B10" s="496" t="str">
        <f>+VLOOKUP($A10,Master!$D$27:$G$225,4,FALSE)</f>
        <v>Prihodi budžeta</v>
      </c>
      <c r="C10" s="497"/>
      <c r="D10" s="497"/>
      <c r="E10" s="497"/>
      <c r="F10" s="497"/>
      <c r="G10" s="176">
        <f>+SUMPRODUCT(('2019'!$G10:$R10)*('2019'!$G$5:$R$5&lt;=Master!$B$3)*($A10='2019'!$A$10:$A$66))</f>
        <v>680530323.25999999</v>
      </c>
      <c r="H10" s="176">
        <f>+SUMPRODUCT(('2019'!$G105:$R105)*('2019'!$G$5:$R$5&lt;=Master!$B$3))</f>
        <v>656020648.25238991</v>
      </c>
      <c r="I10" s="177">
        <f>+G10-H10</f>
        <v>24509675.007610083</v>
      </c>
      <c r="J10" s="178">
        <f>+IF(ISNUMBER(G10/H10-1),G10/H10-1,"…")</f>
        <v>3.7361133483988285E-2</v>
      </c>
      <c r="K10" s="176">
        <f>+SUMPRODUCT(('2018'!$G10:$R10)*('2018'!$G$5:$R$5&lt;=Master!$B$3))</f>
        <v>623161327.17000008</v>
      </c>
      <c r="L10" s="177">
        <f>+G10-K10</f>
        <v>57368996.089999914</v>
      </c>
      <c r="M10" s="179">
        <f>+IF(ISNUMBER(G10/K10-1),G10/K10-1,"…")</f>
        <v>9.2061226505395055E-2</v>
      </c>
      <c r="N10" s="176">
        <f>+INDEX('2019'!$1:$1048576,MATCH('Analitika - 2019'!$A10,'2019'!$A:$A,0),MATCH('Analitika - 2019'!$N$6,'2019'!$6:$6,0))</f>
        <v>144137664.75999999</v>
      </c>
      <c r="O10" s="176">
        <f>+INDEX('2019'!$1:$1048576,MATCH(CONCATENATE('Analitika - 2019'!$A10,"p"),'2019'!$A:$A,0),MATCH('Analitika - 2019'!$O$6,'2019'!$101:$101,0))</f>
        <v>144927392.41019922</v>
      </c>
      <c r="P10" s="177">
        <f>+N10-O10</f>
        <v>-789727.65019923449</v>
      </c>
      <c r="Q10" s="178">
        <f>+IF(ISNUMBER(N10/O10-1),N10/O10-1,"…")</f>
        <v>-5.4491261939220159E-3</v>
      </c>
      <c r="R10" s="176">
        <f>+INDEX('2018'!$1:$1048576,MATCH('Analitika - 2019'!$A10,'2018'!$A:$A,0),MATCH('Analitika - 2019'!$R$6,'2018'!$6:$6,0))</f>
        <v>138841162.98999998</v>
      </c>
      <c r="S10" s="177">
        <f>+N10-R10</f>
        <v>5296501.7700000107</v>
      </c>
      <c r="T10" s="179">
        <f>+IF(ISNUMBER(N10/R10-1),N10/R10-1,"…")</f>
        <v>3.814792137963785E-2</v>
      </c>
    </row>
    <row r="11" spans="1:20">
      <c r="A11" s="175">
        <v>711</v>
      </c>
      <c r="B11" s="498" t="str">
        <f>+VLOOKUP($A11,Master!$D$27:$G$225,4,FALSE)</f>
        <v>Porezi</v>
      </c>
      <c r="C11" s="499"/>
      <c r="D11" s="499"/>
      <c r="E11" s="499"/>
      <c r="F11" s="499"/>
      <c r="G11" s="341">
        <f>+SUMPRODUCT(('2019'!$G11:$R11)*('2019'!$G$5:$R$5&lt;=Master!$B$3)*($A11='2019'!$A$10:$A$66))</f>
        <v>440774187.91999996</v>
      </c>
      <c r="H11" s="341">
        <f>+SUMPRODUCT(('2019'!$G106:$R106)*('2019'!$G$5:$R$5&lt;=Master!$B$3))</f>
        <v>422765654.66840667</v>
      </c>
      <c r="I11" s="183">
        <f>+G11-H11</f>
        <v>18008533.251593292</v>
      </c>
      <c r="J11" s="184">
        <f t="shared" ref="J11:J59" si="0">+IF(ISNUMBER(G11/H11-1),G11/H11-1,"…")</f>
        <v>4.2596963714373048E-2</v>
      </c>
      <c r="K11" s="341">
        <f>+SUMPRODUCT(('2018'!$G11:$R11)*('2018'!$G$5:$R$5&lt;=Master!$B$3))</f>
        <v>402708443.59999996</v>
      </c>
      <c r="L11" s="183">
        <f>+G11-K11</f>
        <v>38065744.319999993</v>
      </c>
      <c r="M11" s="185">
        <f t="shared" ref="M11:M59" si="1">+IF(ISNUMBER(G11/K11-1),G11/K11-1,"…")</f>
        <v>9.4524326283582205E-2</v>
      </c>
      <c r="N11" s="341">
        <f>+INDEX('2019'!$1:$1048576,MATCH('Analitika - 2019'!$A11,'2019'!$A:$A,0),MATCH('Analitika - 2019'!$N$6,'2019'!$6:$6,0))</f>
        <v>94372185.030000001</v>
      </c>
      <c r="O11" s="341">
        <f>+INDEX('2019'!$1:$1048576,MATCH(CONCATENATE('Analitika - 2019'!$A11,"p"),'2019'!$A:$A,0),MATCH('Analitika - 2019'!$O$6,'2019'!$101:$101,0))</f>
        <v>94699693.448994264</v>
      </c>
      <c r="P11" s="183">
        <f t="shared" ref="P11:P59" si="2">+N11-O11</f>
        <v>-327508.41899426281</v>
      </c>
      <c r="Q11" s="184">
        <f t="shared" ref="Q11:Q59" si="3">+IF(ISNUMBER(N11/O11-1),N11/O11-1,"…")</f>
        <v>-3.458389431541975E-3</v>
      </c>
      <c r="R11" s="341">
        <f>+INDEX('2018'!$1:$1048576,MATCH('Analitika - 2019'!$A11,'2018'!$A:$A,0),MATCH('Analitika - 2019'!$R$6,'2018'!$6:$6,0))</f>
        <v>90553351.069999993</v>
      </c>
      <c r="S11" s="183">
        <f t="shared" ref="S11:S59" si="4">+N11-R11</f>
        <v>3818833.9600000083</v>
      </c>
      <c r="T11" s="185">
        <f t="shared" ref="T11:T59" si="5">+IF(ISNUMBER(N11/R11-1),N11/R11-1,"…")</f>
        <v>4.2172199204952188E-2</v>
      </c>
    </row>
    <row r="12" spans="1:20">
      <c r="A12" s="175">
        <v>7111</v>
      </c>
      <c r="B12" s="484" t="str">
        <f>+VLOOKUP($A12,Master!$D$27:$G$225,4,FALSE)</f>
        <v>Porez na dohodak fizičkih lica</v>
      </c>
      <c r="C12" s="485"/>
      <c r="D12" s="485"/>
      <c r="E12" s="485"/>
      <c r="F12" s="485"/>
      <c r="G12" s="188">
        <f>+SUMPRODUCT(('2019'!$G12:$R12)*('2019'!$G$5:$R$5&lt;=Master!$B$3)*($A12='2019'!$A$10:$A$66))</f>
        <v>43625350.75</v>
      </c>
      <c r="H12" s="188">
        <f>+SUMPRODUCT(('2019'!$G107:$R107)*('2019'!$G$5:$R$5&lt;=Master!$B$3))</f>
        <v>38935618.374212332</v>
      </c>
      <c r="I12" s="189">
        <f t="shared" ref="I12:I59" si="6">+G12-H12</f>
        <v>4689732.3757876679</v>
      </c>
      <c r="J12" s="190">
        <f t="shared" si="0"/>
        <v>0.12044838560709104</v>
      </c>
      <c r="K12" s="188">
        <f>+SUMPRODUCT(('2018'!$G12:$R12)*('2018'!$G$5:$R$5&lt;=Master!$B$3))</f>
        <v>42625823.950000003</v>
      </c>
      <c r="L12" s="189">
        <f>+G12-K12</f>
        <v>999526.79999999702</v>
      </c>
      <c r="M12" s="191">
        <f t="shared" si="1"/>
        <v>2.3448855819712566E-2</v>
      </c>
      <c r="N12" s="188">
        <f>+INDEX('2019'!$1:$1048576,MATCH('Analitika - 2019'!$A12,'2019'!$A:$A,0),MATCH('Analitika - 2019'!$N$6,'2019'!$6:$6,0))</f>
        <v>10210712.41</v>
      </c>
      <c r="O12" s="188">
        <f>+INDEX('2019'!$1:$1048576,MATCH(CONCATENATE('Analitika - 2019'!$A12,"p"),'2019'!$A:$A,0),MATCH('Analitika - 2019'!$O$6,'2019'!$101:$101,0))</f>
        <v>9315147.433583051</v>
      </c>
      <c r="P12" s="189">
        <f t="shared" si="2"/>
        <v>895564.97641694918</v>
      </c>
      <c r="Q12" s="190">
        <f t="shared" si="3"/>
        <v>9.6140719489661519E-2</v>
      </c>
      <c r="R12" s="188">
        <f>+INDEX('2018'!$1:$1048576,MATCH('Analitika - 2019'!$A12,'2018'!$A:$A,0),MATCH('Analitika - 2019'!$R$6,'2018'!$6:$6,0))</f>
        <v>10330673.77</v>
      </c>
      <c r="S12" s="189">
        <f t="shared" si="4"/>
        <v>-119961.3599999994</v>
      </c>
      <c r="T12" s="191">
        <f t="shared" si="5"/>
        <v>-1.1612152573084233E-2</v>
      </c>
    </row>
    <row r="13" spans="1:20">
      <c r="A13" s="175">
        <v>7112</v>
      </c>
      <c r="B13" s="484" t="str">
        <f>+VLOOKUP($A13,Master!$D$27:$G$225,4,FALSE)</f>
        <v>Porez na dobit pravnih lica</v>
      </c>
      <c r="C13" s="485"/>
      <c r="D13" s="485"/>
      <c r="E13" s="485"/>
      <c r="F13" s="485"/>
      <c r="G13" s="188">
        <f>+SUMPRODUCT(('2019'!$G13:$R13)*('2019'!$G$5:$R$5&lt;=Master!$B$3)*($A13='2019'!$A$10:$A$66))</f>
        <v>50555235.359999999</v>
      </c>
      <c r="H13" s="188">
        <f>+SUMPRODUCT(('2019'!$G108:$R108)*('2019'!$G$5:$R$5&lt;=Master!$B$3))</f>
        <v>48664552.617415652</v>
      </c>
      <c r="I13" s="189">
        <f t="shared" si="6"/>
        <v>1890682.7425843477</v>
      </c>
      <c r="J13" s="190">
        <f t="shared" si="0"/>
        <v>3.8851333072930094E-2</v>
      </c>
      <c r="K13" s="188">
        <f>+SUMPRODUCT(('2018'!$G13:$R13)*('2018'!$G$5:$R$5&lt;=Master!$B$3))</f>
        <v>46206030.119999997</v>
      </c>
      <c r="L13" s="189">
        <f t="shared" ref="L13:L59" si="7">+G13-K13</f>
        <v>4349205.2400000021</v>
      </c>
      <c r="M13" s="191">
        <f t="shared" si="1"/>
        <v>9.4126355990870492E-2</v>
      </c>
      <c r="N13" s="188">
        <f>+INDEX('2019'!$1:$1048576,MATCH('Analitika - 2019'!$A13,'2019'!$A:$A,0),MATCH('Analitika - 2019'!$N$6,'2019'!$6:$6,0))</f>
        <v>4781744.7</v>
      </c>
      <c r="O13" s="188">
        <f>+INDEX('2019'!$1:$1048576,MATCH(CONCATENATE('Analitika - 2019'!$A13,"p"),'2019'!$A:$A,0),MATCH('Analitika - 2019'!$O$6,'2019'!$101:$101,0))</f>
        <v>3928923.943707631</v>
      </c>
      <c r="P13" s="189">
        <f t="shared" si="2"/>
        <v>852820.75629236922</v>
      </c>
      <c r="Q13" s="190">
        <f t="shared" si="3"/>
        <v>0.21706216982342053</v>
      </c>
      <c r="R13" s="188">
        <f>+INDEX('2018'!$1:$1048576,MATCH('Analitika - 2019'!$A13,'2018'!$A:$A,0),MATCH('Analitika - 2019'!$R$6,'2018'!$6:$6,0))</f>
        <v>3730435.57</v>
      </c>
      <c r="S13" s="189">
        <f t="shared" si="4"/>
        <v>1051309.1300000004</v>
      </c>
      <c r="T13" s="191">
        <f t="shared" si="5"/>
        <v>0.28181940426865504</v>
      </c>
    </row>
    <row r="14" spans="1:20">
      <c r="A14" s="175">
        <v>7113</v>
      </c>
      <c r="B14" s="484" t="str">
        <f>+VLOOKUP($A14,Master!$D$27:$G$225,4,FALSE)</f>
        <v>Porez na promet nepokretnosti</v>
      </c>
      <c r="C14" s="485"/>
      <c r="D14" s="485"/>
      <c r="E14" s="485"/>
      <c r="F14" s="485"/>
      <c r="G14" s="188">
        <f>+SUMPRODUCT(('2019'!$G14:$R14)*('2019'!$G$5:$R$5&lt;=Master!$B$3)*($A14='2019'!$A$10:$A$66))</f>
        <v>786033.96</v>
      </c>
      <c r="H14" s="188">
        <f>+SUMPRODUCT(('2019'!$G109:$R109)*('2019'!$G$5:$R$5&lt;=Master!$B$3))</f>
        <v>695366.5267993391</v>
      </c>
      <c r="I14" s="189">
        <f t="shared" si="6"/>
        <v>90667.43320066086</v>
      </c>
      <c r="J14" s="190">
        <f t="shared" si="0"/>
        <v>0.13038797483966991</v>
      </c>
      <c r="K14" s="188">
        <f>+SUMPRODUCT(('2018'!$G14:$R14)*('2018'!$G$5:$R$5&lt;=Master!$B$3))</f>
        <v>674642.42999999993</v>
      </c>
      <c r="L14" s="189">
        <f t="shared" si="7"/>
        <v>111391.53000000003</v>
      </c>
      <c r="M14" s="191">
        <f t="shared" si="1"/>
        <v>0.16511195419475766</v>
      </c>
      <c r="N14" s="188">
        <f>+INDEX('2019'!$1:$1048576,MATCH('Analitika - 2019'!$A14,'2019'!$A:$A,0),MATCH('Analitika - 2019'!$N$6,'2019'!$6:$6,0))</f>
        <v>147510.5</v>
      </c>
      <c r="O14" s="188">
        <f>+INDEX('2019'!$1:$1048576,MATCH(CONCATENATE('Analitika - 2019'!$A14,"p"),'2019'!$A:$A,0),MATCH('Analitika - 2019'!$O$6,'2019'!$101:$101,0))</f>
        <v>148306.47673758463</v>
      </c>
      <c r="P14" s="189">
        <f t="shared" si="2"/>
        <v>-795.9767375846277</v>
      </c>
      <c r="Q14" s="190">
        <f t="shared" si="3"/>
        <v>-5.3671070548930722E-3</v>
      </c>
      <c r="R14" s="188">
        <f>+INDEX('2018'!$1:$1048576,MATCH('Analitika - 2019'!$A14,'2018'!$A:$A,0),MATCH('Analitika - 2019'!$R$6,'2018'!$6:$6,0))</f>
        <v>143886.48000000001</v>
      </c>
      <c r="S14" s="189">
        <f t="shared" si="4"/>
        <v>3624.0199999999895</v>
      </c>
      <c r="T14" s="191">
        <f t="shared" si="5"/>
        <v>2.5186661040008662E-2</v>
      </c>
    </row>
    <row r="15" spans="1:20">
      <c r="A15" s="175">
        <v>7114</v>
      </c>
      <c r="B15" s="484" t="str">
        <f>+VLOOKUP($A15,Master!$D$27:$G$225,4,FALSE)</f>
        <v>Porez na dodatu vrijednost</v>
      </c>
      <c r="C15" s="485"/>
      <c r="D15" s="485"/>
      <c r="E15" s="485"/>
      <c r="F15" s="485"/>
      <c r="G15" s="188">
        <f>+SUMPRODUCT(('2019'!$G15:$R15)*('2019'!$G$5:$R$5&lt;=Master!$B$3)*($A15='2019'!$A$10:$A$66))</f>
        <v>250874987.07999998</v>
      </c>
      <c r="H15" s="188">
        <f>+SUMPRODUCT(('2019'!$G110:$R110)*('2019'!$G$5:$R$5&lt;=Master!$B$3))</f>
        <v>238943962.42417774</v>
      </c>
      <c r="I15" s="189">
        <f t="shared" si="6"/>
        <v>11931024.655822247</v>
      </c>
      <c r="J15" s="190">
        <f t="shared" si="0"/>
        <v>4.9932312726287176E-2</v>
      </c>
      <c r="K15" s="188">
        <f>+SUMPRODUCT(('2018'!$G15:$R15)*('2018'!$G$5:$R$5&lt;=Master!$B$3))</f>
        <v>223897848.63</v>
      </c>
      <c r="L15" s="189">
        <f t="shared" si="7"/>
        <v>26977138.449999988</v>
      </c>
      <c r="M15" s="191">
        <f t="shared" si="1"/>
        <v>0.12048860056078858</v>
      </c>
      <c r="N15" s="188">
        <f>+INDEX('2019'!$1:$1048576,MATCH('Analitika - 2019'!$A15,'2019'!$A:$A,0),MATCH('Analitika - 2019'!$N$6,'2019'!$6:$6,0))</f>
        <v>56428341.859999999</v>
      </c>
      <c r="O15" s="188">
        <f>+INDEX('2019'!$1:$1048576,MATCH(CONCATENATE('Analitika - 2019'!$A15,"p"),'2019'!$A:$A,0),MATCH('Analitika - 2019'!$O$6,'2019'!$101:$101,0))</f>
        <v>56985238.833298653</v>
      </c>
      <c r="P15" s="189">
        <f t="shared" si="2"/>
        <v>-556896.97329865396</v>
      </c>
      <c r="Q15" s="190">
        <f t="shared" si="3"/>
        <v>-9.7726531414173978E-3</v>
      </c>
      <c r="R15" s="188">
        <f>+INDEX('2018'!$1:$1048576,MATCH('Analitika - 2019'!$A15,'2018'!$A:$A,0),MATCH('Analitika - 2019'!$R$6,'2018'!$6:$6,0))</f>
        <v>53847636.579999998</v>
      </c>
      <c r="S15" s="189">
        <f t="shared" si="4"/>
        <v>2580705.2800000012</v>
      </c>
      <c r="T15" s="191">
        <f t="shared" si="5"/>
        <v>4.7926064056050377E-2</v>
      </c>
    </row>
    <row r="16" spans="1:20">
      <c r="A16" s="175">
        <v>7115</v>
      </c>
      <c r="B16" s="484" t="str">
        <f>+VLOOKUP($A16,Master!$D$27:$G$225,4,FALSE)</f>
        <v>Akcize</v>
      </c>
      <c r="C16" s="485"/>
      <c r="D16" s="485"/>
      <c r="E16" s="485"/>
      <c r="F16" s="485"/>
      <c r="G16" s="188">
        <f>+SUMPRODUCT(('2019'!$G16:$R16)*('2019'!$G$5:$R$5&lt;=Master!$B$3)*($A16='2019'!$A$10:$A$66))</f>
        <v>77911230.170000002</v>
      </c>
      <c r="H16" s="188">
        <f>+SUMPRODUCT(('2019'!$G111:$R111)*('2019'!$G$5:$R$5&lt;=Master!$B$3))</f>
        <v>81774384.423482046</v>
      </c>
      <c r="I16" s="189">
        <f t="shared" si="6"/>
        <v>-3863154.2534820437</v>
      </c>
      <c r="J16" s="190">
        <f t="shared" si="0"/>
        <v>-4.7241618273468955E-2</v>
      </c>
      <c r="K16" s="188">
        <f>+SUMPRODUCT(('2018'!$G16:$R16)*('2018'!$G$5:$R$5&lt;=Master!$B$3))</f>
        <v>75917703.420000002</v>
      </c>
      <c r="L16" s="189">
        <f t="shared" si="7"/>
        <v>1993526.75</v>
      </c>
      <c r="M16" s="191">
        <f t="shared" si="1"/>
        <v>2.6259049736675921E-2</v>
      </c>
      <c r="N16" s="188">
        <f>+INDEX('2019'!$1:$1048576,MATCH('Analitika - 2019'!$A16,'2019'!$A:$A,0),MATCH('Analitika - 2019'!$N$6,'2019'!$6:$6,0))</f>
        <v>19442485.359999999</v>
      </c>
      <c r="O16" s="188">
        <f>+INDEX('2019'!$1:$1048576,MATCH(CONCATENATE('Analitika - 2019'!$A16,"p"),'2019'!$A:$A,0),MATCH('Analitika - 2019'!$O$6,'2019'!$101:$101,0))</f>
        <v>20891088.570270509</v>
      </c>
      <c r="P16" s="189">
        <f t="shared" si="2"/>
        <v>-1448603.2102705091</v>
      </c>
      <c r="Q16" s="190">
        <f t="shared" si="3"/>
        <v>-6.9340724175185997E-2</v>
      </c>
      <c r="R16" s="188">
        <f>+INDEX('2018'!$1:$1048576,MATCH('Analitika - 2019'!$A16,'2018'!$A:$A,0),MATCH('Analitika - 2019'!$R$6,'2018'!$6:$6,0))</f>
        <v>19160303.329999998</v>
      </c>
      <c r="S16" s="189">
        <f t="shared" si="4"/>
        <v>282182.03000000119</v>
      </c>
      <c r="T16" s="191">
        <f t="shared" si="5"/>
        <v>1.4727430205041525E-2</v>
      </c>
    </row>
    <row r="17" spans="1:20">
      <c r="A17" s="175">
        <v>7116</v>
      </c>
      <c r="B17" s="484" t="str">
        <f>+VLOOKUP($A17,Master!$D$27:$G$225,4,FALSE)</f>
        <v>Porez na međunarodnu trgovinu i transakcije</v>
      </c>
      <c r="C17" s="485"/>
      <c r="D17" s="485"/>
      <c r="E17" s="485"/>
      <c r="F17" s="485"/>
      <c r="G17" s="188">
        <f>+SUMPRODUCT(('2019'!$G17:$R17)*('2019'!$G$5:$R$5&lt;=Master!$B$3)*($A17='2019'!$A$10:$A$66))</f>
        <v>10655386.18</v>
      </c>
      <c r="H17" s="188">
        <f>+SUMPRODUCT(('2019'!$G112:$R112)*('2019'!$G$5:$R$5&lt;=Master!$B$3))</f>
        <v>10173932.989158344</v>
      </c>
      <c r="I17" s="189">
        <f t="shared" si="6"/>
        <v>481453.19084165618</v>
      </c>
      <c r="J17" s="190">
        <f t="shared" si="0"/>
        <v>4.7322229402799065E-2</v>
      </c>
      <c r="K17" s="188">
        <f>+SUMPRODUCT(('2018'!$G17:$R17)*('2018'!$G$5:$R$5&lt;=Master!$B$3))</f>
        <v>9915843.2699999996</v>
      </c>
      <c r="L17" s="189">
        <f t="shared" si="7"/>
        <v>739542.91000000015</v>
      </c>
      <c r="M17" s="191">
        <f t="shared" si="1"/>
        <v>7.4581948288498845E-2</v>
      </c>
      <c r="N17" s="188">
        <f>+INDEX('2019'!$1:$1048576,MATCH('Analitika - 2019'!$A17,'2019'!$A:$A,0),MATCH('Analitika - 2019'!$N$6,'2019'!$6:$6,0))</f>
        <v>2502520.2799999998</v>
      </c>
      <c r="O17" s="188">
        <f>+INDEX('2019'!$1:$1048576,MATCH(CONCATENATE('Analitika - 2019'!$A17,"p"),'2019'!$A:$A,0),MATCH('Analitika - 2019'!$O$6,'2019'!$101:$101,0))</f>
        <v>2665262.8330451054</v>
      </c>
      <c r="P17" s="189">
        <f t="shared" si="2"/>
        <v>-162742.55304510565</v>
      </c>
      <c r="Q17" s="190">
        <f t="shared" si="3"/>
        <v>-6.1060601989174068E-2</v>
      </c>
      <c r="R17" s="188">
        <f>+INDEX('2018'!$1:$1048576,MATCH('Analitika - 2019'!$A17,'2018'!$A:$A,0),MATCH('Analitika - 2019'!$R$6,'2018'!$6:$6,0))</f>
        <v>2597651.13</v>
      </c>
      <c r="S17" s="189">
        <f t="shared" si="4"/>
        <v>-95130.850000000093</v>
      </c>
      <c r="T17" s="191">
        <f t="shared" si="5"/>
        <v>-3.6621873084242917E-2</v>
      </c>
    </row>
    <row r="18" spans="1:20">
      <c r="A18" s="175">
        <v>7118</v>
      </c>
      <c r="B18" s="484" t="str">
        <f>+VLOOKUP($A18,Master!$D$27:$G$225,4,FALSE)</f>
        <v>Ostali državni porezi</v>
      </c>
      <c r="C18" s="485"/>
      <c r="D18" s="485"/>
      <c r="E18" s="485"/>
      <c r="F18" s="485"/>
      <c r="G18" s="188">
        <f>+SUMPRODUCT(('2019'!$G18:$R18)*('2019'!$G$5:$R$5&lt;=Master!$B$3)*($A18='2019'!$A$10:$A$66))</f>
        <v>6365964.4199999999</v>
      </c>
      <c r="H18" s="188">
        <f>+SUMPRODUCT(('2019'!$G113:$R113)*('2019'!$G$5:$R$5&lt;=Master!$B$3))</f>
        <v>3577837.3131611827</v>
      </c>
      <c r="I18" s="189">
        <f t="shared" si="6"/>
        <v>2788127.1068388172</v>
      </c>
      <c r="J18" s="190">
        <f t="shared" si="0"/>
        <v>0.77927721771546388</v>
      </c>
      <c r="K18" s="188">
        <f>+SUMPRODUCT(('2018'!$G18:$R18)*('2018'!$G$5:$R$5&lt;=Master!$B$3))</f>
        <v>3470551.7800000003</v>
      </c>
      <c r="L18" s="189">
        <f t="shared" si="7"/>
        <v>2895412.6399999997</v>
      </c>
      <c r="M18" s="191">
        <f t="shared" si="1"/>
        <v>0.83428020197987052</v>
      </c>
      <c r="N18" s="188">
        <f>+INDEX('2019'!$1:$1048576,MATCH('Analitika - 2019'!$A18,'2019'!$A:$A,0),MATCH('Analitika - 2019'!$N$6,'2019'!$6:$6,0))</f>
        <v>858869.92</v>
      </c>
      <c r="O18" s="188">
        <f>+INDEX('2019'!$1:$1048576,MATCH(CONCATENATE('Analitika - 2019'!$A18,"p"),'2019'!$A:$A,0),MATCH('Analitika - 2019'!$O$6,'2019'!$101:$101,0))</f>
        <v>765725.35835171666</v>
      </c>
      <c r="P18" s="189">
        <f t="shared" si="2"/>
        <v>93144.561648283387</v>
      </c>
      <c r="Q18" s="190">
        <f t="shared" si="3"/>
        <v>0.12164225806597861</v>
      </c>
      <c r="R18" s="188">
        <f>+INDEX('2018'!$1:$1048576,MATCH('Analitika - 2019'!$A18,'2018'!$A:$A,0),MATCH('Analitika - 2019'!$R$6,'2018'!$6:$6,0))</f>
        <v>742764.21</v>
      </c>
      <c r="S18" s="189">
        <f t="shared" si="4"/>
        <v>116105.71000000008</v>
      </c>
      <c r="T18" s="191">
        <f t="shared" si="5"/>
        <v>0.15631570347203461</v>
      </c>
    </row>
    <row r="19" spans="1:20">
      <c r="A19" s="175">
        <v>712</v>
      </c>
      <c r="B19" s="494" t="str">
        <f>+VLOOKUP($A19,Master!$D$27:$G$225,4,FALSE)</f>
        <v>Doprinosi</v>
      </c>
      <c r="C19" s="495"/>
      <c r="D19" s="495"/>
      <c r="E19" s="495"/>
      <c r="F19" s="495"/>
      <c r="G19" s="194">
        <f>+SUMPRODUCT(('2019'!$G19:$R19)*('2019'!$G$5:$R$5&lt;=Master!$B$3)*($A19='2019'!$A$10:$A$66))</f>
        <v>187246024.10999998</v>
      </c>
      <c r="H19" s="194">
        <f>+SUMPRODUCT(('2019'!$G114:$R114)*('2019'!$G$5:$R$5&lt;=Master!$B$3))</f>
        <v>178212807.64668593</v>
      </c>
      <c r="I19" s="195">
        <f t="shared" si="6"/>
        <v>9033216.4633140564</v>
      </c>
      <c r="J19" s="196">
        <f t="shared" si="0"/>
        <v>5.068780736131373E-2</v>
      </c>
      <c r="K19" s="194">
        <f>+SUMPRODUCT(('2018'!$G19:$R19)*('2018'!$G$5:$R$5&lt;=Master!$B$3))</f>
        <v>175982290.57999998</v>
      </c>
      <c r="L19" s="195">
        <f t="shared" si="7"/>
        <v>11263733.530000001</v>
      </c>
      <c r="M19" s="197">
        <f t="shared" si="1"/>
        <v>6.4004926250687655E-2</v>
      </c>
      <c r="N19" s="194">
        <f>+INDEX('2019'!$1:$1048576,MATCH('Analitika - 2019'!$A19,'2019'!$A:$A,0),MATCH('Analitika - 2019'!$N$6,'2019'!$6:$6,0))</f>
        <v>37496285.130000003</v>
      </c>
      <c r="O19" s="194">
        <f>+INDEX('2019'!$1:$1048576,MATCH(CONCATENATE('Analitika - 2019'!$A19,"p"),'2019'!$A:$A,0),MATCH('Analitika - 2019'!$O$6,'2019'!$101:$101,0))</f>
        <v>40898605.146830343</v>
      </c>
      <c r="P19" s="195">
        <f t="shared" si="2"/>
        <v>-3402320.01683034</v>
      </c>
      <c r="Q19" s="196">
        <f t="shared" si="3"/>
        <v>-8.3189145561704314E-2</v>
      </c>
      <c r="R19" s="194">
        <f>+INDEX('2018'!$1:$1048576,MATCH('Analitika - 2019'!$A19,'2018'!$A:$A,0),MATCH('Analitika - 2019'!$R$6,'2018'!$6:$6,0))</f>
        <v>40388291.549999997</v>
      </c>
      <c r="S19" s="195">
        <f t="shared" si="4"/>
        <v>-2892006.4199999943</v>
      </c>
      <c r="T19" s="197">
        <f t="shared" si="5"/>
        <v>-7.1605069415222489E-2</v>
      </c>
    </row>
    <row r="20" spans="1:20">
      <c r="A20" s="175">
        <v>7121</v>
      </c>
      <c r="B20" s="484" t="str">
        <f>+VLOOKUP($A20,Master!$D$27:$G$225,4,FALSE)</f>
        <v>Doprinosi za penzijsko i invalidsko osiguranje</v>
      </c>
      <c r="C20" s="485"/>
      <c r="D20" s="485"/>
      <c r="E20" s="485"/>
      <c r="F20" s="485"/>
      <c r="G20" s="188">
        <f>+SUMPRODUCT(('2019'!$G20:$R20)*('2019'!$G$5:$R$5&lt;=Master!$B$3)*($A20='2019'!$A$10:$A$66))</f>
        <v>109968839.28</v>
      </c>
      <c r="H20" s="188">
        <f>+SUMPRODUCT(('2019'!$G115:$R115)*('2019'!$G$5:$R$5&lt;=Master!$B$3))</f>
        <v>108472618.39507163</v>
      </c>
      <c r="I20" s="189">
        <f t="shared" si="6"/>
        <v>1496220.8849283755</v>
      </c>
      <c r="J20" s="190">
        <f t="shared" si="0"/>
        <v>1.379353524480198E-2</v>
      </c>
      <c r="K20" s="188">
        <f>+SUMPRODUCT(('2018'!$G20:$R20)*('2018'!$G$5:$R$5&lt;=Master!$B$3))</f>
        <v>106888612.93000001</v>
      </c>
      <c r="L20" s="189">
        <f t="shared" si="7"/>
        <v>3080226.349999994</v>
      </c>
      <c r="M20" s="191">
        <f t="shared" si="1"/>
        <v>2.881716083281205E-2</v>
      </c>
      <c r="N20" s="188">
        <f>+INDEX('2019'!$1:$1048576,MATCH('Analitika - 2019'!$A20,'2019'!$A:$A,0),MATCH('Analitika - 2019'!$N$6,'2019'!$6:$6,0))</f>
        <v>22104934.850000001</v>
      </c>
      <c r="O20" s="188">
        <f>+INDEX('2019'!$1:$1048576,MATCH(CONCATENATE('Analitika - 2019'!$A20,"p"),'2019'!$A:$A,0),MATCH('Analitika - 2019'!$O$6,'2019'!$101:$101,0))</f>
        <v>24837700.78348216</v>
      </c>
      <c r="P20" s="189">
        <f t="shared" si="2"/>
        <v>-2732765.9334821589</v>
      </c>
      <c r="Q20" s="190">
        <f t="shared" si="3"/>
        <v>-0.11002491564354189</v>
      </c>
      <c r="R20" s="188">
        <f>+INDEX('2018'!$1:$1048576,MATCH('Analitika - 2019'!$A20,'2018'!$A:$A,0),MATCH('Analitika - 2019'!$R$6,'2018'!$6:$6,0))</f>
        <v>24475000.460000001</v>
      </c>
      <c r="S20" s="189">
        <f t="shared" si="4"/>
        <v>-2370065.6099999994</v>
      </c>
      <c r="T20" s="191">
        <f t="shared" si="5"/>
        <v>-9.6836182449656971E-2</v>
      </c>
    </row>
    <row r="21" spans="1:20">
      <c r="A21" s="175">
        <v>7122</v>
      </c>
      <c r="B21" s="484" t="str">
        <f>+VLOOKUP($A21,Master!$D$27:$G$225,4,FALSE)</f>
        <v>Doprinosi za zdravstveno osiguranje</v>
      </c>
      <c r="C21" s="485"/>
      <c r="D21" s="485"/>
      <c r="E21" s="485"/>
      <c r="F21" s="485"/>
      <c r="G21" s="188">
        <f>+SUMPRODUCT(('2019'!$G21:$R21)*('2019'!$G$5:$R$5&lt;=Master!$B$3)*($A21='2019'!$A$10:$A$66))</f>
        <v>67246941.929999992</v>
      </c>
      <c r="H21" s="188">
        <f>+SUMPRODUCT(('2019'!$G116:$R116)*('2019'!$G$5:$R$5&lt;=Master!$B$3))</f>
        <v>60895005.628838263</v>
      </c>
      <c r="I21" s="189">
        <f t="shared" si="6"/>
        <v>6351936.3011617288</v>
      </c>
      <c r="J21" s="190">
        <f t="shared" si="0"/>
        <v>0.10430964305804458</v>
      </c>
      <c r="K21" s="188">
        <f>+SUMPRODUCT(('2018'!$G21:$R21)*('2018'!$G$5:$R$5&lt;=Master!$B$3))</f>
        <v>60373196.300000004</v>
      </c>
      <c r="L21" s="189">
        <f t="shared" si="7"/>
        <v>6873745.6299999878</v>
      </c>
      <c r="M21" s="191">
        <f t="shared" si="1"/>
        <v>0.11385426068621096</v>
      </c>
      <c r="N21" s="188">
        <f>+INDEX('2019'!$1:$1048576,MATCH('Analitika - 2019'!$A21,'2019'!$A:$A,0),MATCH('Analitika - 2019'!$N$6,'2019'!$6:$6,0))</f>
        <v>13458982.5</v>
      </c>
      <c r="O21" s="188">
        <f>+INDEX('2019'!$1:$1048576,MATCH(CONCATENATE('Analitika - 2019'!$A21,"p"),'2019'!$A:$A,0),MATCH('Analitika - 2019'!$O$6,'2019'!$101:$101,0))</f>
        <v>14065277.256726971</v>
      </c>
      <c r="P21" s="189">
        <f t="shared" si="2"/>
        <v>-606294.7567269709</v>
      </c>
      <c r="Q21" s="190">
        <f t="shared" si="3"/>
        <v>-4.3105780686761741E-2</v>
      </c>
      <c r="R21" s="188">
        <f>+INDEX('2018'!$1:$1048576,MATCH('Analitika - 2019'!$A21,'2018'!$A:$A,0),MATCH('Analitika - 2019'!$R$6,'2018'!$6:$6,0))</f>
        <v>13944751.890000001</v>
      </c>
      <c r="S21" s="189">
        <f t="shared" si="4"/>
        <v>-485769.3900000006</v>
      </c>
      <c r="T21" s="191">
        <f t="shared" si="5"/>
        <v>-3.4835283828058117E-2</v>
      </c>
    </row>
    <row r="22" spans="1:20">
      <c r="A22" s="175">
        <v>7123</v>
      </c>
      <c r="B22" s="484" t="str">
        <f>+VLOOKUP($A22,Master!$D$27:$G$225,4,FALSE)</f>
        <v>Doprinosi za osiguranje od nezaposlenosti</v>
      </c>
      <c r="C22" s="485"/>
      <c r="D22" s="485"/>
      <c r="E22" s="485"/>
      <c r="F22" s="485"/>
      <c r="G22" s="188">
        <f>+SUMPRODUCT(('2019'!$G22:$R22)*('2019'!$G$5:$R$5&lt;=Master!$B$3)*($A22='2019'!$A$10:$A$66))</f>
        <v>5157791.78</v>
      </c>
      <c r="H22" s="188">
        <f>+SUMPRODUCT(('2019'!$G117:$R117)*('2019'!$G$5:$R$5&lt;=Master!$B$3))</f>
        <v>4333338.9955346826</v>
      </c>
      <c r="I22" s="189">
        <f t="shared" si="6"/>
        <v>824452.78446531761</v>
      </c>
      <c r="J22" s="190">
        <f t="shared" si="0"/>
        <v>0.19025808627362872</v>
      </c>
      <c r="K22" s="188">
        <f>+SUMPRODUCT(('2018'!$G22:$R22)*('2018'!$G$5:$R$5&lt;=Master!$B$3))</f>
        <v>4507030.41</v>
      </c>
      <c r="L22" s="189">
        <f t="shared" si="7"/>
        <v>650761.37000000011</v>
      </c>
      <c r="M22" s="191">
        <f t="shared" si="1"/>
        <v>0.1443880583889825</v>
      </c>
      <c r="N22" s="188">
        <f>+INDEX('2019'!$1:$1048576,MATCH('Analitika - 2019'!$A22,'2019'!$A:$A,0),MATCH('Analitika - 2019'!$N$6,'2019'!$6:$6,0))</f>
        <v>1026106.03</v>
      </c>
      <c r="O22" s="188">
        <f>+INDEX('2019'!$1:$1048576,MATCH(CONCATENATE('Analitika - 2019'!$A22,"p"),'2019'!$A:$A,0),MATCH('Analitika - 2019'!$O$6,'2019'!$101:$101,0))</f>
        <v>987534.50739325164</v>
      </c>
      <c r="P22" s="189">
        <f t="shared" si="2"/>
        <v>38571.522606748389</v>
      </c>
      <c r="Q22" s="190">
        <f t="shared" si="3"/>
        <v>3.9058404863809626E-2</v>
      </c>
      <c r="R22" s="188">
        <f>+INDEX('2018'!$1:$1048576,MATCH('Analitika - 2019'!$A22,'2018'!$A:$A,0),MATCH('Analitika - 2019'!$R$6,'2018'!$6:$6,0))</f>
        <v>1027117.44</v>
      </c>
      <c r="S22" s="189">
        <f t="shared" si="4"/>
        <v>-1011.4099999999162</v>
      </c>
      <c r="T22" s="191">
        <f t="shared" si="5"/>
        <v>-9.8470725996036013E-4</v>
      </c>
    </row>
    <row r="23" spans="1:20">
      <c r="A23" s="175">
        <v>7124</v>
      </c>
      <c r="B23" s="484" t="str">
        <f>+VLOOKUP($A23,Master!$D$27:$G$225,4,FALSE)</f>
        <v>Ostali doprinosi</v>
      </c>
      <c r="C23" s="485"/>
      <c r="D23" s="485"/>
      <c r="E23" s="485"/>
      <c r="F23" s="485"/>
      <c r="G23" s="188">
        <f>+SUMPRODUCT(('2019'!$G23:$R23)*('2019'!$G$5:$R$5&lt;=Master!$B$3)*($A23='2019'!$A$10:$A$66))</f>
        <v>4872451.12</v>
      </c>
      <c r="H23" s="188">
        <f>+SUMPRODUCT(('2019'!$G118:$R118)*('2019'!$G$5:$R$5&lt;=Master!$B$3))</f>
        <v>4511844.6272413544</v>
      </c>
      <c r="I23" s="189">
        <f t="shared" si="6"/>
        <v>360606.49275864568</v>
      </c>
      <c r="J23" s="190">
        <f t="shared" si="0"/>
        <v>7.9924403996847859E-2</v>
      </c>
      <c r="K23" s="188">
        <f>+SUMPRODUCT(('2018'!$G23:$R23)*('2018'!$G$5:$R$5&lt;=Master!$B$3))</f>
        <v>4213450.9399999995</v>
      </c>
      <c r="L23" s="189">
        <f t="shared" si="7"/>
        <v>659000.18000000063</v>
      </c>
      <c r="M23" s="191">
        <f t="shared" si="1"/>
        <v>0.15640390487138345</v>
      </c>
      <c r="N23" s="188">
        <f>+INDEX('2019'!$1:$1048576,MATCH('Analitika - 2019'!$A23,'2019'!$A:$A,0),MATCH('Analitika - 2019'!$N$6,'2019'!$6:$6,0))</f>
        <v>906261.75</v>
      </c>
      <c r="O23" s="188">
        <f>+INDEX('2019'!$1:$1048576,MATCH(CONCATENATE('Analitika - 2019'!$A23,"p"),'2019'!$A:$A,0),MATCH('Analitika - 2019'!$O$6,'2019'!$101:$101,0))</f>
        <v>1008092.5992279621</v>
      </c>
      <c r="P23" s="189">
        <f t="shared" si="2"/>
        <v>-101830.84922796208</v>
      </c>
      <c r="Q23" s="190">
        <f t="shared" si="3"/>
        <v>-0.10101338835931173</v>
      </c>
      <c r="R23" s="188">
        <f>+INDEX('2018'!$1:$1048576,MATCH('Analitika - 2019'!$A23,'2018'!$A:$A,0),MATCH('Analitika - 2019'!$R$6,'2018'!$6:$6,0))</f>
        <v>941421.76</v>
      </c>
      <c r="S23" s="189">
        <f t="shared" si="4"/>
        <v>-35160.010000000009</v>
      </c>
      <c r="T23" s="191">
        <f t="shared" si="5"/>
        <v>-3.7347777047345931E-2</v>
      </c>
    </row>
    <row r="24" spans="1:20">
      <c r="A24" s="175">
        <v>713</v>
      </c>
      <c r="B24" s="486" t="str">
        <f>+VLOOKUP($A24,Master!$D$27:$G$225,4,FALSE)</f>
        <v>Takse</v>
      </c>
      <c r="C24" s="487"/>
      <c r="D24" s="487"/>
      <c r="E24" s="487"/>
      <c r="F24" s="487"/>
      <c r="G24" s="200">
        <f>+SUMPRODUCT(('2019'!$G24:$R24)*('2019'!$G$5:$R$5&lt;=Master!$B$3)*($A24='2019'!$A$10:$A$66))</f>
        <v>5368779.3100000005</v>
      </c>
      <c r="H24" s="200">
        <f>+SUMPRODUCT(('2019'!$G119:$R119)*('2019'!$G$5:$R$5&lt;=Master!$B$3))</f>
        <v>4739297.694275897</v>
      </c>
      <c r="I24" s="201">
        <f t="shared" si="6"/>
        <v>629481.61572410353</v>
      </c>
      <c r="J24" s="202">
        <f t="shared" si="0"/>
        <v>0.13282170826373463</v>
      </c>
      <c r="K24" s="200">
        <f>+SUMPRODUCT(('2018'!$G24:$R24)*('2018'!$G$5:$R$5&lt;=Master!$B$3))</f>
        <v>5449072.0199999996</v>
      </c>
      <c r="L24" s="201">
        <f t="shared" si="7"/>
        <v>-80292.709999999031</v>
      </c>
      <c r="M24" s="203">
        <f t="shared" si="1"/>
        <v>-1.4735116310684915E-2</v>
      </c>
      <c r="N24" s="200">
        <f>+INDEX('2019'!$1:$1048576,MATCH('Analitika - 2019'!$A24,'2019'!$A:$A,0),MATCH('Analitika - 2019'!$N$6,'2019'!$6:$6,0))</f>
        <v>1119638.28</v>
      </c>
      <c r="O24" s="200">
        <f>+INDEX('2019'!$1:$1048576,MATCH(CONCATENATE('Analitika - 2019'!$A24,"p"),'2019'!$A:$A,0),MATCH('Analitika - 2019'!$O$6,'2019'!$101:$101,0))</f>
        <v>1197898.4298929251</v>
      </c>
      <c r="P24" s="201">
        <f t="shared" si="2"/>
        <v>-78260.149892925052</v>
      </c>
      <c r="Q24" s="202">
        <f t="shared" si="3"/>
        <v>-6.5331206669934749E-2</v>
      </c>
      <c r="R24" s="200">
        <f>+INDEX('2018'!$1:$1048576,MATCH('Analitika - 2019'!$A24,'2018'!$A:$A,0),MATCH('Analitika - 2019'!$R$6,'2018'!$6:$6,0))</f>
        <v>1382138.78</v>
      </c>
      <c r="S24" s="201">
        <f t="shared" si="4"/>
        <v>-262500.5</v>
      </c>
      <c r="T24" s="203">
        <f t="shared" si="5"/>
        <v>-0.18992340262676077</v>
      </c>
    </row>
    <row r="25" spans="1:20">
      <c r="A25" s="175">
        <v>714</v>
      </c>
      <c r="B25" s="486" t="str">
        <f>+VLOOKUP($A25,Master!$D$27:$G$225,4,FALSE)</f>
        <v>Naknade</v>
      </c>
      <c r="C25" s="487"/>
      <c r="D25" s="487"/>
      <c r="E25" s="487"/>
      <c r="F25" s="487"/>
      <c r="G25" s="200">
        <f>+SUMPRODUCT(('2019'!$G25:$R25)*('2019'!$G$5:$R$5&lt;=Master!$B$3)*($A25='2019'!$A$10:$A$66))</f>
        <v>11367643.189999999</v>
      </c>
      <c r="H25" s="200">
        <f>+SUMPRODUCT(('2019'!$G120:$R120)*('2019'!$G$5:$R$5&lt;=Master!$B$3))</f>
        <v>10483750.59370804</v>
      </c>
      <c r="I25" s="201">
        <f t="shared" si="6"/>
        <v>883892.59629195929</v>
      </c>
      <c r="J25" s="202">
        <f t="shared" si="0"/>
        <v>8.4310723380088604E-2</v>
      </c>
      <c r="K25" s="200">
        <f>+SUMPRODUCT(('2018'!$G25:$R25)*('2018'!$G$5:$R$5&lt;=Master!$B$3))</f>
        <v>9582101.3899999987</v>
      </c>
      <c r="L25" s="201">
        <f t="shared" si="7"/>
        <v>1785541.8000000007</v>
      </c>
      <c r="M25" s="203">
        <f t="shared" si="1"/>
        <v>0.18634135951258202</v>
      </c>
      <c r="N25" s="200">
        <f>+INDEX('2019'!$1:$1048576,MATCH('Analitika - 2019'!$A25,'2019'!$A:$A,0),MATCH('Analitika - 2019'!$N$6,'2019'!$6:$6,0))</f>
        <v>1792591.2</v>
      </c>
      <c r="O25" s="200">
        <f>+INDEX('2019'!$1:$1048576,MATCH(CONCATENATE('Analitika - 2019'!$A25,"p"),'2019'!$A:$A,0),MATCH('Analitika - 2019'!$O$6,'2019'!$101:$101,0))</f>
        <v>1739522.6622359063</v>
      </c>
      <c r="P25" s="201">
        <f t="shared" si="2"/>
        <v>53068.537764093606</v>
      </c>
      <c r="Q25" s="202">
        <f t="shared" si="3"/>
        <v>3.0507528827409258E-2</v>
      </c>
      <c r="R25" s="200">
        <f>+INDEX('2018'!$1:$1048576,MATCH('Analitika - 2019'!$A25,'2018'!$A:$A,0),MATCH('Analitika - 2019'!$R$6,'2018'!$6:$6,0))</f>
        <v>1530724.52</v>
      </c>
      <c r="S25" s="201">
        <f t="shared" si="4"/>
        <v>261866.67999999993</v>
      </c>
      <c r="T25" s="203">
        <f t="shared" si="5"/>
        <v>0.17107368215412122</v>
      </c>
    </row>
    <row r="26" spans="1:20">
      <c r="A26" s="175">
        <v>715</v>
      </c>
      <c r="B26" s="486" t="str">
        <f>+VLOOKUP($A26,Master!$D$27:$G$225,4,FALSE)</f>
        <v>Ostali prihodi</v>
      </c>
      <c r="C26" s="487"/>
      <c r="D26" s="487"/>
      <c r="E26" s="487"/>
      <c r="F26" s="487"/>
      <c r="G26" s="200">
        <f>+SUMPRODUCT(('2019'!$G26:$R26)*('2019'!$G$5:$R$5&lt;=Master!$B$3)*($A26='2019'!$A$10:$A$66))</f>
        <v>16506066.489999998</v>
      </c>
      <c r="H26" s="200">
        <f>+SUMPRODUCT(('2019'!$G121:$R121)*('2019'!$G$5:$R$5&lt;=Master!$B$3))</f>
        <v>14159569.424463369</v>
      </c>
      <c r="I26" s="201">
        <f t="shared" si="6"/>
        <v>2346497.0655366294</v>
      </c>
      <c r="J26" s="202">
        <f t="shared" si="0"/>
        <v>0.16571810873589188</v>
      </c>
      <c r="K26" s="200">
        <f>+SUMPRODUCT(('2018'!$G26:$R26)*('2018'!$G$5:$R$5&lt;=Master!$B$3))</f>
        <v>13714046.16</v>
      </c>
      <c r="L26" s="201">
        <f t="shared" si="7"/>
        <v>2792020.3299999982</v>
      </c>
      <c r="M26" s="203">
        <f t="shared" si="1"/>
        <v>0.20358837190905277</v>
      </c>
      <c r="N26" s="200">
        <f>+INDEX('2019'!$1:$1048576,MATCH('Analitika - 2019'!$A26,'2019'!$A:$A,0),MATCH('Analitika - 2019'!$N$6,'2019'!$6:$6,0))</f>
        <v>7159438.3899999997</v>
      </c>
      <c r="O26" s="200">
        <f>+INDEX('2019'!$1:$1048576,MATCH(CONCATENATE('Analitika - 2019'!$A26,"p"),'2019'!$A:$A,0),MATCH('Analitika - 2019'!$O$6,'2019'!$101:$101,0))</f>
        <v>2280721.0376326158</v>
      </c>
      <c r="P26" s="201">
        <f t="shared" si="2"/>
        <v>4878717.3523673844</v>
      </c>
      <c r="Q26" s="202">
        <f t="shared" si="3"/>
        <v>2.1391118299287859</v>
      </c>
      <c r="R26" s="200">
        <f>+INDEX('2018'!$1:$1048576,MATCH('Analitika - 2019'!$A26,'2018'!$A:$A,0),MATCH('Analitika - 2019'!$R$6,'2018'!$6:$6,0))</f>
        <v>2149512.65</v>
      </c>
      <c r="S26" s="201">
        <f t="shared" si="4"/>
        <v>5009925.74</v>
      </c>
      <c r="T26" s="203" t="s">
        <v>774</v>
      </c>
    </row>
    <row r="27" spans="1:20">
      <c r="A27" s="175">
        <v>73</v>
      </c>
      <c r="B27" s="486" t="str">
        <f>+VLOOKUP($A27,Master!$D$27:$G$225,4,FALSE)</f>
        <v>Primici od otplate kredita i sredstva prenesena iz prethodne godine</v>
      </c>
      <c r="C27" s="487"/>
      <c r="D27" s="487"/>
      <c r="E27" s="487"/>
      <c r="F27" s="487"/>
      <c r="G27" s="200">
        <f>+SUMPRODUCT(('2019'!$G27:$R27)*('2019'!$G$5:$R$5&lt;=Master!$B$3)*($A27='2019'!$A$10:$A$66))</f>
        <v>1862564.47</v>
      </c>
      <c r="H27" s="200">
        <f>+SUMPRODUCT(('2019'!$G122:$R122)*('2019'!$G$5:$R$5&lt;=Master!$B$3))</f>
        <v>1408715.3044062098</v>
      </c>
      <c r="I27" s="201">
        <f t="shared" si="6"/>
        <v>453849.16559379012</v>
      </c>
      <c r="J27" s="202">
        <f t="shared" si="0"/>
        <v>0.32217238229344924</v>
      </c>
      <c r="K27" s="200">
        <f>+SUMPRODUCT(('2018'!$G27:$R27)*('2018'!$G$5:$R$5&lt;=Master!$B$3))</f>
        <v>1981159.48</v>
      </c>
      <c r="L27" s="201">
        <f t="shared" si="7"/>
        <v>-118595.01000000001</v>
      </c>
      <c r="M27" s="203">
        <f t="shared" si="1"/>
        <v>-5.9861415094154879E-2</v>
      </c>
      <c r="N27" s="200">
        <f>+INDEX('2019'!$1:$1048576,MATCH('Analitika - 2019'!$A27,'2019'!$A:$A,0),MATCH('Analitika - 2019'!$N$6,'2019'!$6:$6,0))</f>
        <v>808656.23</v>
      </c>
      <c r="O27" s="200">
        <f>+INDEX('2019'!$1:$1048576,MATCH(CONCATENATE('Analitika - 2019'!$A27,"p"),'2019'!$A:$A,0),MATCH('Analitika - 2019'!$O$6,'2019'!$101:$101,0))</f>
        <v>775525.38983070524</v>
      </c>
      <c r="P27" s="201">
        <f t="shared" si="2"/>
        <v>33130.840169294737</v>
      </c>
      <c r="Q27" s="202">
        <f t="shared" si="3"/>
        <v>4.2720509997135059E-2</v>
      </c>
      <c r="R27" s="200">
        <f>+INDEX('2018'!$1:$1048576,MATCH('Analitika - 2019'!$A27,'2018'!$A:$A,0),MATCH('Analitika - 2019'!$R$6,'2018'!$6:$6,0))</f>
        <v>1090667.1299999999</v>
      </c>
      <c r="S27" s="201">
        <f t="shared" si="4"/>
        <v>-282010.89999999991</v>
      </c>
      <c r="T27" s="203" t="s">
        <v>774</v>
      </c>
    </row>
    <row r="28" spans="1:20" ht="15.75" thickBot="1">
      <c r="A28" s="175">
        <v>74</v>
      </c>
      <c r="B28" s="488" t="str">
        <f>+VLOOKUP($A28,Master!$D$27:$G$225,4,FALSE)</f>
        <v>Donacije i transferi</v>
      </c>
      <c r="C28" s="489"/>
      <c r="D28" s="489"/>
      <c r="E28" s="489"/>
      <c r="F28" s="489"/>
      <c r="G28" s="200">
        <f>+SUMPRODUCT(('2019'!$G28:$R28)*('2019'!$G$5:$R$5&lt;=Master!$B$3)*($A28='2019'!$A$10:$A$66))</f>
        <v>17405057.77</v>
      </c>
      <c r="H28" s="200">
        <f>+SUMPRODUCT(('2019'!$G123:$R123)*('2019'!$G$5:$R$5&lt;=Master!$B$3))</f>
        <v>24250852.92044377</v>
      </c>
      <c r="I28" s="201">
        <f t="shared" si="6"/>
        <v>-6845795.15044377</v>
      </c>
      <c r="J28" s="202">
        <f t="shared" si="0"/>
        <v>-0.28229090221699704</v>
      </c>
      <c r="K28" s="200">
        <f>+SUMPRODUCT(('2018'!$G28:$R28)*('2018'!$G$5:$R$5&lt;=Master!$B$3))</f>
        <v>13744213.940000001</v>
      </c>
      <c r="L28" s="201">
        <f t="shared" si="7"/>
        <v>3660843.8299999982</v>
      </c>
      <c r="M28" s="203">
        <f t="shared" si="1"/>
        <v>0.26635527109671853</v>
      </c>
      <c r="N28" s="200">
        <f>+INDEX('2019'!$1:$1048576,MATCH('Analitika - 2019'!$A28,'2019'!$A:$A,0),MATCH('Analitika - 2019'!$N$6,'2019'!$6:$6,0))</f>
        <v>1388870.5</v>
      </c>
      <c r="O28" s="200">
        <f>+INDEX('2019'!$1:$1048576,MATCH(CONCATENATE('Analitika - 2019'!$A28,"p"),'2019'!$A:$A,0),MATCH('Analitika - 2019'!$O$6,'2019'!$101:$101,0))</f>
        <v>3335426.2947824779</v>
      </c>
      <c r="P28" s="201">
        <f t="shared" si="2"/>
        <v>-1946555.7947824779</v>
      </c>
      <c r="Q28" s="202">
        <f t="shared" si="3"/>
        <v>-0.58360030255425688</v>
      </c>
      <c r="R28" s="200">
        <f>+INDEX('2018'!$1:$1048576,MATCH('Analitika - 2019'!$A28,'2018'!$A:$A,0),MATCH('Analitika - 2019'!$R$6,'2018'!$6:$6,0))</f>
        <v>1746477.29</v>
      </c>
      <c r="S28" s="201">
        <f t="shared" si="4"/>
        <v>-357606.79000000004</v>
      </c>
      <c r="T28" s="203">
        <f t="shared" si="5"/>
        <v>-0.20475891215281705</v>
      </c>
    </row>
    <row r="29" spans="1:20" ht="15.75" thickBot="1">
      <c r="A29" s="175">
        <v>4</v>
      </c>
      <c r="B29" s="474" t="str">
        <f>+VLOOKUP($A29,Master!$D$27:$G$225,4,FALSE)</f>
        <v>Budžetski izdaci</v>
      </c>
      <c r="C29" s="475"/>
      <c r="D29" s="475"/>
      <c r="E29" s="475"/>
      <c r="F29" s="475"/>
      <c r="G29" s="176">
        <f>+SUMPRODUCT(('2019'!$G29:$R29)*('2019'!$G$5:$R$5&lt;=Master!$B$3)*($A29='2019'!$A$10:$A$66))</f>
        <v>733920536.6400001</v>
      </c>
      <c r="H29" s="176">
        <f>+SUMPRODUCT(('2019'!$G124:$R124)*('2019'!$G$5:$R$5&lt;=Master!$B$3))</f>
        <v>859472395.00749993</v>
      </c>
      <c r="I29" s="177">
        <f t="shared" si="6"/>
        <v>-125551858.36749983</v>
      </c>
      <c r="J29" s="178">
        <f t="shared" si="0"/>
        <v>-0.14608015230832894</v>
      </c>
      <c r="K29" s="176">
        <f>+SUMPRODUCT(('2018'!$G29:$R29)*('2018'!$G$5:$R$5&lt;=Master!$B$3))</f>
        <v>693573007.51999998</v>
      </c>
      <c r="L29" s="177">
        <f t="shared" si="7"/>
        <v>40347529.120000124</v>
      </c>
      <c r="M29" s="179">
        <f t="shared" si="1"/>
        <v>5.8173441991738128E-2</v>
      </c>
      <c r="N29" s="176">
        <f>+INDEX('2019'!$1:$1048576,MATCH('Analitika - 2019'!$A29,'2019'!$A:$A,0),MATCH('Analitika - 2019'!$N$6,'2019'!$6:$6,0))</f>
        <v>136373040.24000001</v>
      </c>
      <c r="O29" s="176">
        <f>+INDEX('2019'!$1:$1048576,MATCH(CONCATENATE('Analitika - 2019'!$A29,"p"),'2019'!$A:$A,0),MATCH('Analitika - 2019'!$O$6,'2019'!$101:$101,0))</f>
        <v>167763443.14750004</v>
      </c>
      <c r="P29" s="177">
        <f t="shared" si="2"/>
        <v>-31390402.907500029</v>
      </c>
      <c r="Q29" s="178">
        <f t="shared" si="3"/>
        <v>-0.1871111031018905</v>
      </c>
      <c r="R29" s="176">
        <f>+INDEX('2018'!$1:$1048576,MATCH('Analitika - 2019'!$A29,'2018'!$A:$A,0),MATCH('Analitika - 2019'!$R$6,'2018'!$6:$6,0))</f>
        <v>141761088.21000001</v>
      </c>
      <c r="S29" s="177">
        <f t="shared" si="4"/>
        <v>-5388047.9699999988</v>
      </c>
      <c r="T29" s="179">
        <f t="shared" si="5"/>
        <v>-3.8007947300872313E-2</v>
      </c>
    </row>
    <row r="30" spans="1:20" ht="15.75" thickBot="1">
      <c r="A30" s="175">
        <v>41</v>
      </c>
      <c r="B30" s="490" t="str">
        <f>+VLOOKUP($A30,Master!$D$27:$G$225,4,FALSE)</f>
        <v>Tekuća budžetska potrošnja</v>
      </c>
      <c r="C30" s="491"/>
      <c r="D30" s="491"/>
      <c r="E30" s="491"/>
      <c r="F30" s="491"/>
      <c r="G30" s="342">
        <f>+SUMPRODUCT(('2019'!$G30:$R30)*('2019'!$G$5:$R$5&lt;=Master!$B$3)*($A30='2019'!$A$10:$A$66))</f>
        <v>664911039.13000011</v>
      </c>
      <c r="H30" s="342">
        <f>+SUMPRODUCT(('2019'!$G125:$R125)*('2019'!$G$5:$R$5&lt;=Master!$B$3))</f>
        <v>725753645.0575</v>
      </c>
      <c r="I30" s="207">
        <f t="shared" si="6"/>
        <v>-60842605.92749989</v>
      </c>
      <c r="J30" s="208">
        <f t="shared" si="0"/>
        <v>-8.3833689767661368E-2</v>
      </c>
      <c r="K30" s="342">
        <f>+SUMPRODUCT(('2018'!$G30:$R30)*('2018'!$G$5:$R$5&lt;=Master!$B$3))</f>
        <v>633639598.25</v>
      </c>
      <c r="L30" s="207">
        <f t="shared" si="7"/>
        <v>31271440.880000114</v>
      </c>
      <c r="M30" s="209">
        <f t="shared" si="1"/>
        <v>4.9352093787014439E-2</v>
      </c>
      <c r="N30" s="342">
        <f>+INDEX('2019'!$1:$1048576,MATCH('Analitika - 2019'!$A30,'2019'!$A:$A,0),MATCH('Analitika - 2019'!$N$6,'2019'!$6:$6,0))</f>
        <v>124908662.68000001</v>
      </c>
      <c r="O30" s="342">
        <f>+INDEX('2019'!$1:$1048576,MATCH(CONCATENATE('Analitika - 2019'!$A30,"p"),'2019'!$A:$A,0),MATCH('Analitika - 2019'!$O$6,'2019'!$101:$101,0))</f>
        <v>141019693.15750003</v>
      </c>
      <c r="P30" s="207">
        <f t="shared" si="2"/>
        <v>-16111030.477500021</v>
      </c>
      <c r="Q30" s="208">
        <f t="shared" si="3"/>
        <v>-0.11424667092067886</v>
      </c>
      <c r="R30" s="342">
        <f>+INDEX('2018'!$1:$1048576,MATCH('Analitika - 2019'!$A30,'2018'!$A:$A,0),MATCH('Analitika - 2019'!$R$6,'2018'!$6:$6,0))</f>
        <v>128717553.92000002</v>
      </c>
      <c r="S30" s="207">
        <f t="shared" si="4"/>
        <v>-3808891.2400000095</v>
      </c>
      <c r="T30" s="209">
        <f t="shared" si="5"/>
        <v>-2.9591078481551181E-2</v>
      </c>
    </row>
    <row r="31" spans="1:20">
      <c r="A31" s="175">
        <v>40</v>
      </c>
      <c r="B31" s="492" t="str">
        <f>+VLOOKUP($A31,Master!$D$27:$G$225,4,FALSE)</f>
        <v>Tekući izdaci</v>
      </c>
      <c r="C31" s="493"/>
      <c r="D31" s="493"/>
      <c r="E31" s="493"/>
      <c r="F31" s="493"/>
      <c r="G31" s="389">
        <f>+SUMPRODUCT(('2019'!$G31:$R31)*('2019'!$G$5:$R$5&lt;=Master!$B$3)*($A31='2019'!$A$10:$A$66))</f>
        <v>331326215.27000004</v>
      </c>
      <c r="H31" s="389">
        <f>+SUMPRODUCT(('2019'!$G126:$R126)*('2019'!$G$5:$R$5&lt;=Master!$B$3))</f>
        <v>385807676.81250006</v>
      </c>
      <c r="I31" s="213">
        <f t="shared" si="6"/>
        <v>-54481461.542500019</v>
      </c>
      <c r="J31" s="214">
        <f t="shared" si="0"/>
        <v>-0.14121404216893707</v>
      </c>
      <c r="K31" s="389">
        <f>+SUMPRODUCT(('2018'!$G31:$R31)*('2018'!$G$5:$R$5&lt;=Master!$B$3))</f>
        <v>326732635.08000004</v>
      </c>
      <c r="L31" s="213">
        <f t="shared" si="7"/>
        <v>4593580.1899999976</v>
      </c>
      <c r="M31" s="215">
        <f t="shared" si="1"/>
        <v>1.4059141012575216E-2</v>
      </c>
      <c r="N31" s="389">
        <f>+INDEX('2019'!$1:$1048576,MATCH('Analitika - 2019'!$A31,'2019'!$A:$A,0),MATCH('Analitika - 2019'!$N$6,'2019'!$6:$6,0))</f>
        <v>58770255.339999996</v>
      </c>
      <c r="O31" s="389">
        <f>+INDEX('2019'!$1:$1048576,MATCH(CONCATENATE('Analitika - 2019'!$A31,"p"),'2019'!$A:$A,0),MATCH('Analitika - 2019'!$O$6,'2019'!$101:$101,0))</f>
        <v>75302081.212500021</v>
      </c>
      <c r="P31" s="213">
        <f t="shared" si="2"/>
        <v>-16531825.872500025</v>
      </c>
      <c r="Q31" s="214">
        <f t="shared" si="3"/>
        <v>-0.21954009246899497</v>
      </c>
      <c r="R31" s="389">
        <f>+INDEX('2018'!$1:$1048576,MATCH('Analitika - 2019'!$A31,'2018'!$A:$A,0),MATCH('Analitika - 2019'!$R$6,'2018'!$6:$6,0))</f>
        <v>66171008.000000007</v>
      </c>
      <c r="S31" s="213">
        <f t="shared" si="4"/>
        <v>-7400752.6600000113</v>
      </c>
      <c r="T31" s="215">
        <f t="shared" si="5"/>
        <v>-0.11184282790432953</v>
      </c>
    </row>
    <row r="32" spans="1:20">
      <c r="A32" s="175">
        <v>411</v>
      </c>
      <c r="B32" s="484" t="str">
        <f>+VLOOKUP($A32,Master!$D$27:$G$225,4,FALSE)</f>
        <v>Bruto zarade i doprinosi na teret poslodavca</v>
      </c>
      <c r="C32" s="485"/>
      <c r="D32" s="485"/>
      <c r="E32" s="485"/>
      <c r="F32" s="485"/>
      <c r="G32" s="188">
        <f>+SUMPRODUCT(('2019'!$G32:$R32)*('2019'!$G$5:$R$5&lt;=Master!$B$3)*($A32='2019'!$A$10:$A$66))</f>
        <v>195478604.47000003</v>
      </c>
      <c r="H32" s="188">
        <f>+SUMPRODUCT(('2019'!$G127:$R127)*('2019'!$G$5:$R$5&lt;=Master!$B$3))</f>
        <v>195814364.16833338</v>
      </c>
      <c r="I32" s="189">
        <f t="shared" si="6"/>
        <v>-335759.6983333528</v>
      </c>
      <c r="J32" s="190">
        <f t="shared" si="0"/>
        <v>-1.7146836993261472E-3</v>
      </c>
      <c r="K32" s="188">
        <f>+SUMPRODUCT(('2018'!$G32:$R32)*('2018'!$G$5:$R$5&lt;=Master!$B$3))</f>
        <v>188789092</v>
      </c>
      <c r="L32" s="189">
        <f t="shared" si="7"/>
        <v>6689512.4700000286</v>
      </c>
      <c r="M32" s="191">
        <f t="shared" si="1"/>
        <v>3.5433786979599535E-2</v>
      </c>
      <c r="N32" s="188">
        <f>+INDEX('2019'!$1:$1048576,MATCH('Analitika - 2019'!$A32,'2019'!$A:$A,0),MATCH('Analitika - 2019'!$N$6,'2019'!$6:$6,0))</f>
        <v>39904782.170000002</v>
      </c>
      <c r="O32" s="188">
        <f>+INDEX('2019'!$1:$1048576,MATCH(CONCATENATE('Analitika - 2019'!$A32,"p"),'2019'!$A:$A,0),MATCH('Analitika - 2019'!$O$6,'2019'!$101:$101,0))</f>
        <v>39107573.981666677</v>
      </c>
      <c r="P32" s="189">
        <f t="shared" si="2"/>
        <v>797208.18833332509</v>
      </c>
      <c r="Q32" s="190">
        <f t="shared" si="3"/>
        <v>2.0385007484919671E-2</v>
      </c>
      <c r="R32" s="188">
        <f>+INDEX('2018'!$1:$1048576,MATCH('Analitika - 2019'!$A32,'2018'!$A:$A,0),MATCH('Analitika - 2019'!$R$6,'2018'!$6:$6,0))</f>
        <v>38447534.82</v>
      </c>
      <c r="S32" s="189">
        <f t="shared" si="4"/>
        <v>1457247.3500000015</v>
      </c>
      <c r="T32" s="191">
        <f t="shared" si="5"/>
        <v>3.7902231100704009E-2</v>
      </c>
    </row>
    <row r="33" spans="1:20">
      <c r="A33" s="175">
        <v>412</v>
      </c>
      <c r="B33" s="484" t="str">
        <f>+VLOOKUP($A33,Master!$D$27:$G$225,4,FALSE)</f>
        <v>Ostala lična primanja</v>
      </c>
      <c r="C33" s="485"/>
      <c r="D33" s="485"/>
      <c r="E33" s="485"/>
      <c r="F33" s="485"/>
      <c r="G33" s="188">
        <f>+SUMPRODUCT(('2019'!$G33:$R33)*('2019'!$G$5:$R$5&lt;=Master!$B$3)*($A33='2019'!$A$10:$A$66))</f>
        <v>4862593.17</v>
      </c>
      <c r="H33" s="188">
        <f>+SUMPRODUCT(('2019'!$G128:$R128)*('2019'!$G$5:$R$5&lt;=Master!$B$3))</f>
        <v>6361270.4941666666</v>
      </c>
      <c r="I33" s="189">
        <f t="shared" si="6"/>
        <v>-1498677.3241666667</v>
      </c>
      <c r="J33" s="190">
        <f t="shared" si="0"/>
        <v>-0.23559402568102794</v>
      </c>
      <c r="K33" s="188">
        <f>+SUMPRODUCT(('2018'!$G33:$R33)*('2018'!$G$5:$R$5&lt;=Master!$B$3))</f>
        <v>3964631.94</v>
      </c>
      <c r="L33" s="189">
        <f t="shared" si="7"/>
        <v>897961.23</v>
      </c>
      <c r="M33" s="191">
        <f t="shared" si="1"/>
        <v>0.22649296166443134</v>
      </c>
      <c r="N33" s="188">
        <f>+INDEX('2019'!$1:$1048576,MATCH('Analitika - 2019'!$A33,'2019'!$A:$A,0),MATCH('Analitika - 2019'!$N$6,'2019'!$6:$6,0))</f>
        <v>1045480.66</v>
      </c>
      <c r="O33" s="188">
        <f>+INDEX('2019'!$1:$1048576,MATCH(CONCATENATE('Analitika - 2019'!$A33,"p"),'2019'!$A:$A,0),MATCH('Analitika - 2019'!$O$6,'2019'!$101:$101,0))</f>
        <v>1248015.2908333333</v>
      </c>
      <c r="P33" s="189">
        <f t="shared" si="2"/>
        <v>-202534.63083333324</v>
      </c>
      <c r="Q33" s="190">
        <f t="shared" si="3"/>
        <v>-0.16228537608549287</v>
      </c>
      <c r="R33" s="188">
        <f>+INDEX('2018'!$1:$1048576,MATCH('Analitika - 2019'!$A33,'2018'!$A:$A,0),MATCH('Analitika - 2019'!$R$6,'2018'!$6:$6,0))</f>
        <v>835475.63</v>
      </c>
      <c r="S33" s="189">
        <f t="shared" si="4"/>
        <v>210005.03000000003</v>
      </c>
      <c r="T33" s="191">
        <f t="shared" si="5"/>
        <v>0.25135985115448545</v>
      </c>
    </row>
    <row r="34" spans="1:20">
      <c r="A34" s="175">
        <v>413</v>
      </c>
      <c r="B34" s="484" t="str">
        <f>+VLOOKUP($A34,Master!$D$27:$G$225,4,FALSE)</f>
        <v>Rashodi za materijal</v>
      </c>
      <c r="C34" s="485"/>
      <c r="D34" s="485"/>
      <c r="E34" s="485"/>
      <c r="F34" s="485"/>
      <c r="G34" s="188">
        <f>+SUMPRODUCT(('2019'!$G34:$R34)*('2019'!$G$5:$R$5&lt;=Master!$B$3)*($A34='2019'!$A$10:$A$66))</f>
        <v>10696701.109999999</v>
      </c>
      <c r="H34" s="188">
        <f>+SUMPRODUCT(('2019'!$G129:$R129)*('2019'!$G$5:$R$5&lt;=Master!$B$3))</f>
        <v>15249783.999166669</v>
      </c>
      <c r="I34" s="189">
        <f t="shared" si="6"/>
        <v>-4553082.8891666699</v>
      </c>
      <c r="J34" s="190">
        <f t="shared" si="0"/>
        <v>-0.29856704130468181</v>
      </c>
      <c r="K34" s="188">
        <f>+SUMPRODUCT(('2018'!$G34:$R34)*('2018'!$G$5:$R$5&lt;=Master!$B$3))</f>
        <v>12437022.23</v>
      </c>
      <c r="L34" s="189">
        <f t="shared" si="7"/>
        <v>-1740321.120000001</v>
      </c>
      <c r="M34" s="191">
        <f t="shared" si="1"/>
        <v>-0.13993069143207615</v>
      </c>
      <c r="N34" s="188">
        <f>+INDEX('2019'!$1:$1048576,MATCH('Analitika - 2019'!$A34,'2019'!$A:$A,0),MATCH('Analitika - 2019'!$N$6,'2019'!$6:$6,0))</f>
        <v>2262319.3199999998</v>
      </c>
      <c r="O34" s="188">
        <f>+INDEX('2019'!$1:$1048576,MATCH(CONCATENATE('Analitika - 2019'!$A34,"p"),'2019'!$A:$A,0),MATCH('Analitika - 2019'!$O$6,'2019'!$101:$101,0))</f>
        <v>3057105.8058333341</v>
      </c>
      <c r="P34" s="189">
        <f t="shared" si="2"/>
        <v>-794786.48583333427</v>
      </c>
      <c r="Q34" s="190">
        <f t="shared" si="3"/>
        <v>-0.25998003874016529</v>
      </c>
      <c r="R34" s="188">
        <f>+INDEX('2018'!$1:$1048576,MATCH('Analitika - 2019'!$A34,'2018'!$A:$A,0),MATCH('Analitika - 2019'!$R$6,'2018'!$6:$6,0))</f>
        <v>2819164.34</v>
      </c>
      <c r="S34" s="189">
        <f t="shared" si="4"/>
        <v>-556845.02</v>
      </c>
      <c r="T34" s="191">
        <f t="shared" si="5"/>
        <v>-0.19752130519641864</v>
      </c>
    </row>
    <row r="35" spans="1:20">
      <c r="A35" s="175">
        <v>414</v>
      </c>
      <c r="B35" s="484" t="str">
        <f>+VLOOKUP($A35,Master!$D$27:$G$225,4,FALSE)</f>
        <v>Rashodi za usluge</v>
      </c>
      <c r="C35" s="485"/>
      <c r="D35" s="485"/>
      <c r="E35" s="485"/>
      <c r="F35" s="485"/>
      <c r="G35" s="188">
        <f>+SUMPRODUCT(('2019'!$G35:$R35)*('2019'!$G$5:$R$5&lt;=Master!$B$3)*($A35='2019'!$A$10:$A$66))</f>
        <v>21721423.859999999</v>
      </c>
      <c r="H35" s="188">
        <f>+SUMPRODUCT(('2019'!$G130:$R130)*('2019'!$G$5:$R$5&lt;=Master!$B$3))</f>
        <v>27498860.267500002</v>
      </c>
      <c r="I35" s="189">
        <f t="shared" si="6"/>
        <v>-5777436.4075000025</v>
      </c>
      <c r="J35" s="190">
        <f t="shared" si="0"/>
        <v>-0.21009730408093186</v>
      </c>
      <c r="K35" s="188">
        <f>+SUMPRODUCT(('2018'!$G35:$R35)*('2018'!$G$5:$R$5&lt;=Master!$B$3))</f>
        <v>18545220.25</v>
      </c>
      <c r="L35" s="189">
        <f t="shared" si="7"/>
        <v>3176203.6099999994</v>
      </c>
      <c r="M35" s="191">
        <f t="shared" si="1"/>
        <v>0.17126804465964751</v>
      </c>
      <c r="N35" s="188">
        <f>+INDEX('2019'!$1:$1048576,MATCH('Analitika - 2019'!$A35,'2019'!$A:$A,0),MATCH('Analitika - 2019'!$N$6,'2019'!$6:$6,0))</f>
        <v>5518669.6799999997</v>
      </c>
      <c r="O35" s="188">
        <f>+INDEX('2019'!$1:$1048576,MATCH(CONCATENATE('Analitika - 2019'!$A35,"p"),'2019'!$A:$A,0),MATCH('Analitika - 2019'!$O$6,'2019'!$101:$101,0))</f>
        <v>5141875.5275000008</v>
      </c>
      <c r="P35" s="189">
        <f t="shared" si="2"/>
        <v>376794.15249999892</v>
      </c>
      <c r="Q35" s="190">
        <f t="shared" si="3"/>
        <v>7.3279516488645502E-2</v>
      </c>
      <c r="R35" s="188">
        <f>+INDEX('2018'!$1:$1048576,MATCH('Analitika - 2019'!$A35,'2018'!$A:$A,0),MATCH('Analitika - 2019'!$R$6,'2018'!$6:$6,0))</f>
        <v>4902792.45</v>
      </c>
      <c r="S35" s="189">
        <f t="shared" si="4"/>
        <v>615877.22999999952</v>
      </c>
      <c r="T35" s="191">
        <f t="shared" si="5"/>
        <v>0.12561764265587039</v>
      </c>
    </row>
    <row r="36" spans="1:20">
      <c r="A36" s="175">
        <v>415</v>
      </c>
      <c r="B36" s="484" t="str">
        <f>+VLOOKUP($A36,Master!$D$27:$G$225,4,FALSE)</f>
        <v>Rashodi za tekuće održavanje</v>
      </c>
      <c r="C36" s="485"/>
      <c r="D36" s="485"/>
      <c r="E36" s="485"/>
      <c r="F36" s="485"/>
      <c r="G36" s="188">
        <f>+SUMPRODUCT(('2019'!$G36:$R36)*('2019'!$G$5:$R$5&lt;=Master!$B$3)*($A36='2019'!$A$10:$A$66))</f>
        <v>6518674.3999999994</v>
      </c>
      <c r="H36" s="188">
        <f>+SUMPRODUCT(('2019'!$G131:$R131)*('2019'!$G$5:$R$5&lt;=Master!$B$3))</f>
        <v>9631037.9683333337</v>
      </c>
      <c r="I36" s="189">
        <f t="shared" si="6"/>
        <v>-3112363.5683333343</v>
      </c>
      <c r="J36" s="190">
        <f t="shared" si="0"/>
        <v>-0.3231597236524999</v>
      </c>
      <c r="K36" s="188">
        <f>+SUMPRODUCT(('2018'!$G36:$R36)*('2018'!$G$5:$R$5&lt;=Master!$B$3))</f>
        <v>6669766.5699999994</v>
      </c>
      <c r="L36" s="189">
        <f t="shared" si="7"/>
        <v>-151092.16999999993</v>
      </c>
      <c r="M36" s="191">
        <f t="shared" si="1"/>
        <v>-2.2653292047670526E-2</v>
      </c>
      <c r="N36" s="188">
        <f>+INDEX('2019'!$1:$1048576,MATCH('Analitika - 2019'!$A36,'2019'!$A:$A,0),MATCH('Analitika - 2019'!$N$6,'2019'!$6:$6,0))</f>
        <v>1719004.83</v>
      </c>
      <c r="O36" s="188">
        <f>+INDEX('2019'!$1:$1048576,MATCH(CONCATENATE('Analitika - 2019'!$A36,"p"),'2019'!$A:$A,0),MATCH('Analitika - 2019'!$O$6,'2019'!$101:$101,0))</f>
        <v>1927678.7016666669</v>
      </c>
      <c r="P36" s="189">
        <f t="shared" si="2"/>
        <v>-208673.87166666682</v>
      </c>
      <c r="Q36" s="190">
        <f t="shared" si="3"/>
        <v>-0.10825137585752642</v>
      </c>
      <c r="R36" s="188">
        <f>+INDEX('2018'!$1:$1048576,MATCH('Analitika - 2019'!$A36,'2018'!$A:$A,0),MATCH('Analitika - 2019'!$R$6,'2018'!$6:$6,0))</f>
        <v>1674065.37</v>
      </c>
      <c r="S36" s="189">
        <f t="shared" si="4"/>
        <v>44939.459999999963</v>
      </c>
      <c r="T36" s="191">
        <f t="shared" si="5"/>
        <v>2.6844507272735685E-2</v>
      </c>
    </row>
    <row r="37" spans="1:20">
      <c r="A37" s="175">
        <v>416</v>
      </c>
      <c r="B37" s="484" t="str">
        <f>+VLOOKUP($A37,Master!$D$27:$G$225,4,FALSE)</f>
        <v>Kamate</v>
      </c>
      <c r="C37" s="485"/>
      <c r="D37" s="485"/>
      <c r="E37" s="485"/>
      <c r="F37" s="485"/>
      <c r="G37" s="188">
        <f>+SUMPRODUCT(('2019'!$G37:$R37)*('2019'!$G$5:$R$5&lt;=Master!$B$3)*($A37='2019'!$A$10:$A$66))</f>
        <v>55358741.329999998</v>
      </c>
      <c r="H37" s="188">
        <f>+SUMPRODUCT(('2019'!$G132:$R132)*('2019'!$G$5:$R$5&lt;=Master!$B$3))</f>
        <v>69614512.430000007</v>
      </c>
      <c r="I37" s="189">
        <f t="shared" si="6"/>
        <v>-14255771.100000009</v>
      </c>
      <c r="J37" s="190">
        <f t="shared" si="0"/>
        <v>-0.20478159800852902</v>
      </c>
      <c r="K37" s="188">
        <f>+SUMPRODUCT(('2018'!$G37:$R37)*('2018'!$G$5:$R$5&lt;=Master!$B$3))</f>
        <v>63084033.100000001</v>
      </c>
      <c r="L37" s="189">
        <f t="shared" si="7"/>
        <v>-7725291.7700000033</v>
      </c>
      <c r="M37" s="191">
        <f t="shared" si="1"/>
        <v>-0.12246033410314727</v>
      </c>
      <c r="N37" s="188">
        <f>+INDEX('2019'!$1:$1048576,MATCH('Analitika - 2019'!$A37,'2019'!$A:$A,0),MATCH('Analitika - 2019'!$N$6,'2019'!$6:$6,0))</f>
        <v>1152255.24</v>
      </c>
      <c r="O37" s="188">
        <f>+INDEX('2019'!$1:$1048576,MATCH(CONCATENATE('Analitika - 2019'!$A37,"p"),'2019'!$A:$A,0),MATCH('Analitika - 2019'!$O$6,'2019'!$101:$101,0))</f>
        <v>14045836.270000001</v>
      </c>
      <c r="P37" s="189">
        <f t="shared" si="2"/>
        <v>-12893581.030000001</v>
      </c>
      <c r="Q37" s="190">
        <f t="shared" si="3"/>
        <v>-0.91796463963765118</v>
      </c>
      <c r="R37" s="188">
        <f>+INDEX('2018'!$1:$1048576,MATCH('Analitika - 2019'!$A37,'2018'!$A:$A,0),MATCH('Analitika - 2019'!$R$6,'2018'!$6:$6,0))</f>
        <v>10064809.060000001</v>
      </c>
      <c r="S37" s="189">
        <f t="shared" si="4"/>
        <v>-8912553.8200000003</v>
      </c>
      <c r="T37" s="191">
        <f t="shared" si="5"/>
        <v>-0.88551643323475027</v>
      </c>
    </row>
    <row r="38" spans="1:20">
      <c r="A38" s="175">
        <v>417</v>
      </c>
      <c r="B38" s="484" t="str">
        <f>+VLOOKUP($A38,Master!$D$27:$G$225,4,FALSE)</f>
        <v>Renta</v>
      </c>
      <c r="C38" s="485"/>
      <c r="D38" s="485"/>
      <c r="E38" s="485"/>
      <c r="F38" s="485"/>
      <c r="G38" s="188">
        <f>+SUMPRODUCT(('2019'!$G38:$R38)*('2019'!$G$5:$R$5&lt;=Master!$B$3)*($A38='2019'!$A$10:$A$66))</f>
        <v>3915038.14</v>
      </c>
      <c r="H38" s="188">
        <f>+SUMPRODUCT(('2019'!$G133:$R133)*('2019'!$G$5:$R$5&lt;=Master!$B$3))</f>
        <v>3976609.0300000003</v>
      </c>
      <c r="I38" s="189">
        <f t="shared" si="6"/>
        <v>-61570.89000000013</v>
      </c>
      <c r="J38" s="190">
        <f t="shared" si="0"/>
        <v>-1.5483264644701622E-2</v>
      </c>
      <c r="K38" s="188">
        <f>+SUMPRODUCT(('2018'!$G38:$R38)*('2018'!$G$5:$R$5&lt;=Master!$B$3))</f>
        <v>3405080.6500000004</v>
      </c>
      <c r="L38" s="189">
        <f t="shared" si="7"/>
        <v>509957.48999999976</v>
      </c>
      <c r="M38" s="191">
        <f t="shared" si="1"/>
        <v>0.1497637038347388</v>
      </c>
      <c r="N38" s="188">
        <f>+INDEX('2019'!$1:$1048576,MATCH('Analitika - 2019'!$A38,'2019'!$A:$A,0),MATCH('Analitika - 2019'!$N$6,'2019'!$6:$6,0))</f>
        <v>989005.29</v>
      </c>
      <c r="O38" s="188">
        <f>+INDEX('2019'!$1:$1048576,MATCH(CONCATENATE('Analitika - 2019'!$A38,"p"),'2019'!$A:$A,0),MATCH('Analitika - 2019'!$O$6,'2019'!$101:$101,0))</f>
        <v>793070.39</v>
      </c>
      <c r="P38" s="189">
        <f t="shared" si="2"/>
        <v>195934.90000000002</v>
      </c>
      <c r="Q38" s="190">
        <f t="shared" si="3"/>
        <v>0.24705865011553385</v>
      </c>
      <c r="R38" s="188">
        <f>+INDEX('2018'!$1:$1048576,MATCH('Analitika - 2019'!$A38,'2018'!$A:$A,0),MATCH('Analitika - 2019'!$R$6,'2018'!$6:$6,0))</f>
        <v>939648.68</v>
      </c>
      <c r="S38" s="189">
        <f t="shared" si="4"/>
        <v>49356.609999999986</v>
      </c>
      <c r="T38" s="191">
        <f t="shared" si="5"/>
        <v>5.2526663475970681E-2</v>
      </c>
    </row>
    <row r="39" spans="1:20">
      <c r="A39" s="175">
        <v>418</v>
      </c>
      <c r="B39" s="484" t="str">
        <f>+VLOOKUP($A39,Master!$D$27:$G$225,4,FALSE)</f>
        <v>Subvencije</v>
      </c>
      <c r="C39" s="485"/>
      <c r="D39" s="485"/>
      <c r="E39" s="485"/>
      <c r="F39" s="485"/>
      <c r="G39" s="188">
        <f>+SUMPRODUCT(('2019'!$G39:$R39)*('2019'!$G$5:$R$5&lt;=Master!$B$3)*($A39='2019'!$A$10:$A$66))</f>
        <v>8967486</v>
      </c>
      <c r="H39" s="188">
        <f>+SUMPRODUCT(('2019'!$G134:$R134)*('2019'!$G$5:$R$5&lt;=Master!$B$3))</f>
        <v>13938256.943333331</v>
      </c>
      <c r="I39" s="189">
        <f t="shared" si="6"/>
        <v>-4970770.9433333315</v>
      </c>
      <c r="J39" s="190">
        <f t="shared" si="0"/>
        <v>-0.35662787416979358</v>
      </c>
      <c r="K39" s="188">
        <f>+SUMPRODUCT(('2018'!$G39:$R39)*('2018'!$G$5:$R$5&lt;=Master!$B$3))</f>
        <v>8619571.129999999</v>
      </c>
      <c r="L39" s="189">
        <f t="shared" si="7"/>
        <v>347914.87000000104</v>
      </c>
      <c r="M39" s="191">
        <f t="shared" si="1"/>
        <v>4.0363362022630023E-2</v>
      </c>
      <c r="N39" s="188">
        <f>+INDEX('2019'!$1:$1048576,MATCH('Analitika - 2019'!$A39,'2019'!$A:$A,0),MATCH('Analitika - 2019'!$N$6,'2019'!$6:$6,0))</f>
        <v>2194236.0299999998</v>
      </c>
      <c r="O39" s="188">
        <f>+INDEX('2019'!$1:$1048576,MATCH(CONCATENATE('Analitika - 2019'!$A39,"p"),'2019'!$A:$A,0),MATCH('Analitika - 2019'!$O$6,'2019'!$101:$101,0))</f>
        <v>2190037.4966666666</v>
      </c>
      <c r="P39" s="189">
        <f t="shared" si="2"/>
        <v>4198.5333333332092</v>
      </c>
      <c r="Q39" s="190">
        <f t="shared" si="3"/>
        <v>1.9171056841371659E-3</v>
      </c>
      <c r="R39" s="188">
        <f>+INDEX('2018'!$1:$1048576,MATCH('Analitika - 2019'!$A39,'2018'!$A:$A,0),MATCH('Analitika - 2019'!$R$6,'2018'!$6:$6,0))</f>
        <v>1488510.36</v>
      </c>
      <c r="S39" s="189">
        <f t="shared" si="4"/>
        <v>705725.66999999969</v>
      </c>
      <c r="T39" s="191">
        <f t="shared" si="5"/>
        <v>0.47411539010047576</v>
      </c>
    </row>
    <row r="40" spans="1:20">
      <c r="A40" s="175">
        <v>419</v>
      </c>
      <c r="B40" s="484" t="str">
        <f>+VLOOKUP($A40,Master!$D$27:$G$225,4,FALSE)</f>
        <v>Ostali izdaci</v>
      </c>
      <c r="C40" s="485"/>
      <c r="D40" s="485"/>
      <c r="E40" s="485"/>
      <c r="F40" s="485"/>
      <c r="G40" s="188">
        <f>+SUMPRODUCT(('2019'!$G40:$R40)*('2019'!$G$5:$R$5&lt;=Master!$B$3)*($A40='2019'!$A$10:$A$66))</f>
        <v>13914628.600000001</v>
      </c>
      <c r="H40" s="188">
        <f>+SUMPRODUCT(('2019'!$G135:$R135)*('2019'!$G$5:$R$5&lt;=Master!$B$3))</f>
        <v>18843444.964166671</v>
      </c>
      <c r="I40" s="189">
        <f t="shared" si="6"/>
        <v>-4928816.3641666695</v>
      </c>
      <c r="J40" s="190">
        <f t="shared" si="0"/>
        <v>-0.26156662826460197</v>
      </c>
      <c r="K40" s="188">
        <f>+SUMPRODUCT(('2018'!$G40:$R40)*('2018'!$G$5:$R$5&lt;=Master!$B$3))</f>
        <v>11659693.219999999</v>
      </c>
      <c r="L40" s="189">
        <f t="shared" si="7"/>
        <v>2254935.3800000027</v>
      </c>
      <c r="M40" s="191">
        <f t="shared" si="1"/>
        <v>0.19339577272342701</v>
      </c>
      <c r="N40" s="188">
        <f>+INDEX('2019'!$1:$1048576,MATCH('Analitika - 2019'!$A40,'2019'!$A:$A,0),MATCH('Analitika - 2019'!$N$6,'2019'!$6:$6,0))</f>
        <v>2122463.62</v>
      </c>
      <c r="O40" s="188">
        <f>+INDEX('2019'!$1:$1048576,MATCH(CONCATENATE('Analitika - 2019'!$A40,"p"),'2019'!$A:$A,0),MATCH('Analitika - 2019'!$O$6,'2019'!$101:$101,0))</f>
        <v>3070265.2508333339</v>
      </c>
      <c r="P40" s="189">
        <f t="shared" si="2"/>
        <v>-947801.63083333382</v>
      </c>
      <c r="Q40" s="190">
        <f t="shared" si="3"/>
        <v>-0.30870350064251961</v>
      </c>
      <c r="R40" s="188">
        <f>+INDEX('2018'!$1:$1048576,MATCH('Analitika - 2019'!$A40,'2018'!$A:$A,0),MATCH('Analitika - 2019'!$R$6,'2018'!$6:$6,0))</f>
        <v>2637225.6800000002</v>
      </c>
      <c r="S40" s="189">
        <f t="shared" si="4"/>
        <v>-514762.06000000006</v>
      </c>
      <c r="T40" s="191">
        <f t="shared" si="5"/>
        <v>-0.19519075060728208</v>
      </c>
    </row>
    <row r="41" spans="1:20">
      <c r="A41" s="175">
        <v>440</v>
      </c>
      <c r="B41" s="484" t="str">
        <f>+VLOOKUP($A41,Master!$D$27:$G$225,4,FALSE)</f>
        <v>Kapitalni izdaci u tekućem budžetu</v>
      </c>
      <c r="C41" s="485"/>
      <c r="D41" s="485"/>
      <c r="E41" s="485"/>
      <c r="F41" s="485"/>
      <c r="G41" s="188">
        <f>+SUMPRODUCT(('2019'!$G41:$R41)*('2019'!$G$5:$R$5&lt;=Master!$B$3)*($A41='2019'!$A$10:$A$66))</f>
        <v>9892324.1900000013</v>
      </c>
      <c r="H41" s="188">
        <f>+SUMPRODUCT(('2019'!$G136:$R136)*('2019'!$G$5:$R$5&lt;=Master!$B$3))</f>
        <v>24879536.547500007</v>
      </c>
      <c r="I41" s="189">
        <f t="shared" si="6"/>
        <v>-14987212.357500006</v>
      </c>
      <c r="J41" s="190">
        <f t="shared" si="0"/>
        <v>-0.60239113895415297</v>
      </c>
      <c r="K41" s="188">
        <f>+SUMPRODUCT(('2018'!$G41:$R41)*('2018'!$G$5:$R$5&lt;=Master!$B$3))</f>
        <v>9558523.9900000002</v>
      </c>
      <c r="L41" s="189">
        <f t="shared" si="7"/>
        <v>333800.20000000112</v>
      </c>
      <c r="M41" s="191">
        <f t="shared" si="1"/>
        <v>3.4921730630086634E-2</v>
      </c>
      <c r="N41" s="188">
        <f>+INDEX('2019'!$1:$1048576,MATCH('Analitika - 2019'!$A41,'2019'!$A:$A,0),MATCH('Analitika - 2019'!$N$6,'2019'!$6:$6,0))</f>
        <v>1862038.5</v>
      </c>
      <c r="O41" s="188">
        <f>+INDEX('2019'!$1:$1048576,MATCH(CONCATENATE('Analitika - 2019'!$A41,"p"),'2019'!$A:$A,0),MATCH('Analitika - 2019'!$O$6,'2019'!$101:$101,0))</f>
        <v>4720622.4975000015</v>
      </c>
      <c r="P41" s="189">
        <f t="shared" si="2"/>
        <v>-2858583.9975000015</v>
      </c>
      <c r="Q41" s="190">
        <f t="shared" si="3"/>
        <v>-0.60555233955137933</v>
      </c>
      <c r="R41" s="188">
        <f>+INDEX('2018'!$1:$1048576,MATCH('Analitika - 2019'!$A41,'2018'!$A:$A,0),MATCH('Analitika - 2019'!$R$6,'2018'!$6:$6,0))</f>
        <v>2361781.61</v>
      </c>
      <c r="S41" s="189">
        <f t="shared" si="4"/>
        <v>-499743.10999999987</v>
      </c>
      <c r="T41" s="191">
        <f t="shared" si="5"/>
        <v>-0.21159581727795729</v>
      </c>
    </row>
    <row r="42" spans="1:20">
      <c r="A42" s="175">
        <v>42</v>
      </c>
      <c r="B42" s="480" t="str">
        <f>+VLOOKUP($A42,Master!$D$27:$G$225,4,FALSE)</f>
        <v>Transferi za socijalnu zaštitu</v>
      </c>
      <c r="C42" s="481"/>
      <c r="D42" s="481"/>
      <c r="E42" s="481"/>
      <c r="F42" s="481"/>
      <c r="G42" s="200">
        <f>+SUMPRODUCT(('2019'!$G42:$R42)*('2019'!$G$5:$R$5&lt;=Master!$B$3)*($A42='2019'!$A$10:$A$66))</f>
        <v>225798845.63000003</v>
      </c>
      <c r="H42" s="200">
        <f>+SUMPRODUCT(('2019'!$G137:$R137)*('2019'!$G$5:$R$5&lt;=Master!$B$3))</f>
        <v>231029449.14999998</v>
      </c>
      <c r="I42" s="219">
        <f t="shared" si="6"/>
        <v>-5230603.5199999511</v>
      </c>
      <c r="J42" s="220">
        <f t="shared" si="0"/>
        <v>-2.2640418956303199E-2</v>
      </c>
      <c r="K42" s="200">
        <f>+SUMPRODUCT(('2018'!$G42:$R42)*('2018'!$G$5:$R$5&lt;=Master!$B$3))</f>
        <v>219652293.66000003</v>
      </c>
      <c r="L42" s="219">
        <f t="shared" si="7"/>
        <v>6146551.9699999988</v>
      </c>
      <c r="M42" s="221">
        <f t="shared" si="1"/>
        <v>2.7983099413995793E-2</v>
      </c>
      <c r="N42" s="200">
        <f>+INDEX('2019'!$1:$1048576,MATCH('Analitika - 2019'!$A42,'2019'!$A:$A,0),MATCH('Analitika - 2019'!$N$6,'2019'!$6:$6,0))</f>
        <v>45755730.580000006</v>
      </c>
      <c r="O42" s="200">
        <f>+INDEX('2019'!$1:$1048576,MATCH(CONCATENATE('Analitika - 2019'!$A42,"p"),'2019'!$A:$A,0),MATCH('Analitika - 2019'!$O$6,'2019'!$101:$101,0))</f>
        <v>46206149.810000002</v>
      </c>
      <c r="P42" s="219">
        <f t="shared" si="2"/>
        <v>-450419.22999999672</v>
      </c>
      <c r="Q42" s="220">
        <f t="shared" si="3"/>
        <v>-9.7480363945519066E-3</v>
      </c>
      <c r="R42" s="200">
        <f>+INDEX('2018'!$1:$1048576,MATCH('Analitika - 2019'!$A42,'2018'!$A:$A,0),MATCH('Analitika - 2019'!$R$6,'2018'!$6:$6,0))</f>
        <v>43668965.609999999</v>
      </c>
      <c r="S42" s="219">
        <f t="shared" si="4"/>
        <v>2086764.9700000063</v>
      </c>
      <c r="T42" s="221">
        <f t="shared" si="5"/>
        <v>4.7785994947454169E-2</v>
      </c>
    </row>
    <row r="43" spans="1:20">
      <c r="A43" s="175">
        <v>421</v>
      </c>
      <c r="B43" s="484" t="str">
        <f>+VLOOKUP($A43,Master!$D$27:$G$225,4,FALSE)</f>
        <v>Prava iz oblasti socijalne zaštite</v>
      </c>
      <c r="C43" s="485"/>
      <c r="D43" s="485"/>
      <c r="E43" s="485"/>
      <c r="F43" s="485"/>
      <c r="G43" s="188">
        <f>+SUMPRODUCT(('2019'!$G43:$R43)*('2019'!$G$5:$R$5&lt;=Master!$B$3)*($A43='2019'!$A$10:$A$66))</f>
        <v>32499805.229999997</v>
      </c>
      <c r="H43" s="188">
        <f>+SUMPRODUCT(('2019'!$G138:$R138)*('2019'!$G$5:$R$5&lt;=Master!$B$3))</f>
        <v>33745075.000000015</v>
      </c>
      <c r="I43" s="189">
        <f t="shared" si="6"/>
        <v>-1245269.7700000182</v>
      </c>
      <c r="J43" s="190">
        <f t="shared" si="0"/>
        <v>-3.6902267071565742E-2</v>
      </c>
      <c r="K43" s="188">
        <f>+SUMPRODUCT(('2018'!$G43:$R43)*('2018'!$G$5:$R$5&lt;=Master!$B$3))</f>
        <v>31827889.939999998</v>
      </c>
      <c r="L43" s="189">
        <f t="shared" si="7"/>
        <v>671915.28999999911</v>
      </c>
      <c r="M43" s="191">
        <f t="shared" si="1"/>
        <v>2.1110896489420217E-2</v>
      </c>
      <c r="N43" s="188">
        <f>+INDEX('2019'!$1:$1048576,MATCH('Analitika - 2019'!$A43,'2019'!$A:$A,0),MATCH('Analitika - 2019'!$N$6,'2019'!$6:$6,0))</f>
        <v>6410465.4699999997</v>
      </c>
      <c r="O43" s="188">
        <f>+INDEX('2019'!$1:$1048576,MATCH(CONCATENATE('Analitika - 2019'!$A43,"p"),'2019'!$A:$A,0),MATCH('Analitika - 2019'!$O$6,'2019'!$101:$101,0))</f>
        <v>6749275.0000000028</v>
      </c>
      <c r="P43" s="189">
        <f t="shared" si="2"/>
        <v>-338809.53000000305</v>
      </c>
      <c r="Q43" s="190">
        <f t="shared" si="3"/>
        <v>-5.0199396231447535E-2</v>
      </c>
      <c r="R43" s="188">
        <f>+INDEX('2018'!$1:$1048576,MATCH('Analitika - 2019'!$A43,'2018'!$A:$A,0),MATCH('Analitika - 2019'!$R$6,'2018'!$6:$6,0))</f>
        <v>6153473.4699999997</v>
      </c>
      <c r="S43" s="189">
        <f t="shared" si="4"/>
        <v>256992</v>
      </c>
      <c r="T43" s="191">
        <f t="shared" si="5"/>
        <v>4.1763729258428084E-2</v>
      </c>
    </row>
    <row r="44" spans="1:20">
      <c r="A44" s="175">
        <v>422</v>
      </c>
      <c r="B44" s="484" t="str">
        <f>+VLOOKUP($A44,Master!$D$27:$G$225,4,FALSE)</f>
        <v>Sredstva za tehnološke viškove</v>
      </c>
      <c r="C44" s="485"/>
      <c r="D44" s="485"/>
      <c r="E44" s="485"/>
      <c r="F44" s="485"/>
      <c r="G44" s="188">
        <f>+SUMPRODUCT(('2019'!$G44:$R44)*('2019'!$G$5:$R$5&lt;=Master!$B$3)*($A44='2019'!$A$10:$A$66))</f>
        <v>4789797.46</v>
      </c>
      <c r="H44" s="188">
        <f>+SUMPRODUCT(('2019'!$G139:$R139)*('2019'!$G$5:$R$5&lt;=Master!$B$3))</f>
        <v>6180159.2800000012</v>
      </c>
      <c r="I44" s="189">
        <f t="shared" si="6"/>
        <v>-1390361.8200000012</v>
      </c>
      <c r="J44" s="190">
        <f t="shared" si="0"/>
        <v>-0.22497184247328994</v>
      </c>
      <c r="K44" s="188">
        <f>+SUMPRODUCT(('2018'!$G44:$R44)*('2018'!$G$5:$R$5&lt;=Master!$B$3))</f>
        <v>4540085.5199999996</v>
      </c>
      <c r="L44" s="189">
        <f t="shared" si="7"/>
        <v>249711.94000000041</v>
      </c>
      <c r="M44" s="191">
        <f t="shared" si="1"/>
        <v>5.5001593890680711E-2</v>
      </c>
      <c r="N44" s="188">
        <f>+INDEX('2019'!$1:$1048576,MATCH('Analitika - 2019'!$A44,'2019'!$A:$A,0),MATCH('Analitika - 2019'!$N$6,'2019'!$6:$6,0))</f>
        <v>1341095.6299999999</v>
      </c>
      <c r="O44" s="188">
        <f>+INDEX('2019'!$1:$1048576,MATCH(CONCATENATE('Analitika - 2019'!$A44,"p"),'2019'!$A:$A,0),MATCH('Analitika - 2019'!$O$6,'2019'!$101:$101,0))</f>
        <v>1236031.8699999999</v>
      </c>
      <c r="P44" s="189">
        <f t="shared" si="2"/>
        <v>105063.76000000001</v>
      </c>
      <c r="Q44" s="190">
        <f t="shared" si="3"/>
        <v>8.5000850342151768E-2</v>
      </c>
      <c r="R44" s="188">
        <f>+INDEX('2018'!$1:$1048576,MATCH('Analitika - 2019'!$A44,'2018'!$A:$A,0),MATCH('Analitika - 2019'!$R$6,'2018'!$6:$6,0))</f>
        <v>1061504.47</v>
      </c>
      <c r="S44" s="189">
        <f t="shared" si="4"/>
        <v>279591.15999999992</v>
      </c>
      <c r="T44" s="191">
        <f t="shared" si="5"/>
        <v>0.26339141087177897</v>
      </c>
    </row>
    <row r="45" spans="1:20">
      <c r="A45" s="175">
        <v>423</v>
      </c>
      <c r="B45" s="484" t="str">
        <f>+VLOOKUP($A45,Master!$D$27:$G$225,4,FALSE)</f>
        <v>Prava iz oblasti penzijskog i invalidskog osiguranja</v>
      </c>
      <c r="C45" s="485"/>
      <c r="D45" s="485"/>
      <c r="E45" s="485"/>
      <c r="F45" s="485"/>
      <c r="G45" s="188">
        <f>+SUMPRODUCT(('2019'!$G45:$R45)*('2019'!$G$5:$R$5&lt;=Master!$B$3)*($A45='2019'!$A$10:$A$66))</f>
        <v>175706812.54000002</v>
      </c>
      <c r="H45" s="188">
        <f>+SUMPRODUCT(('2019'!$G140:$R140)*('2019'!$G$5:$R$5&lt;=Master!$B$3))</f>
        <v>178760422.73999998</v>
      </c>
      <c r="I45" s="189">
        <f t="shared" si="6"/>
        <v>-3053610.1999999583</v>
      </c>
      <c r="J45" s="190">
        <f t="shared" si="0"/>
        <v>-1.7082137943035147E-2</v>
      </c>
      <c r="K45" s="188">
        <f>+SUMPRODUCT(('2018'!$G45:$R45)*('2018'!$G$5:$R$5&lt;=Master!$B$3))</f>
        <v>172958523.13999999</v>
      </c>
      <c r="L45" s="189">
        <f t="shared" si="7"/>
        <v>2748289.4000000358</v>
      </c>
      <c r="M45" s="191">
        <f t="shared" si="1"/>
        <v>1.588987550370935E-2</v>
      </c>
      <c r="N45" s="188">
        <f>+INDEX('2019'!$1:$1048576,MATCH('Analitika - 2019'!$A45,'2019'!$A:$A,0),MATCH('Analitika - 2019'!$N$6,'2019'!$6:$6,0))</f>
        <v>35184087.420000002</v>
      </c>
      <c r="O45" s="188">
        <f>+INDEX('2019'!$1:$1048576,MATCH(CONCATENATE('Analitika - 2019'!$A45,"p"),'2019'!$A:$A,0),MATCH('Analitika - 2019'!$O$6,'2019'!$101:$101,0))</f>
        <v>35752084.530000001</v>
      </c>
      <c r="P45" s="189">
        <f t="shared" si="2"/>
        <v>-567997.1099999994</v>
      </c>
      <c r="Q45" s="190">
        <f t="shared" si="3"/>
        <v>-1.5887104695206933E-2</v>
      </c>
      <c r="R45" s="188">
        <f>+INDEX('2018'!$1:$1048576,MATCH('Analitika - 2019'!$A45,'2018'!$A:$A,0),MATCH('Analitika - 2019'!$R$6,'2018'!$6:$6,0))</f>
        <v>34624926.579999998</v>
      </c>
      <c r="S45" s="189">
        <f t="shared" si="4"/>
        <v>559160.84000000358</v>
      </c>
      <c r="T45" s="191">
        <f t="shared" si="5"/>
        <v>1.6149083773739692E-2</v>
      </c>
    </row>
    <row r="46" spans="1:20">
      <c r="A46" s="175">
        <v>424</v>
      </c>
      <c r="B46" s="484" t="str">
        <f>+VLOOKUP($A46,Master!$D$27:$G$225,4,FALSE)</f>
        <v>Ostala prava iz oblasti zdravstvene zaštite</v>
      </c>
      <c r="C46" s="485"/>
      <c r="D46" s="485"/>
      <c r="E46" s="485"/>
      <c r="F46" s="485"/>
      <c r="G46" s="188">
        <f>+SUMPRODUCT(('2019'!$G46:$R46)*('2019'!$G$5:$R$5&lt;=Master!$B$3)*($A46='2019'!$A$10:$A$66))</f>
        <v>8466938.3300000001</v>
      </c>
      <c r="H46" s="188">
        <f>+SUMPRODUCT(('2019'!$G141:$R141)*('2019'!$G$5:$R$5&lt;=Master!$B$3))</f>
        <v>7916708.379999999</v>
      </c>
      <c r="I46" s="189">
        <f t="shared" si="6"/>
        <v>550229.95000000112</v>
      </c>
      <c r="J46" s="190">
        <f t="shared" si="0"/>
        <v>6.950236431470036E-2</v>
      </c>
      <c r="K46" s="188">
        <f>+SUMPRODUCT(('2018'!$G46:$R46)*('2018'!$G$5:$R$5&lt;=Master!$B$3))</f>
        <v>6881113.2400000002</v>
      </c>
      <c r="L46" s="189">
        <f t="shared" si="7"/>
        <v>1585825.0899999999</v>
      </c>
      <c r="M46" s="191">
        <f t="shared" si="1"/>
        <v>0.23046054245722591</v>
      </c>
      <c r="N46" s="188">
        <f>+INDEX('2019'!$1:$1048576,MATCH('Analitika - 2019'!$A46,'2019'!$A:$A,0),MATCH('Analitika - 2019'!$N$6,'2019'!$6:$6,0))</f>
        <v>1914804.54</v>
      </c>
      <c r="O46" s="188">
        <f>+INDEX('2019'!$1:$1048576,MATCH(CONCATENATE('Analitika - 2019'!$A46,"p"),'2019'!$A:$A,0),MATCH('Analitika - 2019'!$O$6,'2019'!$101:$101,0))</f>
        <v>1583341.6600000001</v>
      </c>
      <c r="P46" s="189">
        <f t="shared" si="2"/>
        <v>331462.87999999989</v>
      </c>
      <c r="Q46" s="190">
        <f t="shared" si="3"/>
        <v>0.20934387591367987</v>
      </c>
      <c r="R46" s="188">
        <f>+INDEX('2018'!$1:$1048576,MATCH('Analitika - 2019'!$A46,'2018'!$A:$A,0),MATCH('Analitika - 2019'!$R$6,'2018'!$6:$6,0))</f>
        <v>1118465.46</v>
      </c>
      <c r="S46" s="189">
        <f t="shared" si="4"/>
        <v>796339.08000000007</v>
      </c>
      <c r="T46" s="191">
        <f t="shared" si="5"/>
        <v>0.71199255451303789</v>
      </c>
    </row>
    <row r="47" spans="1:20">
      <c r="A47" s="175">
        <v>425</v>
      </c>
      <c r="B47" s="484" t="str">
        <f>+VLOOKUP($A47,Master!$D$27:$G$225,4,FALSE)</f>
        <v>Ostala prava iz zdravstvenog osiguranja</v>
      </c>
      <c r="C47" s="485"/>
      <c r="D47" s="485"/>
      <c r="E47" s="485"/>
      <c r="F47" s="485"/>
      <c r="G47" s="188">
        <f>+SUMPRODUCT(('2019'!$G47:$R47)*('2019'!$G$5:$R$5&lt;=Master!$B$3)*($A47='2019'!$A$10:$A$66))</f>
        <v>4335492.07</v>
      </c>
      <c r="H47" s="188">
        <f>+SUMPRODUCT(('2019'!$G142:$R142)*('2019'!$G$5:$R$5&lt;=Master!$B$3))</f>
        <v>4427083.75</v>
      </c>
      <c r="I47" s="189">
        <f t="shared" si="6"/>
        <v>-91591.679999999702</v>
      </c>
      <c r="J47" s="190">
        <f t="shared" si="0"/>
        <v>-2.0688942241040675E-2</v>
      </c>
      <c r="K47" s="188">
        <f>+SUMPRODUCT(('2018'!$G47:$R47)*('2018'!$G$5:$R$5&lt;=Master!$B$3))</f>
        <v>3444681.82</v>
      </c>
      <c r="L47" s="189">
        <f t="shared" si="7"/>
        <v>890810.25000000047</v>
      </c>
      <c r="M47" s="191">
        <f t="shared" si="1"/>
        <v>0.25860450879030683</v>
      </c>
      <c r="N47" s="188">
        <f>+INDEX('2019'!$1:$1048576,MATCH('Analitika - 2019'!$A47,'2019'!$A:$A,0),MATCH('Analitika - 2019'!$N$6,'2019'!$6:$6,0))</f>
        <v>905277.52</v>
      </c>
      <c r="O47" s="188">
        <f>+INDEX('2019'!$1:$1048576,MATCH(CONCATENATE('Analitika - 2019'!$A47,"p"),'2019'!$A:$A,0),MATCH('Analitika - 2019'!$O$6,'2019'!$101:$101,0))</f>
        <v>885416.75</v>
      </c>
      <c r="P47" s="189">
        <f t="shared" si="2"/>
        <v>19860.770000000019</v>
      </c>
      <c r="Q47" s="190">
        <f t="shared" si="3"/>
        <v>2.2430985182966046E-2</v>
      </c>
      <c r="R47" s="188">
        <f>+INDEX('2018'!$1:$1048576,MATCH('Analitika - 2019'!$A47,'2018'!$A:$A,0),MATCH('Analitika - 2019'!$R$6,'2018'!$6:$6,0))</f>
        <v>710595.63</v>
      </c>
      <c r="S47" s="189">
        <f t="shared" si="4"/>
        <v>194681.89</v>
      </c>
      <c r="T47" s="191">
        <f t="shared" si="5"/>
        <v>0.27397000738662025</v>
      </c>
    </row>
    <row r="48" spans="1:20">
      <c r="A48" s="175">
        <v>43</v>
      </c>
      <c r="B48" s="482" t="str">
        <f>+VLOOKUP($A48,Master!$D$27:$G$225,4,FALSE)</f>
        <v xml:space="preserve">Transferi institucijama, pojedincima, nevladinom i javnom sektoru </v>
      </c>
      <c r="C48" s="483"/>
      <c r="D48" s="483"/>
      <c r="E48" s="483"/>
      <c r="F48" s="483"/>
      <c r="G48" s="200">
        <f>+SUMPRODUCT(('2019'!$G48:$R48)*('2019'!$G$5:$R$5&lt;=Master!$B$3)*($A48='2019'!$A$10:$A$66))</f>
        <v>84430458.900000006</v>
      </c>
      <c r="H48" s="200">
        <f>+SUMPRODUCT(('2019'!$G143:$R143)*('2019'!$G$5:$R$5&lt;=Master!$B$3))</f>
        <v>92298849.231666654</v>
      </c>
      <c r="I48" s="201">
        <f t="shared" si="6"/>
        <v>-7868390.3316666484</v>
      </c>
      <c r="J48" s="202">
        <f t="shared" si="0"/>
        <v>-8.5249062119044261E-2</v>
      </c>
      <c r="K48" s="200">
        <f>+SUMPRODUCT(('2018'!$G48:$R48)*('2018'!$G$5:$R$5&lt;=Master!$B$3))</f>
        <v>69485225.13000001</v>
      </c>
      <c r="L48" s="201">
        <f t="shared" si="7"/>
        <v>14945233.769999996</v>
      </c>
      <c r="M48" s="203">
        <f t="shared" si="1"/>
        <v>0.21508505933511679</v>
      </c>
      <c r="N48" s="200">
        <f>+INDEX('2019'!$1:$1048576,MATCH('Analitika - 2019'!$A48,'2019'!$A:$A,0),MATCH('Analitika - 2019'!$N$6,'2019'!$6:$6,0))</f>
        <v>17254969.68</v>
      </c>
      <c r="O48" s="200">
        <f>+INDEX('2019'!$1:$1048576,MATCH(CONCATENATE('Analitika - 2019'!$A48,"p"),'2019'!$A:$A,0),MATCH('Analitika - 2019'!$O$6,'2019'!$101:$101,0))</f>
        <v>15993608.598333333</v>
      </c>
      <c r="P48" s="201">
        <f t="shared" si="2"/>
        <v>1261361.081666667</v>
      </c>
      <c r="Q48" s="202">
        <f t="shared" si="3"/>
        <v>7.8866571850339628E-2</v>
      </c>
      <c r="R48" s="200">
        <f>+INDEX('2018'!$1:$1048576,MATCH('Analitika - 2019'!$A48,'2018'!$A:$A,0),MATCH('Analitika - 2019'!$R$6,'2018'!$6:$6,0))</f>
        <v>13306183.48</v>
      </c>
      <c r="S48" s="201">
        <f t="shared" si="4"/>
        <v>3948786.1999999993</v>
      </c>
      <c r="T48" s="203">
        <f t="shared" si="5"/>
        <v>0.29676324589505798</v>
      </c>
    </row>
    <row r="49" spans="1:23">
      <c r="A49" s="175">
        <v>44</v>
      </c>
      <c r="B49" s="482" t="str">
        <f>+VLOOKUP($A49,Master!$D$27:$G$225,4,FALSE)</f>
        <v>Kapitalni budžet</v>
      </c>
      <c r="C49" s="483"/>
      <c r="D49" s="483"/>
      <c r="E49" s="483"/>
      <c r="F49" s="483"/>
      <c r="G49" s="200">
        <f>+SUMPRODUCT(('2019'!$G49:$R49)*('2019'!$G$5:$R$5&lt;=Master!$B$3)*($A49='2019'!$A$10:$A$66))</f>
        <v>69009497.510000005</v>
      </c>
      <c r="H49" s="200">
        <f>+SUMPRODUCT(('2019'!$G144:$R144)*('2019'!$G$5:$R$5&lt;=Master!$B$3))</f>
        <v>133718749.94999997</v>
      </c>
      <c r="I49" s="201">
        <f t="shared" si="6"/>
        <v>-64709252.439999968</v>
      </c>
      <c r="J49" s="202">
        <f t="shared" si="0"/>
        <v>-0.48392056061095401</v>
      </c>
      <c r="K49" s="200">
        <f>+SUMPRODUCT(('2018'!$G49:$R49)*('2018'!$G$5:$R$5&lt;=Master!$B$3))</f>
        <v>59933409.270000003</v>
      </c>
      <c r="L49" s="201">
        <f t="shared" si="7"/>
        <v>9076088.2400000021</v>
      </c>
      <c r="M49" s="203">
        <f t="shared" si="1"/>
        <v>0.15143620812746073</v>
      </c>
      <c r="N49" s="200">
        <f>+INDEX('2019'!$1:$1048576,MATCH('Analitika - 2019'!$A49,'2019'!$A:$A,0),MATCH('Analitika - 2019'!$N$6,'2019'!$6:$6,0))</f>
        <v>11464377.560000001</v>
      </c>
      <c r="O49" s="200">
        <f>+INDEX('2019'!$1:$1048576,MATCH(CONCATENATE('Analitika - 2019'!$A49,"p"),'2019'!$A:$A,0),MATCH('Analitika - 2019'!$O$6,'2019'!$101:$101,0))</f>
        <v>26743749.989999995</v>
      </c>
      <c r="P49" s="201">
        <f t="shared" si="2"/>
        <v>-15279372.429999994</v>
      </c>
      <c r="Q49" s="202">
        <f t="shared" si="3"/>
        <v>-0.57132498006873556</v>
      </c>
      <c r="R49" s="200">
        <f>+INDEX('2018'!$1:$1048576,MATCH('Analitika - 2019'!$A49,'2018'!$A:$A,0),MATCH('Analitika - 2019'!$R$6,'2018'!$6:$6,0))</f>
        <v>13043534.289999999</v>
      </c>
      <c r="S49" s="201">
        <f t="shared" si="4"/>
        <v>-1579156.7299999986</v>
      </c>
      <c r="T49" s="203" t="s">
        <v>774</v>
      </c>
    </row>
    <row r="50" spans="1:23">
      <c r="A50" s="175">
        <v>451</v>
      </c>
      <c r="B50" s="452" t="str">
        <f>+VLOOKUP($A50,Master!$D$27:$G$225,4,FALSE)</f>
        <v>Pozajmice i krediti</v>
      </c>
      <c r="C50" s="453"/>
      <c r="D50" s="453"/>
      <c r="E50" s="453"/>
      <c r="F50" s="453"/>
      <c r="G50" s="188">
        <f>+SUMPRODUCT(('2019'!$G50:$R50)*('2019'!$G$5:$R$5&lt;=Master!$B$3)*($A50='2019'!$A$10:$A$66))</f>
        <v>946857.98</v>
      </c>
      <c r="H50" s="188">
        <f>+SUMPRODUCT(('2019'!$G145:$R145)*('2019'!$G$5:$R$5&lt;=Master!$B$3))</f>
        <v>950000.41666666674</v>
      </c>
      <c r="I50" s="189">
        <f>G50-H50</f>
        <v>-3142.4366666667629</v>
      </c>
      <c r="J50" s="343">
        <f t="shared" si="0"/>
        <v>-3.3078266193743433E-3</v>
      </c>
      <c r="K50" s="188">
        <f>+SUMPRODUCT(('2018'!$G50:$R50)*('2018'!$G$5:$R$5&lt;=Master!$B$3))</f>
        <v>949392.62</v>
      </c>
      <c r="L50" s="349">
        <f t="shared" si="7"/>
        <v>-2534.640000000014</v>
      </c>
      <c r="M50" s="352">
        <f t="shared" si="1"/>
        <v>-2.669749002262134E-3</v>
      </c>
      <c r="N50" s="188">
        <f>+INDEX('2019'!$1:$1048576,MATCH('Analitika - 2019'!$A50,'2019'!$A:$A,0),MATCH('Analitika - 2019'!$N$6,'2019'!$6:$6,0))</f>
        <v>260000</v>
      </c>
      <c r="O50" s="188">
        <f>+INDEX('2019'!$1:$1048576,MATCH(CONCATENATE('Analitika - 2019'!$A50,"p"),'2019'!$A:$A,0),MATCH('Analitika - 2019'!$O$6,'2019'!$101:$101,0))</f>
        <v>190000.08333333334</v>
      </c>
      <c r="P50" s="189">
        <f t="shared" si="2"/>
        <v>69999.916666666657</v>
      </c>
      <c r="Q50" s="343">
        <f t="shared" si="3"/>
        <v>0.36842045244716992</v>
      </c>
      <c r="R50" s="188">
        <f>+INDEX('2018'!$1:$1048576,MATCH('Analitika - 2019'!$A50,'2018'!$A:$A,0),MATCH('Analitika - 2019'!$R$6,'2018'!$6:$6,0))</f>
        <v>278222</v>
      </c>
      <c r="S50" s="349">
        <f t="shared" si="4"/>
        <v>-18222</v>
      </c>
      <c r="T50" s="352" t="s">
        <v>774</v>
      </c>
    </row>
    <row r="51" spans="1:23">
      <c r="A51" s="175">
        <v>47</v>
      </c>
      <c r="B51" s="452" t="str">
        <f>+VLOOKUP($A51,Master!$D$27:$G$225,4,FALSE)</f>
        <v>Rezerve</v>
      </c>
      <c r="C51" s="453"/>
      <c r="D51" s="453"/>
      <c r="E51" s="453"/>
      <c r="F51" s="453"/>
      <c r="G51" s="188">
        <f>+SUMPRODUCT(('2019'!$G51:$R51)*('2019'!$G$5:$R$5&lt;=Master!$B$3)*($A51='2019'!$A$10:$A$66))</f>
        <v>5449963.3000000007</v>
      </c>
      <c r="H51" s="188">
        <f>+SUMPRODUCT(('2019'!$G146:$R146)*('2019'!$G$5:$R$5&lt;=Master!$B$3))</f>
        <v>8445916.666666666</v>
      </c>
      <c r="I51" s="189">
        <f t="shared" ref="I51:I52" si="8">G51-H51</f>
        <v>-2995953.3666666653</v>
      </c>
      <c r="J51" s="344">
        <f t="shared" si="0"/>
        <v>-0.35472210831664208</v>
      </c>
      <c r="K51" s="188">
        <f>+SUMPRODUCT(('2018'!$G51:$R51)*('2018'!$G$5:$R$5&lt;=Master!$B$3))</f>
        <v>7137280.5</v>
      </c>
      <c r="L51" s="350">
        <f t="shared" si="7"/>
        <v>-1687317.1999999993</v>
      </c>
      <c r="M51" s="353">
        <f t="shared" si="1"/>
        <v>-0.23640897958262941</v>
      </c>
      <c r="N51" s="188">
        <f>+INDEX('2019'!$1:$1048576,MATCH('Analitika - 2019'!$A51,'2019'!$A:$A,0),MATCH('Analitika - 2019'!$N$6,'2019'!$6:$6,0))</f>
        <v>1408200</v>
      </c>
      <c r="O51" s="188">
        <f>+INDEX('2019'!$1:$1048576,MATCH(CONCATENATE('Analitika - 2019'!$A51,"p"),'2019'!$A:$A,0),MATCH('Analitika - 2019'!$O$6,'2019'!$101:$101,0))</f>
        <v>1650583.3333333333</v>
      </c>
      <c r="P51" s="189">
        <f t="shared" si="2"/>
        <v>-242383.33333333326</v>
      </c>
      <c r="Q51" s="344">
        <f t="shared" si="3"/>
        <v>-0.14684707426667332</v>
      </c>
      <c r="R51" s="188">
        <f>+INDEX('2018'!$1:$1048576,MATCH('Analitika - 2019'!$A51,'2018'!$A:$A,0),MATCH('Analitika - 2019'!$R$6,'2018'!$6:$6,0))</f>
        <v>4042331.56</v>
      </c>
      <c r="S51" s="350">
        <f t="shared" si="4"/>
        <v>-2634131.56</v>
      </c>
      <c r="T51" s="353">
        <f t="shared" si="5"/>
        <v>-0.65163669058358986</v>
      </c>
      <c r="W51" s="441"/>
    </row>
    <row r="52" spans="1:23" ht="15.75" thickBot="1">
      <c r="A52" s="175">
        <v>462</v>
      </c>
      <c r="B52" s="470" t="str">
        <f>+VLOOKUP($A52,Master!$D$27:$G$225,4,FALSE)</f>
        <v>Otplata garancija</v>
      </c>
      <c r="C52" s="471"/>
      <c r="D52" s="471"/>
      <c r="E52" s="471"/>
      <c r="F52" s="471"/>
      <c r="G52" s="188">
        <f>+SUMPRODUCT(('2019'!$G52:$R52)*('2019'!$G$5:$R$5&lt;=Master!$B$3)*($A52='2019'!$A$10:$A$66))</f>
        <v>9434672.4100000001</v>
      </c>
      <c r="H52" s="188">
        <f>+SUMPRODUCT(('2019'!$G147:$R147)*('2019'!$G$5:$R$5&lt;=Master!$B$3))</f>
        <v>0</v>
      </c>
      <c r="I52" s="189">
        <f t="shared" si="8"/>
        <v>9434672.4100000001</v>
      </c>
      <c r="J52" s="345" t="str">
        <f t="shared" si="0"/>
        <v>…</v>
      </c>
      <c r="K52" s="188">
        <f>+SUMPRODUCT(('2018'!$G52:$R52)*('2018'!$G$5:$R$5&lt;=Master!$B$3))</f>
        <v>0</v>
      </c>
      <c r="L52" s="350">
        <f t="shared" si="7"/>
        <v>9434672.4100000001</v>
      </c>
      <c r="M52" s="354" t="str">
        <f t="shared" si="1"/>
        <v>…</v>
      </c>
      <c r="N52" s="188">
        <f>+INDEX('2019'!$1:$1048576,MATCH('Analitika - 2019'!$A52,'2019'!$A:$A,0),MATCH('Analitika - 2019'!$N$6,'2019'!$6:$6,0))</f>
        <v>0</v>
      </c>
      <c r="O52" s="188">
        <f>+INDEX('2019'!$1:$1048576,MATCH(CONCATENATE('Analitika - 2019'!$A52,"p"),'2019'!$A:$A,0),MATCH('Analitika - 2019'!$O$6,'2019'!$101:$101,0))</f>
        <v>0</v>
      </c>
      <c r="P52" s="189">
        <f t="shared" si="2"/>
        <v>0</v>
      </c>
      <c r="Q52" s="345" t="str">
        <f t="shared" si="3"/>
        <v>…</v>
      </c>
      <c r="R52" s="188">
        <f>+INDEX('2018'!$1:$1048576,MATCH('Analitika - 2019'!$A52,'2018'!$A:$A,0),MATCH('Analitika - 2019'!$R$6,'2018'!$6:$6,0))</f>
        <v>0</v>
      </c>
      <c r="S52" s="350">
        <f t="shared" si="4"/>
        <v>0</v>
      </c>
      <c r="T52" s="354" t="str">
        <f t="shared" si="5"/>
        <v>…</v>
      </c>
    </row>
    <row r="53" spans="1:23" ht="15.75" thickBot="1">
      <c r="A53" s="169">
        <v>4630</v>
      </c>
      <c r="B53" s="470" t="str">
        <f>+VLOOKUP($A53,Master!$D$27:$G$225,4,FALSE)</f>
        <v>Otplata obaveza iz prethodnih godina</v>
      </c>
      <c r="C53" s="471"/>
      <c r="D53" s="471"/>
      <c r="E53" s="471"/>
      <c r="F53" s="471"/>
      <c r="G53" s="390">
        <f>+SUMPRODUCT(('2019'!$G53:$R53)*('2019'!$G$5:$R$5&lt;=Master!$B$3)*($A53='2019'!$A$10:$A$66))</f>
        <v>7524025.6399999997</v>
      </c>
      <c r="H53" s="390">
        <f>+SUMPRODUCT(('2019'!$G148:$R148)*('2019'!$G$5:$R$5&lt;=Master!$B$3))</f>
        <v>7221752.7800000003</v>
      </c>
      <c r="I53" s="351">
        <f>G53-H53</f>
        <v>302272.8599999994</v>
      </c>
      <c r="J53" s="346">
        <f t="shared" si="0"/>
        <v>4.1855885850470731E-2</v>
      </c>
      <c r="K53" s="390">
        <f>+SUMPRODUCT(('2018'!$G53:$R53)*('2018'!$G$5:$R$5&lt;=Master!$B$3))</f>
        <v>9682771.2599999998</v>
      </c>
      <c r="L53" s="357">
        <f t="shared" si="7"/>
        <v>-2158745.62</v>
      </c>
      <c r="M53" s="355">
        <f t="shared" si="1"/>
        <v>-0.22294708426273413</v>
      </c>
      <c r="N53" s="390">
        <f>+INDEX('2019'!$1:$1048576,MATCH('Analitika - 2019'!$A53,'2019'!$A:$A,0),MATCH('Analitika - 2019'!$N$6,'2019'!$6:$6,0))</f>
        <v>1459507.08</v>
      </c>
      <c r="O53" s="390">
        <f>+INDEX('2019'!$1:$1048576,MATCH(CONCATENATE('Analitika - 2019'!$A53,"p"),'2019'!$A:$A,0),MATCH('Analitika - 2019'!$O$6,'2019'!$101:$101,0))</f>
        <v>1677270.12</v>
      </c>
      <c r="P53" s="351">
        <f>N53-O53</f>
        <v>-217763.04000000004</v>
      </c>
      <c r="Q53" s="346">
        <f t="shared" si="3"/>
        <v>-0.12983182458410458</v>
      </c>
      <c r="R53" s="390">
        <f>+INDEX('2018'!$1:$1048576,MATCH('Analitika - 2019'!$A53,'2018'!$A:$A,0),MATCH('Analitika - 2019'!$R$6,'2018'!$6:$6,0))</f>
        <v>1250843.27</v>
      </c>
      <c r="S53" s="357">
        <f>+N53-R53</f>
        <v>208663.81000000006</v>
      </c>
      <c r="T53" s="355">
        <f>+IF(ISNUMBER(N53/R53-1),N53/R53-1,"…")</f>
        <v>0.16681850956435174</v>
      </c>
    </row>
    <row r="54" spans="1:23" ht="15.75" thickBot="1">
      <c r="A54" s="169">
        <v>1005</v>
      </c>
      <c r="B54" s="470" t="str">
        <f>+VLOOKUP($A54,Master!$D$27:$G$227,4,FALSE)</f>
        <v>Neto povećanje obaveza</v>
      </c>
      <c r="C54" s="471"/>
      <c r="D54" s="471"/>
      <c r="E54" s="471"/>
      <c r="F54" s="471"/>
      <c r="G54" s="188">
        <f>+SUMPRODUCT(('2019'!$G54:$R54)*('2019'!$G$5:$R$5&lt;=Master!$B$3)*($A54='2019'!$A$10:$A$66))</f>
        <v>0</v>
      </c>
      <c r="H54" s="188">
        <f>+SUMPRODUCT(('2019'!$G149:$R149)*('2019'!$G$5:$R$5&lt;=Master!$B$3))</f>
        <v>0</v>
      </c>
      <c r="I54" s="351">
        <f>G54-H54</f>
        <v>0</v>
      </c>
      <c r="J54" s="346" t="str">
        <f t="shared" si="0"/>
        <v>…</v>
      </c>
      <c r="K54" s="188">
        <f>+SUMPRODUCT(('2018'!$G54:$R54)*('2018'!$G$5:$R$5&lt;=Master!$B$3))</f>
        <v>0</v>
      </c>
      <c r="L54" s="357">
        <f t="shared" si="7"/>
        <v>0</v>
      </c>
      <c r="M54" s="355" t="str">
        <f t="shared" si="1"/>
        <v>…</v>
      </c>
      <c r="N54" s="188">
        <f>+INDEX('2019'!$1:$1048576,MATCH('Analitika - 2019'!$A54,'2019'!$A:$A,0),MATCH('Analitika - 2019'!$N$6,'2019'!$6:$6,0))</f>
        <v>0</v>
      </c>
      <c r="O54" s="188" t="e">
        <f>+INDEX('2019'!$1:$1048576,MATCH(CONCATENATE('Analitika - 2019'!$A54,"p"),'2019'!$A:$A,0),MATCH('Analitika - 2019'!$O$6,'2019'!$101:$101,0))</f>
        <v>#N/A</v>
      </c>
      <c r="P54" s="351" t="e">
        <f>N54-O54</f>
        <v>#N/A</v>
      </c>
      <c r="Q54" s="346" t="str">
        <f t="shared" si="3"/>
        <v>…</v>
      </c>
      <c r="R54" s="188">
        <f>+INDEX('2018'!$1:$1048576,MATCH('Analitika - 2019'!$A54,'2018'!$A:$A,0),MATCH('Analitika - 2019'!$R$6,'2018'!$6:$6,0))</f>
        <v>0</v>
      </c>
      <c r="S54" s="357">
        <f>+N54-R54</f>
        <v>0</v>
      </c>
      <c r="T54" s="355" t="str">
        <f>+IF(ISNUMBER(N54/R54-1),N54/R54-1,"…")</f>
        <v>…</v>
      </c>
    </row>
    <row r="55" spans="1:23" ht="15.75" thickBot="1">
      <c r="A55" s="169">
        <v>1000</v>
      </c>
      <c r="B55" s="476" t="str">
        <f>+VLOOKUP($A55,Master!$D$27:$G$225,4,FALSE)</f>
        <v>Suficit / deficit</v>
      </c>
      <c r="C55" s="477"/>
      <c r="D55" s="477"/>
      <c r="E55" s="477"/>
      <c r="F55" s="477"/>
      <c r="G55" s="176">
        <f>+SUMPRODUCT(('2019'!$G55:$R55)*('2019'!$G$5:$R$5&lt;=Master!$B$3)*($A55='2019'!$A$10:$A$66))</f>
        <v>-53390213.380000114</v>
      </c>
      <c r="H55" s="176">
        <f>+SUMPRODUCT(('2019'!$G150:$R150)*('2019'!$G$5:$R$5&lt;=Master!$B$3))</f>
        <v>-203451746.75511017</v>
      </c>
      <c r="I55" s="397">
        <f>+G55-H55</f>
        <v>150061533.37511006</v>
      </c>
      <c r="J55" s="348">
        <f t="shared" si="0"/>
        <v>-0.73757800445790922</v>
      </c>
      <c r="K55" s="176">
        <f>+SUMPRODUCT(('2018'!$G55:$R55)*('2018'!$G$5:$R$5&lt;=Master!$B$3))</f>
        <v>-70411680.349999979</v>
      </c>
      <c r="L55" s="358">
        <f t="shared" si="7"/>
        <v>17021466.969999865</v>
      </c>
      <c r="M55" s="356">
        <f t="shared" si="1"/>
        <v>-0.24174209286570258</v>
      </c>
      <c r="N55" s="176">
        <f>+INDEX('2019'!$1:$1048576,MATCH('Analitika - 2019'!$A55,'2019'!$A:$A,0),MATCH('Analitika - 2019'!$N$6,'2019'!$6:$6,0))</f>
        <v>7764624.5199999809</v>
      </c>
      <c r="O55" s="176">
        <f>+INDEX('2019'!$1:$1048576,MATCH(CONCATENATE('Analitika - 2019'!$A55,"p"),'2019'!$A:$A,0),MATCH('Analitika - 2019'!$O$6,'2019'!$101:$101,0))</f>
        <v>-22836050.737300813</v>
      </c>
      <c r="P55" s="397">
        <f>N55-O55</f>
        <v>30600675.257300794</v>
      </c>
      <c r="Q55" s="348">
        <f t="shared" si="3"/>
        <v>-1.3400160828736076</v>
      </c>
      <c r="R55" s="176">
        <f>+INDEX('2018'!$1:$1048576,MATCH('Analitika - 2019'!$A55,'2018'!$A:$A,0),MATCH('Analitika - 2019'!$R$6,'2018'!$6:$6,0))</f>
        <v>-2919925.2200000286</v>
      </c>
      <c r="S55" s="358">
        <f t="shared" si="4"/>
        <v>10684549.74000001</v>
      </c>
      <c r="T55" s="348">
        <f>+IF(ISNUMBER(N55/R55-1),N55/R55-1,"…")</f>
        <v>-3.6591860869642083</v>
      </c>
    </row>
    <row r="56" spans="1:23" ht="15.75" thickBot="1">
      <c r="A56" s="169">
        <v>1001</v>
      </c>
      <c r="B56" s="478" t="str">
        <f>+VLOOKUP($A56,Master!$D$27:$G$225,4,FALSE)</f>
        <v>Primarni bilans</v>
      </c>
      <c r="C56" s="479"/>
      <c r="D56" s="479"/>
      <c r="E56" s="479"/>
      <c r="F56" s="479"/>
      <c r="G56" s="176">
        <f>+SUMPRODUCT(('2019'!$G56:$R56)*('2019'!$G$5:$R$5&lt;=Master!$B$3)*($A56='2019'!$A$10:$A$66))</f>
        <v>1968527.9499998819</v>
      </c>
      <c r="H56" s="176">
        <f>+SUMPRODUCT(('2019'!$G151:$R151)*('2019'!$G$5:$R$5&lt;=Master!$B$3))</f>
        <v>-133837234.32511018</v>
      </c>
      <c r="I56" s="231">
        <f t="shared" si="6"/>
        <v>135805762.27511007</v>
      </c>
      <c r="J56" s="232">
        <f t="shared" si="0"/>
        <v>-1.0147083728973212</v>
      </c>
      <c r="K56" s="176">
        <f>+SUMPRODUCT(('2018'!$G56:$R56)*('2018'!$G$5:$R$5&lt;=Master!$B$3))</f>
        <v>-7327647.2499999758</v>
      </c>
      <c r="L56" s="231">
        <f t="shared" si="7"/>
        <v>9296175.1999998577</v>
      </c>
      <c r="M56" s="233">
        <f t="shared" si="1"/>
        <v>-1.2686439293321452</v>
      </c>
      <c r="N56" s="176">
        <f>+INDEX('2019'!$1:$1048576,MATCH('Analitika - 2019'!$A56,'2019'!$A:$A,0),MATCH('Analitika - 2019'!$N$6,'2019'!$6:$6,0))</f>
        <v>8916879.7599999812</v>
      </c>
      <c r="O56" s="176">
        <f>+INDEX('2019'!$1:$1048576,MATCH(CONCATENATE('Analitika - 2019'!$A56,"p"),'2019'!$A:$A,0),MATCH('Analitika - 2019'!$O$6,'2019'!$101:$101,0))</f>
        <v>-8790214.4673008118</v>
      </c>
      <c r="P56" s="231">
        <f t="shared" si="2"/>
        <v>17707094.227300793</v>
      </c>
      <c r="Q56" s="232">
        <f t="shared" si="3"/>
        <v>-2.0144098068562899</v>
      </c>
      <c r="R56" s="176">
        <f>+INDEX('2018'!$1:$1048576,MATCH('Analitika - 2019'!$A56,'2018'!$A:$A,0),MATCH('Analitika - 2019'!$R$6,'2018'!$6:$6,0))</f>
        <v>7144883.8399999719</v>
      </c>
      <c r="S56" s="231">
        <f t="shared" si="4"/>
        <v>1771995.9200000092</v>
      </c>
      <c r="T56" s="348">
        <f>+IF(ISNUMBER(N56/R56-1),N56/R56-1,"…")</f>
        <v>0.24800905930473682</v>
      </c>
    </row>
    <row r="57" spans="1:23">
      <c r="A57" s="169">
        <v>46</v>
      </c>
      <c r="B57" s="480" t="str">
        <f>+VLOOKUP($A57,Master!$D$27:$G$225,4,FALSE)</f>
        <v>Otplata dugova</v>
      </c>
      <c r="C57" s="481"/>
      <c r="D57" s="481"/>
      <c r="E57" s="481"/>
      <c r="F57" s="481"/>
      <c r="G57" s="182">
        <f>+SUMPRODUCT(('2019'!$G57:$R57)*('2019'!$G$5:$R$5&lt;=Master!$B$3)*($A57='2019'!$A$10:$A$66))</f>
        <v>137550157.69</v>
      </c>
      <c r="H57" s="182">
        <f>+SUMPRODUCT(('2019'!$G152:$R152)*('2019'!$G$5:$R$5&lt;=Master!$B$3))</f>
        <v>225408735.47</v>
      </c>
      <c r="I57" s="219">
        <f t="shared" si="6"/>
        <v>-87858577.780000001</v>
      </c>
      <c r="J57" s="220">
        <f t="shared" si="0"/>
        <v>-0.38977450273524661</v>
      </c>
      <c r="K57" s="182">
        <f>+SUMPRODUCT(('2018'!$G57:$R57)*('2018'!$G$5:$R$5&lt;=Master!$B$3))</f>
        <v>496848328.98000002</v>
      </c>
      <c r="L57" s="219">
        <f t="shared" si="7"/>
        <v>-359298171.29000002</v>
      </c>
      <c r="M57" s="221">
        <f t="shared" si="1"/>
        <v>-0.72315463358328635</v>
      </c>
      <c r="N57" s="182">
        <f>+INDEX('2019'!$1:$1048576,MATCH('Analitika - 2019'!$A57,'2019'!$A:$A,0),MATCH('Analitika - 2019'!$N$6,'2019'!$6:$6,0))</f>
        <v>14577731.82</v>
      </c>
      <c r="O57" s="182">
        <f>+INDEX('2019'!$1:$1048576,MATCH(CONCATENATE('Analitika - 2019'!$A57,"p"),'2019'!$A:$A,0),MATCH('Analitika - 2019'!$O$6,'2019'!$101:$101,0))</f>
        <v>181489557.88</v>
      </c>
      <c r="P57" s="219">
        <f t="shared" si="2"/>
        <v>-166911826.06</v>
      </c>
      <c r="Q57" s="220">
        <f t="shared" si="3"/>
        <v>-0.91967729719393154</v>
      </c>
      <c r="R57" s="182">
        <f>+INDEX('2018'!$1:$1048576,MATCH('Analitika - 2019'!$A57,'2018'!$A:$A,0),MATCH('Analitika - 2019'!$R$6,'2018'!$6:$6,0))</f>
        <v>14760695.76</v>
      </c>
      <c r="S57" s="219">
        <f t="shared" si="4"/>
        <v>-182963.93999999948</v>
      </c>
      <c r="T57" s="221">
        <f t="shared" si="5"/>
        <v>-1.2395346599840762E-2</v>
      </c>
    </row>
    <row r="58" spans="1:23">
      <c r="A58" s="169">
        <v>4611</v>
      </c>
      <c r="B58" s="468" t="str">
        <f>+VLOOKUP($A58,Master!$D$27:$G$225,4,FALSE)</f>
        <v>Otplata hartija od vrijednosti i kredita rezidentima</v>
      </c>
      <c r="C58" s="469"/>
      <c r="D58" s="469"/>
      <c r="E58" s="469"/>
      <c r="F58" s="469"/>
      <c r="G58" s="188">
        <f>+SUMPRODUCT(('2019'!$G58:$R58)*('2019'!$G$5:$R$5&lt;=Master!$B$3)*($A58='2019'!$A$10:$A$66))</f>
        <v>92111079.480000004</v>
      </c>
      <c r="H58" s="188">
        <f>+SUMPRODUCT(('2019'!$G153:$R153)*('2019'!$G$5:$R$5&lt;=Master!$B$3))</f>
        <v>10111145.74</v>
      </c>
      <c r="I58" s="237">
        <f t="shared" si="6"/>
        <v>81999933.74000001</v>
      </c>
      <c r="J58" s="238">
        <f t="shared" si="0"/>
        <v>8.1098557817840344</v>
      </c>
      <c r="K58" s="188">
        <f>+SUMPRODUCT(('2018'!$G58:$R58)*('2018'!$G$5:$R$5&lt;=Master!$B$3))</f>
        <v>85633681.020000011</v>
      </c>
      <c r="L58" s="237">
        <f t="shared" si="7"/>
        <v>6477398.4599999934</v>
      </c>
      <c r="M58" s="239">
        <f t="shared" si="1"/>
        <v>7.5640780389753193E-2</v>
      </c>
      <c r="N58" s="188">
        <f>+INDEX('2019'!$1:$1048576,MATCH('Analitika - 2019'!$A58,'2019'!$A:$A,0),MATCH('Analitika - 2019'!$N$6,'2019'!$6:$6,0))</f>
        <v>5836708.6600000001</v>
      </c>
      <c r="O58" s="188">
        <f>+INDEX('2019'!$1:$1048576,MATCH(CONCATENATE('Analitika - 2019'!$A58,"p"),'2019'!$A:$A,0),MATCH('Analitika - 2019'!$O$6,'2019'!$101:$101,0))</f>
        <v>2836722.65</v>
      </c>
      <c r="P58" s="237">
        <f t="shared" si="2"/>
        <v>2999986.0100000002</v>
      </c>
      <c r="Q58" s="238">
        <f t="shared" si="3"/>
        <v>1.0575535151453739</v>
      </c>
      <c r="R58" s="188">
        <f>+INDEX('2018'!$1:$1048576,MATCH('Analitika - 2019'!$A58,'2018'!$A:$A,0),MATCH('Analitika - 2019'!$R$6,'2018'!$6:$6,0))</f>
        <v>831498.83</v>
      </c>
      <c r="S58" s="237">
        <f t="shared" si="4"/>
        <v>5005209.83</v>
      </c>
      <c r="T58" s="239">
        <f t="shared" si="5"/>
        <v>6.0195031543219377</v>
      </c>
    </row>
    <row r="59" spans="1:23">
      <c r="A59" s="169">
        <v>4612</v>
      </c>
      <c r="B59" s="452" t="str">
        <f>+VLOOKUP($A59,Master!$D$27:$G$225,4,FALSE)</f>
        <v>Otplata hartija od vrijednosti i kredita nerezidentima</v>
      </c>
      <c r="C59" s="453"/>
      <c r="D59" s="453"/>
      <c r="E59" s="453"/>
      <c r="F59" s="453"/>
      <c r="G59" s="188">
        <f>+SUMPRODUCT(('2019'!$G59:$R59)*('2019'!$G$5:$R$5&lt;=Master!$B$3)*($A59='2019'!$A$10:$A$66))</f>
        <v>45439078.209999993</v>
      </c>
      <c r="H59" s="188">
        <f>+SUMPRODUCT(('2019'!$G154:$R154)*('2019'!$G$5:$R$5&lt;=Master!$B$3))</f>
        <v>215297589.72999999</v>
      </c>
      <c r="I59" s="237">
        <f t="shared" si="6"/>
        <v>-169858511.51999998</v>
      </c>
      <c r="J59" s="238">
        <f t="shared" si="0"/>
        <v>-0.78894757592509901</v>
      </c>
      <c r="K59" s="188">
        <f>+SUMPRODUCT(('2018'!$G59:$R59)*('2018'!$G$5:$R$5&lt;=Master!$B$3))</f>
        <v>411214647.96000004</v>
      </c>
      <c r="L59" s="237">
        <f t="shared" si="7"/>
        <v>-365775569.75000006</v>
      </c>
      <c r="M59" s="239">
        <f t="shared" si="1"/>
        <v>-0.8895003414021867</v>
      </c>
      <c r="N59" s="188">
        <f>+INDEX('2019'!$1:$1048576,MATCH('Analitika - 2019'!$A59,'2019'!$A:$A,0),MATCH('Analitika - 2019'!$N$6,'2019'!$6:$6,0))</f>
        <v>8741023.1600000001</v>
      </c>
      <c r="O59" s="188">
        <f>+INDEX('2019'!$1:$1048576,MATCH(CONCATENATE('Analitika - 2019'!$A59,"p"),'2019'!$A:$A,0),MATCH('Analitika - 2019'!$O$6,'2019'!$101:$101,0))</f>
        <v>178652835.22999999</v>
      </c>
      <c r="P59" s="237">
        <f t="shared" si="2"/>
        <v>-169911812.06999999</v>
      </c>
      <c r="Q59" s="238">
        <f t="shared" si="3"/>
        <v>-0.95107257520572408</v>
      </c>
      <c r="R59" s="188">
        <f>+INDEX('2018'!$1:$1048576,MATCH('Analitika - 2019'!$A59,'2018'!$A:$A,0),MATCH('Analitika - 2019'!$R$6,'2018'!$6:$6,0))</f>
        <v>13929196.93</v>
      </c>
      <c r="S59" s="237">
        <f t="shared" si="4"/>
        <v>-5188173.7699999996</v>
      </c>
      <c r="T59" s="239">
        <f t="shared" si="5"/>
        <v>-0.37246754397060566</v>
      </c>
    </row>
    <row r="60" spans="1:23" ht="15.75" thickBot="1">
      <c r="A60" s="169">
        <v>4418</v>
      </c>
      <c r="B60" s="488" t="s">
        <v>340</v>
      </c>
      <c r="C60" s="489"/>
      <c r="D60" s="489"/>
      <c r="E60" s="489"/>
      <c r="F60" s="489"/>
      <c r="G60" s="425">
        <f>+SUMPRODUCT(('2019'!$G60:$R60)*('2019'!$G$5:$R$5&lt;=Master!$B$3)*($A60='2019'!$A$10:$A$66))</f>
        <v>39983668.460000001</v>
      </c>
      <c r="H60" s="425">
        <f>+SUMPRODUCT(('2019'!$G155:$R155)*('2019'!$G$5:$R$5&lt;=Master!$B$3))</f>
        <v>40033333.350000001</v>
      </c>
      <c r="I60" s="426">
        <f t="shared" ref="I60:I66" si="9">+G60-H60</f>
        <v>-49664.890000000596</v>
      </c>
      <c r="J60" s="427">
        <f>+IF(ISNUMBER(G60/H60-1),G60/H61-1,"…")</f>
        <v>-1.0852723306042307</v>
      </c>
      <c r="K60" s="425">
        <f>+SUMPRODUCT(('2018'!$G60:$R60)*('2018'!$G$5:$R$5&lt;=Master!$B$3))</f>
        <v>68939595.359999999</v>
      </c>
      <c r="L60" s="426">
        <f t="shared" ref="L60:L66" si="10">+G60-K60</f>
        <v>-28955926.899999999</v>
      </c>
      <c r="M60" s="428">
        <f>+IF(ISNUMBER(G60/K60-1),G60/K60-1,"…")</f>
        <v>-0.42001881137818153</v>
      </c>
      <c r="N60" s="425">
        <f>+INDEX('2019'!$1:$1048576,MATCH('Analitika - 2019'!$A60,'2019'!$A:$A,0),MATCH('Analitika - 2019'!$N$6,'2019'!$6:$6,0))</f>
        <v>0</v>
      </c>
      <c r="O60" s="425">
        <f>+INDEX('2019'!$1:$1048576,MATCH('Analitika - 2019'!$A60,'2019'!$A:$A,0),MATCH('Analitika - 2019'!$O$6,'2019'!$101:$101,0))</f>
        <v>0</v>
      </c>
      <c r="P60" s="426">
        <f t="shared" ref="P60:P66" si="11">+N60-O60</f>
        <v>0</v>
      </c>
      <c r="Q60" s="427" t="str">
        <f t="shared" ref="Q60:Q66" si="12">+IF(ISNUMBER(N60/O60-1),N60/O60-1,"…")</f>
        <v>…</v>
      </c>
      <c r="R60" s="425">
        <f>+INDEX('2018'!$1:$1048576,MATCH('Analitika - 2019'!$A60,'2018'!$A:$A,0),MATCH('Analitika - 2019'!$R$6,'2018'!$6:$6,0))</f>
        <v>68939595.359999999</v>
      </c>
      <c r="S60" s="426">
        <f t="shared" ref="S60:S66" si="13">+N60-R60</f>
        <v>-68939595.359999999</v>
      </c>
      <c r="T60" s="428">
        <f t="shared" ref="T60:T66" si="14">+IF(ISNUMBER(N60/R60-1),N60/R60-1,"…")</f>
        <v>-1</v>
      </c>
    </row>
    <row r="61" spans="1:23" ht="15.75" thickBot="1">
      <c r="A61" s="169">
        <v>1002</v>
      </c>
      <c r="B61" s="472" t="str">
        <f>+VLOOKUP($A61,Master!$D$27:$G$225,4,FALSE)</f>
        <v>Nedostajuća sredstva</v>
      </c>
      <c r="C61" s="473"/>
      <c r="D61" s="473"/>
      <c r="E61" s="473"/>
      <c r="F61" s="473"/>
      <c r="G61" s="396">
        <f>+SUMPRODUCT(('2019'!$G$61:$R$61)*('2019'!$G$5:$R$5&lt;=Master!$B$3)*($A61='2019'!$A$10:$A$66))</f>
        <v>-230924039.53000012</v>
      </c>
      <c r="H61" s="396">
        <f>+SUMPRODUCT(('2019'!$G156:$R156)*('2019'!$G$5:$R$5&lt;=Master!$B$3))</f>
        <v>-468893815.5751102</v>
      </c>
      <c r="I61" s="398">
        <f t="shared" si="9"/>
        <v>237969776.04511008</v>
      </c>
      <c r="J61" s="399">
        <f>+IF(ISNUMBER(G61/H61-1),G61/H61-1,"…")</f>
        <v>-0.50751314719993501</v>
      </c>
      <c r="K61" s="396">
        <f>+SUMPRODUCT(('2018'!$G61:$R61)*('2018'!$G$5:$R$5&lt;=Master!$B$3))</f>
        <v>-636199604.69000006</v>
      </c>
      <c r="L61" s="398">
        <f t="shared" si="10"/>
        <v>405275565.15999997</v>
      </c>
      <c r="M61" s="401">
        <f>+IF(ISNUMBER(G61/K61-1),G61/K61-1,"…")</f>
        <v>-0.63702580475113302</v>
      </c>
      <c r="N61" s="396">
        <f>+INDEX('2019'!$1:$1048576,MATCH('Analitika - 2019'!$A61,'2019'!$A:$A,0),MATCH('Analitika - 2019'!$N$6,'2019'!$6:$6,0))</f>
        <v>-6813107.3000000194</v>
      </c>
      <c r="O61" s="396">
        <f>+INDEX('2019'!$1:$1048576,MATCH(CONCATENATE('Analitika - 2019'!$A61,"p"),'2019'!$A:$A,0),MATCH('Analitika - 2019'!$O$6,'2019'!$101:$101,0))</f>
        <v>-204352275.2873008</v>
      </c>
      <c r="P61" s="398">
        <f t="shared" si="11"/>
        <v>197539167.98730078</v>
      </c>
      <c r="Q61" s="399">
        <f t="shared" si="12"/>
        <v>-0.96665998805043196</v>
      </c>
      <c r="R61" s="396">
        <f>+INDEX('2018'!$1:$1048576,MATCH('Analitika - 2019'!$A61,'2018'!$A:$A,0),MATCH('Analitika - 2019'!$R$6,'2018'!$6:$6,0))</f>
        <v>-86620216.340000033</v>
      </c>
      <c r="S61" s="398">
        <f t="shared" si="13"/>
        <v>79807109.040000021</v>
      </c>
      <c r="T61" s="401">
        <f t="shared" si="14"/>
        <v>-0.92134506714624975</v>
      </c>
    </row>
    <row r="62" spans="1:23" ht="15.75" thickBot="1">
      <c r="A62" s="169">
        <v>1003</v>
      </c>
      <c r="B62" s="474" t="str">
        <f>+VLOOKUP($A62,Master!$D$27:$G$225,4,FALSE)</f>
        <v>Finansiranje</v>
      </c>
      <c r="C62" s="475"/>
      <c r="D62" s="475"/>
      <c r="E62" s="475"/>
      <c r="F62" s="475"/>
      <c r="G62" s="176">
        <f>+SUMPRODUCT(('2019'!$G$62:$R$62)*('2019'!$G$5:$R$5&lt;=Master!$B$3)*($A62='2019'!$A$10:$A$66))</f>
        <v>230924039.53000012</v>
      </c>
      <c r="H62" s="176">
        <f>+SUMPRODUCT(('2019'!$G157:$R157)*('2019'!$G$5:$R$5&lt;=Master!$B$3))</f>
        <v>468893815.5751102</v>
      </c>
      <c r="I62" s="397">
        <f t="shared" si="9"/>
        <v>-237969776.04511008</v>
      </c>
      <c r="J62" s="400">
        <f>+IF(ISNUMBER(G62/H63-1),G62/H63-1,"…")</f>
        <v>0.21538968173684281</v>
      </c>
      <c r="K62" s="176">
        <f>+SUMPRODUCT(('2018'!$G62:$R62)*('2018'!$G$5:$R$5&lt;=Master!$B$3))</f>
        <v>636199604.69000006</v>
      </c>
      <c r="L62" s="397">
        <f t="shared" si="10"/>
        <v>-405275565.15999997</v>
      </c>
      <c r="M62" s="402">
        <f>+IF(ISNUMBER(G62/K63-1),G62/K63-1,"…")</f>
        <v>0.69051273448023509</v>
      </c>
      <c r="N62" s="176">
        <f>+INDEX('2019'!$1:$1048576,MATCH('Analitika - 2019'!$A62,'2019'!$A:$A,0),MATCH('Analitika - 2019'!$N$6,'2019'!$6:$6,0))</f>
        <v>6813107.3000000119</v>
      </c>
      <c r="O62" s="176">
        <f>+INDEX('2019'!$1:$1048576,MATCH(CONCATENATE('Analitika - 2019'!$A62,"p"),'2019'!$A:$A,0),MATCH('Analitika - 2019'!$O$6,'2019'!$101:$101,0))</f>
        <v>204352275.2873008</v>
      </c>
      <c r="P62" s="397">
        <f t="shared" si="11"/>
        <v>-197539167.98730078</v>
      </c>
      <c r="Q62" s="400">
        <f>+IF(ISNUMBER(N62/O62-1),N62/O62-1,"…")</f>
        <v>-0.96665998805043207</v>
      </c>
      <c r="R62" s="176">
        <f>+INDEX('2018'!$1:$1048576,MATCH('Analitika - 2019'!$A62,'2018'!$A:$A,0),MATCH('Analitika - 2019'!$R$6,'2018'!$6:$6,0))</f>
        <v>86620216.340000033</v>
      </c>
      <c r="S62" s="397">
        <f t="shared" si="13"/>
        <v>-79807109.040000021</v>
      </c>
      <c r="T62" s="402">
        <f t="shared" si="14"/>
        <v>-0.92134506714624986</v>
      </c>
    </row>
    <row r="63" spans="1:23">
      <c r="A63" s="169">
        <v>7511</v>
      </c>
      <c r="B63" s="468" t="str">
        <f>+VLOOKUP($A63,Master!$D$27:$G$225,4,FALSE)</f>
        <v>Pozajmice i krediti od domaćih izvora</v>
      </c>
      <c r="C63" s="469"/>
      <c r="D63" s="469"/>
      <c r="E63" s="469"/>
      <c r="F63" s="469"/>
      <c r="G63" s="188">
        <f>+SUMPRODUCT(('2019'!$G63:$R63)*('2019'!$G$5:$R$5&lt;=Master!$B$3)*($A63='2019'!$A$10:$A$66))</f>
        <v>214438000</v>
      </c>
      <c r="H63" s="188">
        <f>+SUMPRODUCT(('2019'!$G158:$R158)*('2019'!$G$5:$R$5&lt;=Master!$B$3))</f>
        <v>190000000</v>
      </c>
      <c r="I63" s="237">
        <f t="shared" si="9"/>
        <v>24438000</v>
      </c>
      <c r="J63" s="238">
        <f>+IF(ISNUMBER(G63/H63-1),G63/H63-1,"…")</f>
        <v>0.12862105263157897</v>
      </c>
      <c r="K63" s="188">
        <f>+SUMPRODUCT(('2018'!$G63:$R63)*('2018'!$G$5:$R$5&lt;=Master!$B$3))</f>
        <v>136600000</v>
      </c>
      <c r="L63" s="237">
        <f t="shared" si="10"/>
        <v>77838000</v>
      </c>
      <c r="M63" s="239">
        <f>+IF(ISNUMBER(G63/K63-1),G63/K63-1,"…")</f>
        <v>0.5698243045387994</v>
      </c>
      <c r="N63" s="188">
        <f>+INDEX('2019'!$1:$1048576,MATCH('Analitika - 2019'!$A63,'2019'!$A:$A,0),MATCH('Analitika - 2019'!$N$6,'2019'!$6:$6,0))</f>
        <v>67815000</v>
      </c>
      <c r="O63" s="188">
        <f>+INDEX('2019'!$1:$1048576,MATCH(CONCATENATE('Analitika - 2019'!$A63,"p"),'2019'!$A:$A,0),MATCH('Analitika - 2019'!$O$6,'2019'!$101:$101,0))</f>
        <v>95000000</v>
      </c>
      <c r="P63" s="237">
        <f t="shared" si="11"/>
        <v>-27185000</v>
      </c>
      <c r="Q63" s="238">
        <f t="shared" si="12"/>
        <v>-0.28615789473684206</v>
      </c>
      <c r="R63" s="188">
        <f>+INDEX('2018'!$1:$1048576,MATCH('Analitika - 2019'!$A63,'2018'!$A:$A,0),MATCH('Analitika - 2019'!$R$6,'2018'!$6:$6,0))</f>
        <v>0</v>
      </c>
      <c r="S63" s="237">
        <f t="shared" si="13"/>
        <v>67815000</v>
      </c>
      <c r="T63" s="239" t="str">
        <f t="shared" si="14"/>
        <v>…</v>
      </c>
    </row>
    <row r="64" spans="1:23">
      <c r="A64" s="169">
        <v>7512</v>
      </c>
      <c r="B64" s="452" t="str">
        <f>+VLOOKUP($A64,Master!$D$27:$G$225,4,FALSE)</f>
        <v>Pozajmice i krediti od inostranih izvora</v>
      </c>
      <c r="C64" s="453"/>
      <c r="D64" s="453"/>
      <c r="E64" s="453"/>
      <c r="F64" s="453"/>
      <c r="G64" s="188">
        <f>+SUMPRODUCT(('2019'!$G64:$R64)*('2019'!$G$5:$R$5&lt;=Master!$B$3)*($A64='2019'!$A$10:$A$66))</f>
        <v>57981008.280000001</v>
      </c>
      <c r="H64" s="188">
        <f>+SUMPRODUCT(('2019'!$G159:$R159)*('2019'!$G$5:$R$5&lt;=Master!$B$3))</f>
        <v>68422181.24000001</v>
      </c>
      <c r="I64" s="237">
        <f t="shared" si="9"/>
        <v>-10441172.960000008</v>
      </c>
      <c r="J64" s="238">
        <f>+IF(ISNUMBER(G64/H64-1),G64/H64-1,"…")</f>
        <v>-0.15259924151462212</v>
      </c>
      <c r="K64" s="188">
        <f>+SUMPRODUCT(('2018'!$G64:$R64)*('2018'!$G$5:$R$5&lt;=Master!$B$3))</f>
        <v>507608393.98000002</v>
      </c>
      <c r="L64" s="237">
        <f t="shared" si="10"/>
        <v>-449627385.70000005</v>
      </c>
      <c r="M64" s="239" t="s">
        <v>774</v>
      </c>
      <c r="N64" s="188">
        <f>+INDEX('2019'!$1:$1048576,MATCH('Analitika - 2019'!$A64,'2019'!$A:$A,0),MATCH('Analitika - 2019'!$N$6,'2019'!$6:$6,0))</f>
        <v>7856343.8600000003</v>
      </c>
      <c r="O64" s="188">
        <f>+INDEX('2019'!$1:$1048576,MATCH(CONCATENATE('Analitika - 2019'!$A64,"p"),'2019'!$A:$A,0),MATCH('Analitika - 2019'!$O$6,'2019'!$101:$101,0))</f>
        <v>17000000</v>
      </c>
      <c r="P64" s="237">
        <f t="shared" si="11"/>
        <v>-9143656.1400000006</v>
      </c>
      <c r="Q64" s="238">
        <f t="shared" si="12"/>
        <v>-0.53786212588235294</v>
      </c>
      <c r="R64" s="188">
        <f>+INDEX('2018'!$1:$1048576,MATCH('Analitika - 2019'!$A64,'2018'!$A:$A,0),MATCH('Analitika - 2019'!$R$6,'2018'!$6:$6,0))</f>
        <v>7673073.0999999996</v>
      </c>
      <c r="S64" s="237">
        <f t="shared" si="13"/>
        <v>183270.76000000071</v>
      </c>
      <c r="T64" s="239" t="s">
        <v>774</v>
      </c>
    </row>
    <row r="65" spans="1:20">
      <c r="A65" s="169">
        <v>72</v>
      </c>
      <c r="B65" s="452" t="str">
        <f>+VLOOKUP($A65,Master!$D$27:$G$225,4,FALSE)</f>
        <v>Primici od prodaje imovine</v>
      </c>
      <c r="C65" s="453"/>
      <c r="D65" s="453"/>
      <c r="E65" s="453"/>
      <c r="F65" s="453"/>
      <c r="G65" s="188">
        <f>+SUMPRODUCT(('2019'!$G65:$R65)*('2019'!$G$5:$R$5&lt;=Master!$B$3)*($A65='2019'!$A$10:$A$66))</f>
        <v>777954.52999999991</v>
      </c>
      <c r="H65" s="188">
        <f>+SUMPRODUCT(('2019'!$G160:$R160)*('2019'!$G$5:$R$5&lt;=Master!$B$3))</f>
        <v>2500000</v>
      </c>
      <c r="I65" s="237">
        <f t="shared" si="9"/>
        <v>-1722045.4700000002</v>
      </c>
      <c r="J65" s="238">
        <f>+IF(ISNUMBER(G65/H65-1),G65/H65-1,"…")</f>
        <v>-0.68881818800000005</v>
      </c>
      <c r="K65" s="188">
        <f>+SUMPRODUCT(('2018'!$G65:$R65)*('2018'!$G$5:$R$5&lt;=Master!$B$3))</f>
        <v>3077093.3200000003</v>
      </c>
      <c r="L65" s="237">
        <f t="shared" si="10"/>
        <v>-2299138.7900000005</v>
      </c>
      <c r="M65" s="239">
        <f>+IF(ISNUMBER(G65/K65-1),G65/K65-1,"…")</f>
        <v>-0.74717876609605072</v>
      </c>
      <c r="N65" s="188">
        <f>+INDEX('2019'!$1:$1048576,MATCH('Analitika - 2019'!$A65,'2019'!$A:$A,0),MATCH('Analitika - 2019'!$N$6,'2019'!$6:$6,0))</f>
        <v>223780.48000000001</v>
      </c>
      <c r="O65" s="188">
        <f>+INDEX('2019'!$1:$1048576,MATCH(CONCATENATE('Analitika - 2019'!$A65,"p"),'2019'!$A:$A,0),MATCH('Analitika - 2019'!$O$6,'2019'!$101:$101,0))</f>
        <v>500000</v>
      </c>
      <c r="P65" s="237">
        <f t="shared" si="11"/>
        <v>-276219.52000000002</v>
      </c>
      <c r="Q65" s="238">
        <f t="shared" si="12"/>
        <v>-0.55243903999999999</v>
      </c>
      <c r="R65" s="188">
        <f>+INDEX('2018'!$1:$1048576,MATCH('Analitika - 2019'!$A65,'2018'!$A:$A,0),MATCH('Analitika - 2019'!$R$6,'2018'!$6:$6,0))</f>
        <v>215845.16</v>
      </c>
      <c r="S65" s="237">
        <f t="shared" si="13"/>
        <v>7935.320000000007</v>
      </c>
      <c r="T65" s="239">
        <f t="shared" si="14"/>
        <v>3.6763946896006372E-2</v>
      </c>
    </row>
    <row r="66" spans="1:20" ht="15.7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394">
        <f>+SUMPRODUCT(('2019'!$G66:$R66)*('2019'!$G$5:$R$5&lt;=Master!$B$3)*($A66='2019'!$A$10:$A$66))</f>
        <v>-42272923.279999882</v>
      </c>
      <c r="H66" s="394">
        <f>+SUMPRODUCT(('2019'!$G161:$R161)*('2019'!$G$5:$R$5&lt;=Master!$B$3))</f>
        <v>207971634.33511016</v>
      </c>
      <c r="I66" s="251">
        <f t="shared" si="9"/>
        <v>-250244557.61511004</v>
      </c>
      <c r="J66" s="252">
        <f>+IF(ISNUMBER(G66/H66-1),G66/H66-1,"…")</f>
        <v>-1.2032629277312137</v>
      </c>
      <c r="K66" s="394">
        <f>+SUMPRODUCT(('2018'!$G66:$R66)*('2018'!$G$5:$R$5&lt;=Master!$B$3))</f>
        <v>-11085882.609999999</v>
      </c>
      <c r="L66" s="251">
        <f t="shared" si="10"/>
        <v>-31187040.669999883</v>
      </c>
      <c r="M66" s="252" t="s">
        <v>774</v>
      </c>
      <c r="N66" s="394">
        <f>+INDEX('2019'!$1:$1048576,MATCH('Analitika - 2019'!$A66,'2019'!$A:$A,0),MATCH('Analitika - 2019'!$N$6,'2019'!$6:$6,0))</f>
        <v>-69082017.039999992</v>
      </c>
      <c r="O66" s="394">
        <f>+INDEX('2019'!$1:$1048576,MATCH(CONCATENATE('Analitika - 2019'!$A66,"p"),'2019'!$A:$A,0),MATCH('Analitika - 2019'!$O$6,'2019'!$101:$101,0))</f>
        <v>91852275.287300795</v>
      </c>
      <c r="P66" s="251">
        <f t="shared" si="11"/>
        <v>-160934292.32730079</v>
      </c>
      <c r="Q66" s="252">
        <f t="shared" si="12"/>
        <v>-1.7520991377069464</v>
      </c>
      <c r="R66" s="394">
        <f>+INDEX('2018'!$1:$1048576,MATCH('Analitika - 2019'!$A66,'2018'!$A:$A,0),MATCH('Analitika - 2019'!$R$6,'2018'!$6:$6,0))</f>
        <v>78731298.080000028</v>
      </c>
      <c r="S66" s="251">
        <f t="shared" si="13"/>
        <v>-147813315.12</v>
      </c>
      <c r="T66" s="253">
        <f t="shared" si="14"/>
        <v>-1.8774403410674716</v>
      </c>
    </row>
    <row r="68" spans="1:20">
      <c r="H68" s="391"/>
    </row>
    <row r="69" spans="1:20">
      <c r="H69" s="364"/>
    </row>
    <row r="71" spans="1:20">
      <c r="R71" s="443"/>
    </row>
  </sheetData>
  <mergeCells count="63">
    <mergeCell ref="B64:F64"/>
    <mergeCell ref="B65:F65"/>
    <mergeCell ref="B57:F57"/>
    <mergeCell ref="B58:F58"/>
    <mergeCell ref="B59:F59"/>
    <mergeCell ref="B61:F61"/>
    <mergeCell ref="B62:F62"/>
    <mergeCell ref="B63:F63"/>
    <mergeCell ref="B60:F60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5" activePane="bottomLeft" state="frozen"/>
      <selection pane="bottomLeft" activeCell="K17" sqref="K17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6.8554687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779</v>
      </c>
      <c r="H6" s="259" t="s">
        <v>780</v>
      </c>
      <c r="I6" s="259" t="s">
        <v>781</v>
      </c>
      <c r="J6" s="259" t="s">
        <v>782</v>
      </c>
      <c r="K6" s="259" t="s">
        <v>783</v>
      </c>
      <c r="L6" s="259" t="s">
        <v>784</v>
      </c>
      <c r="M6" s="259" t="s">
        <v>785</v>
      </c>
      <c r="N6" s="259" t="s">
        <v>786</v>
      </c>
      <c r="O6" s="259" t="s">
        <v>787</v>
      </c>
      <c r="P6" s="259" t="s">
        <v>788</v>
      </c>
      <c r="Q6" s="259" t="s">
        <v>789</v>
      </c>
      <c r="R6" s="259" t="s">
        <v>790</v>
      </c>
      <c r="S6" s="258"/>
      <c r="T6" s="258"/>
    </row>
    <row r="7" spans="1:20" ht="15" customHeight="1" thickBot="1">
      <c r="A7" s="169"/>
      <c r="B7" s="555" t="str">
        <f>+Master!G251</f>
        <v>Ostvarenje budžeta</v>
      </c>
      <c r="C7" s="455"/>
      <c r="D7" s="455"/>
      <c r="E7" s="455"/>
      <c r="F7" s="455"/>
      <c r="G7" s="463">
        <v>2019</v>
      </c>
      <c r="H7" s="464"/>
      <c r="I7" s="464"/>
      <c r="J7" s="464"/>
      <c r="K7" s="464"/>
      <c r="L7" s="464"/>
      <c r="M7" s="464"/>
      <c r="N7" s="464"/>
      <c r="O7" s="464"/>
      <c r="P7" s="464"/>
      <c r="Q7" s="464"/>
      <c r="R7" s="467"/>
      <c r="S7" s="260" t="str">
        <f>+Master!G248</f>
        <v>BDP</v>
      </c>
      <c r="T7" s="261">
        <v>4788600000</v>
      </c>
    </row>
    <row r="8" spans="1:20" ht="16.5" customHeight="1">
      <c r="A8" s="169"/>
      <c r="B8" s="456"/>
      <c r="C8" s="457"/>
      <c r="D8" s="457"/>
      <c r="E8" s="457"/>
      <c r="F8" s="458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3" t="str">
        <f>+Master!G245</f>
        <v>Jan - Maj</v>
      </c>
      <c r="T8" s="467"/>
    </row>
    <row r="9" spans="1:20" ht="13.5" thickBot="1">
      <c r="A9" s="169"/>
      <c r="B9" s="459"/>
      <c r="C9" s="460"/>
      <c r="D9" s="460"/>
      <c r="E9" s="460"/>
      <c r="F9" s="461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96" t="str">
        <f>+VLOOKUP($A10,Master!$D$27:$G$225,4,FALSE)</f>
        <v>Prihodi budžeta</v>
      </c>
      <c r="C10" s="497"/>
      <c r="D10" s="497"/>
      <c r="E10" s="497"/>
      <c r="F10" s="497"/>
      <c r="G10" s="176">
        <f t="shared" ref="G10:R10" si="1">+G11+G19+SUM(G24:G28)</f>
        <v>107257935.59</v>
      </c>
      <c r="H10" s="176">
        <f t="shared" si="1"/>
        <v>116544625.94999999</v>
      </c>
      <c r="I10" s="176">
        <f t="shared" si="1"/>
        <v>147544680.63</v>
      </c>
      <c r="J10" s="176">
        <f>+J11+J19+SUM(J24:J28)</f>
        <v>165045416.32999998</v>
      </c>
      <c r="K10" s="176">
        <f t="shared" si="1"/>
        <v>144137664.75999999</v>
      </c>
      <c r="L10" s="176">
        <f t="shared" si="1"/>
        <v>0</v>
      </c>
      <c r="M10" s="176">
        <f t="shared" si="1"/>
        <v>0</v>
      </c>
      <c r="N10" s="176">
        <f t="shared" si="1"/>
        <v>0</v>
      </c>
      <c r="O10" s="176">
        <f t="shared" si="1"/>
        <v>0</v>
      </c>
      <c r="P10" s="176">
        <f t="shared" si="1"/>
        <v>0</v>
      </c>
      <c r="Q10" s="176">
        <f t="shared" si="1"/>
        <v>0</v>
      </c>
      <c r="R10" s="176">
        <f t="shared" si="1"/>
        <v>0</v>
      </c>
      <c r="S10" s="264">
        <f>+SUM(G10:R10)</f>
        <v>680530323.25999999</v>
      </c>
      <c r="T10" s="265">
        <f>+S10/$T$7</f>
        <v>0.14211467302760722</v>
      </c>
    </row>
    <row r="11" spans="1:20">
      <c r="A11" s="175">
        <v>711</v>
      </c>
      <c r="B11" s="498" t="str">
        <f>+VLOOKUP($A11,Master!$D$27:$G$225,4,FALSE)</f>
        <v>Porezi</v>
      </c>
      <c r="C11" s="499"/>
      <c r="D11" s="499"/>
      <c r="E11" s="499"/>
      <c r="F11" s="499"/>
      <c r="G11" s="182">
        <f t="shared" ref="G11:R11" si="2">+SUM(G12:G18)</f>
        <v>72429730.420000002</v>
      </c>
      <c r="H11" s="182">
        <f t="shared" si="2"/>
        <v>68470908.439999998</v>
      </c>
      <c r="I11" s="182">
        <f t="shared" si="2"/>
        <v>98709545.510000005</v>
      </c>
      <c r="J11" s="182">
        <f t="shared" si="2"/>
        <v>106791818.52</v>
      </c>
      <c r="K11" s="182">
        <f t="shared" si="2"/>
        <v>94372185.030000001</v>
      </c>
      <c r="L11" s="182">
        <f t="shared" si="2"/>
        <v>0</v>
      </c>
      <c r="M11" s="182">
        <f t="shared" si="2"/>
        <v>0</v>
      </c>
      <c r="N11" s="182">
        <f t="shared" si="2"/>
        <v>0</v>
      </c>
      <c r="O11" s="182">
        <f t="shared" si="2"/>
        <v>0</v>
      </c>
      <c r="P11" s="182">
        <f t="shared" si="2"/>
        <v>0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440774187.91999996</v>
      </c>
      <c r="T11" s="268">
        <f t="shared" ref="T11:T66" si="4">+S11/$T$7</f>
        <v>9.2046566411894903E-2</v>
      </c>
    </row>
    <row r="12" spans="1:20">
      <c r="A12" s="175">
        <v>7111</v>
      </c>
      <c r="B12" s="484" t="str">
        <f>+VLOOKUP($A12,Master!$D$27:$G$225,4,FALSE)</f>
        <v>Porez na dohodak fizičkih lica</v>
      </c>
      <c r="C12" s="485"/>
      <c r="D12" s="485"/>
      <c r="E12" s="485"/>
      <c r="F12" s="485"/>
      <c r="G12" s="188">
        <f>+INDEX(DataEx!$1:$1048576,MATCH('2019'!$A12,DataEx!$D:$D,0),MATCH('2019'!G$6,DataEx!$7:$7,0))</f>
        <v>4240913.8099999996</v>
      </c>
      <c r="H12" s="188">
        <f>+INDEX(DataEx!$1:$1048576,MATCH('2019'!$A12,DataEx!$D:$D,0),MATCH('2019'!H$6,DataEx!$7:$7,0))</f>
        <v>9361661.1500000004</v>
      </c>
      <c r="I12" s="188">
        <f>+INDEX(DataEx!$1:$1048576,MATCH('2019'!$A12,DataEx!$D:$D,0),MATCH('2019'!I$6,DataEx!$7:$7,0))</f>
        <v>9044961.5800000001</v>
      </c>
      <c r="J12" s="188">
        <f>+INDEX(DataEx!$1:$1048576,MATCH('2019'!$A12,DataEx!$D:$D,0),MATCH('2019'!J$6,DataEx!$7:$7,0))</f>
        <v>10767101.800000001</v>
      </c>
      <c r="K12" s="188">
        <f>+INDEX(DataEx!$1:$1048576,MATCH('2019'!$A12,DataEx!$D:$D,0),MATCH('2019'!K$6,DataEx!$7:$7,0))</f>
        <v>10210712.41</v>
      </c>
      <c r="L12" s="188">
        <f>+INDEX(DataEx!$1:$1048576,MATCH('2019'!$A12,DataEx!$D:$D,0),MATCH('2019'!L$6,DataEx!$7:$7,0))</f>
        <v>0</v>
      </c>
      <c r="M12" s="188">
        <f>+INDEX(DataEx!$1:$1048576,MATCH('2019'!$A12,DataEx!$D:$D,0),MATCH('2019'!M$6,DataEx!$7:$7,0))</f>
        <v>0</v>
      </c>
      <c r="N12" s="188">
        <f>+INDEX(DataEx!$1:$1048576,MATCH('2019'!$A12,DataEx!$D:$D,0),MATCH('2019'!N$6,DataEx!$7:$7,0))</f>
        <v>0</v>
      </c>
      <c r="O12" s="188">
        <f>+INDEX(DataEx!$1:$1048576,MATCH('2019'!$A12,DataEx!$D:$D,0),MATCH('2019'!O$6,DataEx!$7:$7,0))</f>
        <v>0</v>
      </c>
      <c r="P12" s="188">
        <f>+INDEX(DataEx!$1:$1048576,MATCH('2019'!$A12,DataEx!$D:$D,0),MATCH('2019'!P$6,DataEx!$7:$7,0))</f>
        <v>0</v>
      </c>
      <c r="Q12" s="188">
        <f>+INDEX(DataEx!$1:$1048576,MATCH('2019'!$A12,DataEx!$D:$D,0),MATCH('2019'!Q$6,DataEx!$7:$7,0))</f>
        <v>0</v>
      </c>
      <c r="R12" s="188">
        <f>+INDEX(DataEx!$1:$1048576,MATCH('2019'!$A12,DataEx!$D:$D,0),MATCH('2019'!R$6,DataEx!$7:$7,0))</f>
        <v>0</v>
      </c>
      <c r="S12" s="269">
        <f t="shared" si="3"/>
        <v>43625350.75</v>
      </c>
      <c r="T12" s="270">
        <f t="shared" si="4"/>
        <v>9.110251587102703E-3</v>
      </c>
    </row>
    <row r="13" spans="1:20">
      <c r="A13" s="175">
        <v>7112</v>
      </c>
      <c r="B13" s="484" t="str">
        <f>+VLOOKUP($A13,Master!$D$27:$G$225,4,FALSE)</f>
        <v>Porez na dobit pravnih lica</v>
      </c>
      <c r="C13" s="485"/>
      <c r="D13" s="485"/>
      <c r="E13" s="485"/>
      <c r="F13" s="485"/>
      <c r="G13" s="188">
        <f>+INDEX(DataEx!$1:$1048576,MATCH('2019'!$A13,DataEx!$D:$D,0),MATCH('2019'!G$6,DataEx!$7:$7,0))</f>
        <v>936843.13</v>
      </c>
      <c r="H13" s="188">
        <f>+INDEX(DataEx!$1:$1048576,MATCH('2019'!$A13,DataEx!$D:$D,0),MATCH('2019'!H$6,DataEx!$7:$7,0))</f>
        <v>1962550.32</v>
      </c>
      <c r="I13" s="188">
        <f>+INDEX(DataEx!$1:$1048576,MATCH('2019'!$A13,DataEx!$D:$D,0),MATCH('2019'!I$6,DataEx!$7:$7,0))</f>
        <v>22465664.23</v>
      </c>
      <c r="J13" s="188">
        <f>+INDEX(DataEx!$1:$1048576,MATCH('2019'!$A13,DataEx!$D:$D,0),MATCH('2019'!J$6,DataEx!$7:$7,0))</f>
        <v>20408432.98</v>
      </c>
      <c r="K13" s="188">
        <f>+INDEX(DataEx!$1:$1048576,MATCH('2019'!$A13,DataEx!$D:$D,0),MATCH('2019'!K$6,DataEx!$7:$7,0))</f>
        <v>4781744.7</v>
      </c>
      <c r="L13" s="188">
        <f>+INDEX(DataEx!$1:$1048576,MATCH('2019'!$A13,DataEx!$D:$D,0),MATCH('2019'!L$6,DataEx!$7:$7,0))</f>
        <v>0</v>
      </c>
      <c r="M13" s="188">
        <f>+INDEX(DataEx!$1:$1048576,MATCH('2019'!$A13,DataEx!$D:$D,0),MATCH('2019'!M$6,DataEx!$7:$7,0))</f>
        <v>0</v>
      </c>
      <c r="N13" s="188">
        <f>+INDEX(DataEx!$1:$1048576,MATCH('2019'!$A13,DataEx!$D:$D,0),MATCH('2019'!N$6,DataEx!$7:$7,0))</f>
        <v>0</v>
      </c>
      <c r="O13" s="188">
        <f>+INDEX(DataEx!$1:$1048576,MATCH('2019'!$A13,DataEx!$D:$D,0),MATCH('2019'!O$6,DataEx!$7:$7,0))</f>
        <v>0</v>
      </c>
      <c r="P13" s="188">
        <f>+INDEX(DataEx!$1:$1048576,MATCH('2019'!$A13,DataEx!$D:$D,0),MATCH('2019'!P$6,DataEx!$7:$7,0))</f>
        <v>0</v>
      </c>
      <c r="Q13" s="188">
        <f>+INDEX(DataEx!$1:$1048576,MATCH('2019'!$A13,DataEx!$D:$D,0),MATCH('2019'!Q$6,DataEx!$7:$7,0))</f>
        <v>0</v>
      </c>
      <c r="R13" s="188">
        <f>+INDEX(DataEx!$1:$1048576,MATCH('2019'!$A13,DataEx!$D:$D,0),MATCH('2019'!R$6,DataEx!$7:$7,0))</f>
        <v>0</v>
      </c>
      <c r="S13" s="269">
        <f t="shared" si="3"/>
        <v>50555235.359999999</v>
      </c>
      <c r="T13" s="270">
        <f t="shared" si="4"/>
        <v>1.0557414559579001E-2</v>
      </c>
    </row>
    <row r="14" spans="1:20">
      <c r="A14" s="175">
        <v>7113</v>
      </c>
      <c r="B14" s="484" t="str">
        <f>+VLOOKUP($A14,Master!$D$27:$G$225,4,FALSE)</f>
        <v>Porez na promet nepokretnosti</v>
      </c>
      <c r="C14" s="485"/>
      <c r="D14" s="485"/>
      <c r="E14" s="485"/>
      <c r="F14" s="485"/>
      <c r="G14" s="188">
        <f>+INDEX(DataEx!$1:$1048576,MATCH('2019'!$A14,DataEx!$D:$D,0),MATCH('2019'!G$6,DataEx!$7:$7,0))</f>
        <v>118243.45</v>
      </c>
      <c r="H14" s="188">
        <f>+INDEX(DataEx!$1:$1048576,MATCH('2019'!$A14,DataEx!$D:$D,0),MATCH('2019'!H$6,DataEx!$7:$7,0))</f>
        <v>169568.16</v>
      </c>
      <c r="I14" s="188">
        <f>+INDEX(DataEx!$1:$1048576,MATCH('2019'!$A14,DataEx!$D:$D,0),MATCH('2019'!I$6,DataEx!$7:$7,0))</f>
        <v>146352.49</v>
      </c>
      <c r="J14" s="188">
        <f>+INDEX(DataEx!$1:$1048576,MATCH('2019'!$A14,DataEx!$D:$D,0),MATCH('2019'!J$6,DataEx!$7:$7,0))</f>
        <v>204359.36</v>
      </c>
      <c r="K14" s="188">
        <f>+INDEX(DataEx!$1:$1048576,MATCH('2019'!$A14,DataEx!$D:$D,0),MATCH('2019'!K$6,DataEx!$7:$7,0))</f>
        <v>147510.5</v>
      </c>
      <c r="L14" s="188">
        <f>+INDEX(DataEx!$1:$1048576,MATCH('2019'!$A14,DataEx!$D:$D,0),MATCH('2019'!L$6,DataEx!$7:$7,0))</f>
        <v>0</v>
      </c>
      <c r="M14" s="188">
        <f>+INDEX(DataEx!$1:$1048576,MATCH('2019'!$A14,DataEx!$D:$D,0),MATCH('2019'!M$6,DataEx!$7:$7,0))</f>
        <v>0</v>
      </c>
      <c r="N14" s="188">
        <f>+INDEX(DataEx!$1:$1048576,MATCH('2019'!$A14,DataEx!$D:$D,0),MATCH('2019'!N$6,DataEx!$7:$7,0))</f>
        <v>0</v>
      </c>
      <c r="O14" s="188">
        <f>+INDEX(DataEx!$1:$1048576,MATCH('2019'!$A14,DataEx!$D:$D,0),MATCH('2019'!O$6,DataEx!$7:$7,0))</f>
        <v>0</v>
      </c>
      <c r="P14" s="188">
        <f>+INDEX(DataEx!$1:$1048576,MATCH('2019'!$A14,DataEx!$D:$D,0),MATCH('2019'!P$6,DataEx!$7:$7,0))</f>
        <v>0</v>
      </c>
      <c r="Q14" s="188">
        <f>+INDEX(DataEx!$1:$1048576,MATCH('2019'!$A14,DataEx!$D:$D,0),MATCH('2019'!Q$6,DataEx!$7:$7,0))</f>
        <v>0</v>
      </c>
      <c r="R14" s="188">
        <f>+INDEX(DataEx!$1:$1048576,MATCH('2019'!$A14,DataEx!$D:$D,0),MATCH('2019'!R$6,DataEx!$7:$7,0))</f>
        <v>0</v>
      </c>
      <c r="S14" s="269">
        <f t="shared" si="3"/>
        <v>786033.96</v>
      </c>
      <c r="T14" s="270">
        <f t="shared" si="4"/>
        <v>1.6414692394436787E-4</v>
      </c>
    </row>
    <row r="15" spans="1:20">
      <c r="A15" s="175">
        <v>7114</v>
      </c>
      <c r="B15" s="484" t="str">
        <f>+VLOOKUP($A15,Master!$D$27:$G$225,4,FALSE)</f>
        <v>Porez na dodatu vrijednost</v>
      </c>
      <c r="C15" s="485"/>
      <c r="D15" s="485"/>
      <c r="E15" s="485"/>
      <c r="F15" s="485"/>
      <c r="G15" s="188">
        <f>+INDEX(DataEx!$1:$1048576,MATCH('2019'!$A15,DataEx!$D:$D,0),MATCH('2019'!G$6,DataEx!$7:$7,0))</f>
        <v>49847223.18</v>
      </c>
      <c r="H15" s="188">
        <f>+INDEX(DataEx!$1:$1048576,MATCH('2019'!$A15,DataEx!$D:$D,0),MATCH('2019'!H$6,DataEx!$7:$7,0))</f>
        <v>38958365.399999999</v>
      </c>
      <c r="I15" s="188">
        <f>+INDEX(DataEx!$1:$1048576,MATCH('2019'!$A15,DataEx!$D:$D,0),MATCH('2019'!I$6,DataEx!$7:$7,0))</f>
        <v>50498218.18</v>
      </c>
      <c r="J15" s="188">
        <f>+INDEX(DataEx!$1:$1048576,MATCH('2019'!$A15,DataEx!$D:$D,0),MATCH('2019'!J$6,DataEx!$7:$7,0))</f>
        <v>55142838.460000001</v>
      </c>
      <c r="K15" s="188">
        <f>+INDEX(DataEx!$1:$1048576,MATCH('2019'!$A15,DataEx!$D:$D,0),MATCH('2019'!K$6,DataEx!$7:$7,0))</f>
        <v>56428341.859999999</v>
      </c>
      <c r="L15" s="188">
        <f>+INDEX(DataEx!$1:$1048576,MATCH('2019'!$A15,DataEx!$D:$D,0),MATCH('2019'!L$6,DataEx!$7:$7,0))</f>
        <v>0</v>
      </c>
      <c r="M15" s="188">
        <f>+INDEX(DataEx!$1:$1048576,MATCH('2019'!$A15,DataEx!$D:$D,0),MATCH('2019'!M$6,DataEx!$7:$7,0))</f>
        <v>0</v>
      </c>
      <c r="N15" s="188">
        <f>+INDEX(DataEx!$1:$1048576,MATCH('2019'!$A15,DataEx!$D:$D,0),MATCH('2019'!N$6,DataEx!$7:$7,0))</f>
        <v>0</v>
      </c>
      <c r="O15" s="188">
        <f>+INDEX(DataEx!$1:$1048576,MATCH('2019'!$A15,DataEx!$D:$D,0),MATCH('2019'!O$6,DataEx!$7:$7,0))</f>
        <v>0</v>
      </c>
      <c r="P15" s="188">
        <f>+INDEX(DataEx!$1:$1048576,MATCH('2019'!$A15,DataEx!$D:$D,0),MATCH('2019'!P$6,DataEx!$7:$7,0))</f>
        <v>0</v>
      </c>
      <c r="Q15" s="188">
        <f>+INDEX(DataEx!$1:$1048576,MATCH('2019'!$A15,DataEx!$D:$D,0),MATCH('2019'!Q$6,DataEx!$7:$7,0))</f>
        <v>0</v>
      </c>
      <c r="R15" s="188">
        <f>+INDEX(DataEx!$1:$1048576,MATCH('2019'!$A15,DataEx!$D:$D,0),MATCH('2019'!R$6,DataEx!$7:$7,0))</f>
        <v>0</v>
      </c>
      <c r="S15" s="269">
        <f t="shared" si="3"/>
        <v>250874987.07999998</v>
      </c>
      <c r="T15" s="270">
        <f t="shared" si="4"/>
        <v>5.2390048673933924E-2</v>
      </c>
    </row>
    <row r="16" spans="1:20">
      <c r="A16" s="175">
        <v>7115</v>
      </c>
      <c r="B16" s="484" t="str">
        <f>+VLOOKUP($A16,Master!$D$27:$G$225,4,FALSE)</f>
        <v>Akcize</v>
      </c>
      <c r="C16" s="485"/>
      <c r="D16" s="485"/>
      <c r="E16" s="485"/>
      <c r="F16" s="485"/>
      <c r="G16" s="188">
        <f>+INDEX(DataEx!$1:$1048576,MATCH('2019'!$A16,DataEx!$D:$D,0),MATCH('2019'!G$6,DataEx!$7:$7,0))</f>
        <v>15141217.210000001</v>
      </c>
      <c r="H16" s="188">
        <f>+INDEX(DataEx!$1:$1048576,MATCH('2019'!$A16,DataEx!$D:$D,0),MATCH('2019'!H$6,DataEx!$7:$7,0))</f>
        <v>13186126.23</v>
      </c>
      <c r="I16" s="188">
        <f>+INDEX(DataEx!$1:$1048576,MATCH('2019'!$A16,DataEx!$D:$D,0),MATCH('2019'!I$6,DataEx!$7:$7,0))</f>
        <v>13315087.640000001</v>
      </c>
      <c r="J16" s="188">
        <f>+INDEX(DataEx!$1:$1048576,MATCH('2019'!$A16,DataEx!$D:$D,0),MATCH('2019'!J$6,DataEx!$7:$7,0))</f>
        <v>16826313.73</v>
      </c>
      <c r="K16" s="188">
        <f>+INDEX(DataEx!$1:$1048576,MATCH('2019'!$A16,DataEx!$D:$D,0),MATCH('2019'!K$6,DataEx!$7:$7,0))</f>
        <v>19442485.359999999</v>
      </c>
      <c r="L16" s="188">
        <f>+INDEX(DataEx!$1:$1048576,MATCH('2019'!$A16,DataEx!$D:$D,0),MATCH('2019'!L$6,DataEx!$7:$7,0))</f>
        <v>0</v>
      </c>
      <c r="M16" s="188">
        <f>+INDEX(DataEx!$1:$1048576,MATCH('2019'!$A16,DataEx!$D:$D,0),MATCH('2019'!M$6,DataEx!$7:$7,0))</f>
        <v>0</v>
      </c>
      <c r="N16" s="188">
        <f>+INDEX(DataEx!$1:$1048576,MATCH('2019'!$A16,DataEx!$D:$D,0),MATCH('2019'!N$6,DataEx!$7:$7,0))</f>
        <v>0</v>
      </c>
      <c r="O16" s="188">
        <f>+INDEX(DataEx!$1:$1048576,MATCH('2019'!$A16,DataEx!$D:$D,0),MATCH('2019'!O$6,DataEx!$7:$7,0))</f>
        <v>0</v>
      </c>
      <c r="P16" s="188">
        <f>+INDEX(DataEx!$1:$1048576,MATCH('2019'!$A16,DataEx!$D:$D,0),MATCH('2019'!P$6,DataEx!$7:$7,0))</f>
        <v>0</v>
      </c>
      <c r="Q16" s="188">
        <f>+INDEX(DataEx!$1:$1048576,MATCH('2019'!$A16,DataEx!$D:$D,0),MATCH('2019'!Q$6,DataEx!$7:$7,0))</f>
        <v>0</v>
      </c>
      <c r="R16" s="188">
        <f>+INDEX(DataEx!$1:$1048576,MATCH('2019'!$A16,DataEx!$D:$D,0),MATCH('2019'!R$6,DataEx!$7:$7,0))</f>
        <v>0</v>
      </c>
      <c r="S16" s="269">
        <f t="shared" si="3"/>
        <v>77911230.170000002</v>
      </c>
      <c r="T16" s="270">
        <f t="shared" si="4"/>
        <v>1.6270147886647456E-2</v>
      </c>
    </row>
    <row r="17" spans="1:25">
      <c r="A17" s="175">
        <v>7116</v>
      </c>
      <c r="B17" s="484" t="str">
        <f>+VLOOKUP($A17,Master!$D$27:$G$225,4,FALSE)</f>
        <v>Porez na međunarodnu trgovinu i transakcije</v>
      </c>
      <c r="C17" s="485"/>
      <c r="D17" s="485"/>
      <c r="E17" s="485"/>
      <c r="F17" s="485"/>
      <c r="G17" s="188">
        <f>+INDEX(DataEx!$1:$1048576,MATCH('2019'!$A17,DataEx!$D:$D,0),MATCH('2019'!G$6,DataEx!$7:$7,0))</f>
        <v>1424968.68</v>
      </c>
      <c r="H17" s="188">
        <f>+INDEX(DataEx!$1:$1048576,MATCH('2019'!$A17,DataEx!$D:$D,0),MATCH('2019'!H$6,DataEx!$7:$7,0))</f>
        <v>1733788.33</v>
      </c>
      <c r="I17" s="188">
        <f>+INDEX(DataEx!$1:$1048576,MATCH('2019'!$A17,DataEx!$D:$D,0),MATCH('2019'!I$6,DataEx!$7:$7,0))</f>
        <v>2462209.73</v>
      </c>
      <c r="J17" s="188">
        <f>+INDEX(DataEx!$1:$1048576,MATCH('2019'!$A17,DataEx!$D:$D,0),MATCH('2019'!J$6,DataEx!$7:$7,0))</f>
        <v>2531899.16</v>
      </c>
      <c r="K17" s="188">
        <f>+INDEX(DataEx!$1:$1048576,MATCH('2019'!$A17,DataEx!$D:$D,0),MATCH('2019'!K$6,DataEx!$7:$7,0))</f>
        <v>2502520.2799999998</v>
      </c>
      <c r="L17" s="188">
        <f>+INDEX(DataEx!$1:$1048576,MATCH('2019'!$A17,DataEx!$D:$D,0),MATCH('2019'!L$6,DataEx!$7:$7,0))</f>
        <v>0</v>
      </c>
      <c r="M17" s="188">
        <f>+INDEX(DataEx!$1:$1048576,MATCH('2019'!$A17,DataEx!$D:$D,0),MATCH('2019'!M$6,DataEx!$7:$7,0))</f>
        <v>0</v>
      </c>
      <c r="N17" s="188">
        <f>+INDEX(DataEx!$1:$1048576,MATCH('2019'!$A17,DataEx!$D:$D,0),MATCH('2019'!N$6,DataEx!$7:$7,0))</f>
        <v>0</v>
      </c>
      <c r="O17" s="188">
        <f>+INDEX(DataEx!$1:$1048576,MATCH('2019'!$A17,DataEx!$D:$D,0),MATCH('2019'!O$6,DataEx!$7:$7,0))</f>
        <v>0</v>
      </c>
      <c r="P17" s="188">
        <f>+INDEX(DataEx!$1:$1048576,MATCH('2019'!$A17,DataEx!$D:$D,0),MATCH('2019'!P$6,DataEx!$7:$7,0))</f>
        <v>0</v>
      </c>
      <c r="Q17" s="188">
        <f>+INDEX(DataEx!$1:$1048576,MATCH('2019'!$A17,DataEx!$D:$D,0),MATCH('2019'!Q$6,DataEx!$7:$7,0))</f>
        <v>0</v>
      </c>
      <c r="R17" s="188">
        <f>+INDEX(DataEx!$1:$1048576,MATCH('2019'!$A17,DataEx!$D:$D,0),MATCH('2019'!R$6,DataEx!$7:$7,0))</f>
        <v>0</v>
      </c>
      <c r="S17" s="269">
        <f t="shared" si="3"/>
        <v>10655386.18</v>
      </c>
      <c r="T17" s="270">
        <f t="shared" si="4"/>
        <v>2.2251568683957731E-3</v>
      </c>
    </row>
    <row r="18" spans="1:25">
      <c r="A18" s="175">
        <v>7118</v>
      </c>
      <c r="B18" s="484" t="str">
        <f>+VLOOKUP($A18,Master!$D$27:$G$225,4,FALSE)</f>
        <v>Ostali državni porezi</v>
      </c>
      <c r="C18" s="485"/>
      <c r="D18" s="485"/>
      <c r="E18" s="485"/>
      <c r="F18" s="485"/>
      <c r="G18" s="188">
        <f>+INDEX(DataEx!$1:$1048576,MATCH('2019'!$A18,DataEx!$D:$D,0),MATCH('2019'!G$6,DataEx!$7:$7,0))</f>
        <v>720320.96</v>
      </c>
      <c r="H18" s="188">
        <f>+INDEX(DataEx!$1:$1048576,MATCH('2019'!$A18,DataEx!$D:$D,0),MATCH('2019'!H$6,DataEx!$7:$7,0))</f>
        <v>3098848.85</v>
      </c>
      <c r="I18" s="188">
        <f>+INDEX(DataEx!$1:$1048576,MATCH('2019'!$A18,DataEx!$D:$D,0),MATCH('2019'!I$6,DataEx!$7:$7,0))</f>
        <v>777051.66</v>
      </c>
      <c r="J18" s="188">
        <f>+INDEX(DataEx!$1:$1048576,MATCH('2019'!$A18,DataEx!$D:$D,0),MATCH('2019'!J$6,DataEx!$7:$7,0))</f>
        <v>910873.03</v>
      </c>
      <c r="K18" s="188">
        <f>+INDEX(DataEx!$1:$1048576,MATCH('2019'!$A18,DataEx!$D:$D,0),MATCH('2019'!K$6,DataEx!$7:$7,0))</f>
        <v>858869.92</v>
      </c>
      <c r="L18" s="188">
        <f>+INDEX(DataEx!$1:$1048576,MATCH('2019'!$A18,DataEx!$D:$D,0),MATCH('2019'!L$6,DataEx!$7:$7,0))</f>
        <v>0</v>
      </c>
      <c r="M18" s="188">
        <f>+INDEX(DataEx!$1:$1048576,MATCH('2019'!$A18,DataEx!$D:$D,0),MATCH('2019'!M$6,DataEx!$7:$7,0))</f>
        <v>0</v>
      </c>
      <c r="N18" s="188">
        <f>+INDEX(DataEx!$1:$1048576,MATCH('2019'!$A18,DataEx!$D:$D,0),MATCH('2019'!N$6,DataEx!$7:$7,0))</f>
        <v>0</v>
      </c>
      <c r="O18" s="188">
        <f>+INDEX(DataEx!$1:$1048576,MATCH('2019'!$A18,DataEx!$D:$D,0),MATCH('2019'!O$6,DataEx!$7:$7,0))</f>
        <v>0</v>
      </c>
      <c r="P18" s="188">
        <f>+INDEX(DataEx!$1:$1048576,MATCH('2019'!$A18,DataEx!$D:$D,0),MATCH('2019'!P$6,DataEx!$7:$7,0))</f>
        <v>0</v>
      </c>
      <c r="Q18" s="188">
        <f>+INDEX(DataEx!$1:$1048576,MATCH('2019'!$A18,DataEx!$D:$D,0),MATCH('2019'!Q$6,DataEx!$7:$7,0))</f>
        <v>0</v>
      </c>
      <c r="R18" s="188">
        <f>+INDEX(DataEx!$1:$1048576,MATCH('2019'!$A18,DataEx!$D:$D,0),MATCH('2019'!R$6,DataEx!$7:$7,0))</f>
        <v>0</v>
      </c>
      <c r="S18" s="269">
        <f t="shared" si="3"/>
        <v>6365964.4199999999</v>
      </c>
      <c r="T18" s="270">
        <f t="shared" si="4"/>
        <v>1.3293999122916927E-3</v>
      </c>
    </row>
    <row r="19" spans="1:25">
      <c r="A19" s="175">
        <v>712</v>
      </c>
      <c r="B19" s="494" t="str">
        <f>+VLOOKUP($A19,Master!$D$27:$G$225,4,FALSE)</f>
        <v>Doprinosi</v>
      </c>
      <c r="C19" s="495"/>
      <c r="D19" s="495"/>
      <c r="E19" s="495"/>
      <c r="F19" s="495"/>
      <c r="G19" s="194">
        <f>+INDEX(DataEx!$1:$1048576,MATCH('2019'!$A19,DataEx!$D:$D,0),MATCH('2019'!G$6,DataEx!$7:$7,0))</f>
        <v>16498881.48</v>
      </c>
      <c r="H19" s="194">
        <f>+INDEX(DataEx!$1:$1048576,MATCH('2019'!$A19,DataEx!$D:$D,0),MATCH('2019'!H$6,DataEx!$7:$7,0))</f>
        <v>41912269.380000003</v>
      </c>
      <c r="I19" s="194">
        <f>+INDEX(DataEx!$1:$1048576,MATCH('2019'!$A19,DataEx!$D:$D,0),MATCH('2019'!I$6,DataEx!$7:$7,0))</f>
        <v>41047599.18</v>
      </c>
      <c r="J19" s="194">
        <f>+INDEX(DataEx!$1:$1048576,MATCH('2019'!$A19,DataEx!$D:$D,0),MATCH('2019'!J$6,DataEx!$7:$7,0))</f>
        <v>50290988.939999998</v>
      </c>
      <c r="K19" s="194">
        <f>+INDEX(DataEx!$1:$1048576,MATCH('2019'!$A19,DataEx!$D:$D,0),MATCH('2019'!K$6,DataEx!$7:$7,0))</f>
        <v>37496285.130000003</v>
      </c>
      <c r="L19" s="194">
        <f>+INDEX(DataEx!$1:$1048576,MATCH('2019'!$A19,DataEx!$D:$D,0),MATCH('2019'!L$6,DataEx!$7:$7,0))</f>
        <v>0</v>
      </c>
      <c r="M19" s="194">
        <f>+INDEX(DataEx!$1:$1048576,MATCH('2019'!$A19,DataEx!$D:$D,0),MATCH('2019'!M$6,DataEx!$7:$7,0))</f>
        <v>0</v>
      </c>
      <c r="N19" s="194">
        <f>+INDEX(DataEx!$1:$1048576,MATCH('2019'!$A19,DataEx!$D:$D,0),MATCH('2019'!N$6,DataEx!$7:$7,0))</f>
        <v>0</v>
      </c>
      <c r="O19" s="194">
        <f>+INDEX(DataEx!$1:$1048576,MATCH('2019'!$A19,DataEx!$D:$D,0),MATCH('2019'!O$6,DataEx!$7:$7,0))</f>
        <v>0</v>
      </c>
      <c r="P19" s="194">
        <f>+INDEX(DataEx!$1:$1048576,MATCH('2019'!$A19,DataEx!$D:$D,0),MATCH('2019'!P$6,DataEx!$7:$7,0))</f>
        <v>0</v>
      </c>
      <c r="Q19" s="194">
        <f>+INDEX(DataEx!$1:$1048576,MATCH('2019'!$A19,DataEx!$D:$D,0),MATCH('2019'!Q$6,DataEx!$7:$7,0))</f>
        <v>0</v>
      </c>
      <c r="R19" s="194">
        <f>+INDEX(DataEx!$1:$1048576,MATCH('2019'!$A19,DataEx!$D:$D,0),MATCH('2019'!R$6,DataEx!$7:$7,0))</f>
        <v>0</v>
      </c>
      <c r="S19" s="272">
        <f t="shared" si="3"/>
        <v>187246024.10999998</v>
      </c>
      <c r="T19" s="273">
        <f t="shared" si="4"/>
        <v>3.9102456690890859E-2</v>
      </c>
    </row>
    <row r="20" spans="1:25">
      <c r="A20" s="175">
        <v>7121</v>
      </c>
      <c r="B20" s="484" t="str">
        <f>+VLOOKUP($A20,Master!$D$27:$G$225,4,FALSE)</f>
        <v>Doprinosi za penzijsko i invalidsko osiguranje</v>
      </c>
      <c r="C20" s="485"/>
      <c r="D20" s="485"/>
      <c r="E20" s="485"/>
      <c r="F20" s="485"/>
      <c r="G20" s="188">
        <f>+INDEX(DataEx!$1:$1048576,MATCH('2019'!$A20,DataEx!$D:$D,0),MATCH('2019'!G$6,DataEx!$7:$7,0))</f>
        <v>9695765.5800000001</v>
      </c>
      <c r="H20" s="188">
        <f>+INDEX(DataEx!$1:$1048576,MATCH('2019'!$A20,DataEx!$D:$D,0),MATCH('2019'!H$6,DataEx!$7:$7,0))</f>
        <v>24593790.260000002</v>
      </c>
      <c r="I20" s="188">
        <f>+INDEX(DataEx!$1:$1048576,MATCH('2019'!$A20,DataEx!$D:$D,0),MATCH('2019'!I$6,DataEx!$7:$7,0))</f>
        <v>23923752.719999999</v>
      </c>
      <c r="J20" s="188">
        <f>+INDEX(DataEx!$1:$1048576,MATCH('2019'!$A20,DataEx!$D:$D,0),MATCH('2019'!J$6,DataEx!$7:$7,0))</f>
        <v>29650595.870000001</v>
      </c>
      <c r="K20" s="188">
        <f>+INDEX(DataEx!$1:$1048576,MATCH('2019'!$A20,DataEx!$D:$D,0),MATCH('2019'!K$6,DataEx!$7:$7,0))</f>
        <v>22104934.850000001</v>
      </c>
      <c r="L20" s="188">
        <f>+INDEX(DataEx!$1:$1048576,MATCH('2019'!$A20,DataEx!$D:$D,0),MATCH('2019'!L$6,DataEx!$7:$7,0))</f>
        <v>0</v>
      </c>
      <c r="M20" s="188">
        <f>+INDEX(DataEx!$1:$1048576,MATCH('2019'!$A20,DataEx!$D:$D,0),MATCH('2019'!M$6,DataEx!$7:$7,0))</f>
        <v>0</v>
      </c>
      <c r="N20" s="188">
        <f>+INDEX(DataEx!$1:$1048576,MATCH('2019'!$A20,DataEx!$D:$D,0),MATCH('2019'!N$6,DataEx!$7:$7,0))</f>
        <v>0</v>
      </c>
      <c r="O20" s="188">
        <f>+INDEX(DataEx!$1:$1048576,MATCH('2019'!$A20,DataEx!$D:$D,0),MATCH('2019'!O$6,DataEx!$7:$7,0))</f>
        <v>0</v>
      </c>
      <c r="P20" s="188">
        <f>+INDEX(DataEx!$1:$1048576,MATCH('2019'!$A20,DataEx!$D:$D,0),MATCH('2019'!P$6,DataEx!$7:$7,0))</f>
        <v>0</v>
      </c>
      <c r="Q20" s="188">
        <f>+INDEX(DataEx!$1:$1048576,MATCH('2019'!$A20,DataEx!$D:$D,0),MATCH('2019'!Q$6,DataEx!$7:$7,0))</f>
        <v>0</v>
      </c>
      <c r="R20" s="188">
        <f>+INDEX(DataEx!$1:$1048576,MATCH('2019'!$A20,DataEx!$D:$D,0),MATCH('2019'!R$6,DataEx!$7:$7,0))</f>
        <v>0</v>
      </c>
      <c r="S20" s="269">
        <f t="shared" si="3"/>
        <v>109968839.28</v>
      </c>
      <c r="T20" s="270">
        <f t="shared" si="4"/>
        <v>2.2964716050620223E-2</v>
      </c>
    </row>
    <row r="21" spans="1:25">
      <c r="A21" s="175">
        <v>7122</v>
      </c>
      <c r="B21" s="484" t="str">
        <f>+VLOOKUP($A21,Master!$D$27:$G$225,4,FALSE)</f>
        <v>Doprinosi za zdravstveno osiguranje</v>
      </c>
      <c r="C21" s="485"/>
      <c r="D21" s="485"/>
      <c r="E21" s="485"/>
      <c r="F21" s="485"/>
      <c r="G21" s="188">
        <f>+INDEX(DataEx!$1:$1048576,MATCH('2019'!$A21,DataEx!$D:$D,0),MATCH('2019'!G$6,DataEx!$7:$7,0))</f>
        <v>5963049.2000000002</v>
      </c>
      <c r="H21" s="188">
        <f>+INDEX(DataEx!$1:$1048576,MATCH('2019'!$A21,DataEx!$D:$D,0),MATCH('2019'!H$6,DataEx!$7:$7,0))</f>
        <v>15122476.890000001</v>
      </c>
      <c r="I21" s="188">
        <f>+INDEX(DataEx!$1:$1048576,MATCH('2019'!$A21,DataEx!$D:$D,0),MATCH('2019'!I$6,DataEx!$7:$7,0))</f>
        <v>14777265.789999999</v>
      </c>
      <c r="J21" s="188">
        <f>+INDEX(DataEx!$1:$1048576,MATCH('2019'!$A21,DataEx!$D:$D,0),MATCH('2019'!J$6,DataEx!$7:$7,0))</f>
        <v>17925167.550000001</v>
      </c>
      <c r="K21" s="188">
        <f>+INDEX(DataEx!$1:$1048576,MATCH('2019'!$A21,DataEx!$D:$D,0),MATCH('2019'!K$6,DataEx!$7:$7,0))</f>
        <v>13458982.5</v>
      </c>
      <c r="L21" s="188">
        <f>+INDEX(DataEx!$1:$1048576,MATCH('2019'!$A21,DataEx!$D:$D,0),MATCH('2019'!L$6,DataEx!$7:$7,0))</f>
        <v>0</v>
      </c>
      <c r="M21" s="188">
        <f>+INDEX(DataEx!$1:$1048576,MATCH('2019'!$A21,DataEx!$D:$D,0),MATCH('2019'!M$6,DataEx!$7:$7,0))</f>
        <v>0</v>
      </c>
      <c r="N21" s="188">
        <f>+INDEX(DataEx!$1:$1048576,MATCH('2019'!$A21,DataEx!$D:$D,0),MATCH('2019'!N$6,DataEx!$7:$7,0))</f>
        <v>0</v>
      </c>
      <c r="O21" s="188">
        <f>+INDEX(DataEx!$1:$1048576,MATCH('2019'!$A21,DataEx!$D:$D,0),MATCH('2019'!O$6,DataEx!$7:$7,0))</f>
        <v>0</v>
      </c>
      <c r="P21" s="188">
        <f>+INDEX(DataEx!$1:$1048576,MATCH('2019'!$A21,DataEx!$D:$D,0),MATCH('2019'!P$6,DataEx!$7:$7,0))</f>
        <v>0</v>
      </c>
      <c r="Q21" s="188">
        <f>+INDEX(DataEx!$1:$1048576,MATCH('2019'!$A21,DataEx!$D:$D,0),MATCH('2019'!Q$6,DataEx!$7:$7,0))</f>
        <v>0</v>
      </c>
      <c r="R21" s="188">
        <f>+INDEX(DataEx!$1:$1048576,MATCH('2019'!$A21,DataEx!$D:$D,0),MATCH('2019'!R$6,DataEx!$7:$7,0))</f>
        <v>0</v>
      </c>
      <c r="S21" s="269">
        <f t="shared" si="3"/>
        <v>67246941.929999992</v>
      </c>
      <c r="T21" s="270">
        <f t="shared" si="4"/>
        <v>1.4043132007267258E-2</v>
      </c>
    </row>
    <row r="22" spans="1:25">
      <c r="A22" s="175">
        <v>7123</v>
      </c>
      <c r="B22" s="484" t="str">
        <f>+VLOOKUP($A22,Master!$D$27:$G$225,4,FALSE)</f>
        <v>Doprinosi za osiguranje od nezaposlenosti</v>
      </c>
      <c r="C22" s="485"/>
      <c r="D22" s="485"/>
      <c r="E22" s="485"/>
      <c r="F22" s="485"/>
      <c r="G22" s="188">
        <f>+INDEX(DataEx!$1:$1048576,MATCH('2019'!$A22,DataEx!$D:$D,0),MATCH('2019'!G$6,DataEx!$7:$7,0))</f>
        <v>459881.42</v>
      </c>
      <c r="H22" s="188">
        <f>+INDEX(DataEx!$1:$1048576,MATCH('2019'!$A22,DataEx!$D:$D,0),MATCH('2019'!H$6,DataEx!$7:$7,0))</f>
        <v>1160315.8500000001</v>
      </c>
      <c r="I22" s="188">
        <f>+INDEX(DataEx!$1:$1048576,MATCH('2019'!$A22,DataEx!$D:$D,0),MATCH('2019'!I$6,DataEx!$7:$7,0))</f>
        <v>1135767.8899999999</v>
      </c>
      <c r="J22" s="188">
        <f>+INDEX(DataEx!$1:$1048576,MATCH('2019'!$A22,DataEx!$D:$D,0),MATCH('2019'!J$6,DataEx!$7:$7,0))</f>
        <v>1375720.59</v>
      </c>
      <c r="K22" s="188">
        <f>+INDEX(DataEx!$1:$1048576,MATCH('2019'!$A22,DataEx!$D:$D,0),MATCH('2019'!K$6,DataEx!$7:$7,0))</f>
        <v>1026106.03</v>
      </c>
      <c r="L22" s="188">
        <f>+INDEX(DataEx!$1:$1048576,MATCH('2019'!$A22,DataEx!$D:$D,0),MATCH('2019'!L$6,DataEx!$7:$7,0))</f>
        <v>0</v>
      </c>
      <c r="M22" s="188">
        <f>+INDEX(DataEx!$1:$1048576,MATCH('2019'!$A22,DataEx!$D:$D,0),MATCH('2019'!M$6,DataEx!$7:$7,0))</f>
        <v>0</v>
      </c>
      <c r="N22" s="188">
        <f>+INDEX(DataEx!$1:$1048576,MATCH('2019'!$A22,DataEx!$D:$D,0),MATCH('2019'!N$6,DataEx!$7:$7,0))</f>
        <v>0</v>
      </c>
      <c r="O22" s="188">
        <f>+INDEX(DataEx!$1:$1048576,MATCH('2019'!$A22,DataEx!$D:$D,0),MATCH('2019'!O$6,DataEx!$7:$7,0))</f>
        <v>0</v>
      </c>
      <c r="P22" s="188">
        <f>+INDEX(DataEx!$1:$1048576,MATCH('2019'!$A22,DataEx!$D:$D,0),MATCH('2019'!P$6,DataEx!$7:$7,0))</f>
        <v>0</v>
      </c>
      <c r="Q22" s="188">
        <f>+INDEX(DataEx!$1:$1048576,MATCH('2019'!$A22,DataEx!$D:$D,0),MATCH('2019'!Q$6,DataEx!$7:$7,0))</f>
        <v>0</v>
      </c>
      <c r="R22" s="188">
        <f>+INDEX(DataEx!$1:$1048576,MATCH('2019'!$A22,DataEx!$D:$D,0),MATCH('2019'!R$6,DataEx!$7:$7,0))</f>
        <v>0</v>
      </c>
      <c r="S22" s="269">
        <f t="shared" si="3"/>
        <v>5157791.78</v>
      </c>
      <c r="T22" s="270">
        <f t="shared" si="4"/>
        <v>1.0770980620640688E-3</v>
      </c>
    </row>
    <row r="23" spans="1:25">
      <c r="A23" s="175">
        <v>7124</v>
      </c>
      <c r="B23" s="484" t="str">
        <f>+VLOOKUP($A23,Master!$D$27:$G$225,4,FALSE)</f>
        <v>Ostali doprinosi</v>
      </c>
      <c r="C23" s="485"/>
      <c r="D23" s="485"/>
      <c r="E23" s="485"/>
      <c r="F23" s="485"/>
      <c r="G23" s="188">
        <f>+INDEX(DataEx!$1:$1048576,MATCH('2019'!$A23,DataEx!$D:$D,0),MATCH('2019'!G$6,DataEx!$7:$7,0))</f>
        <v>380185.28</v>
      </c>
      <c r="H23" s="188">
        <f>+INDEX(DataEx!$1:$1048576,MATCH('2019'!$A23,DataEx!$D:$D,0),MATCH('2019'!H$6,DataEx!$7:$7,0))</f>
        <v>1035686.38</v>
      </c>
      <c r="I23" s="188">
        <f>+INDEX(DataEx!$1:$1048576,MATCH('2019'!$A23,DataEx!$D:$D,0),MATCH('2019'!I$6,DataEx!$7:$7,0))</f>
        <v>1210812.78</v>
      </c>
      <c r="J23" s="188">
        <f>+INDEX(DataEx!$1:$1048576,MATCH('2019'!$A23,DataEx!$D:$D,0),MATCH('2019'!J$6,DataEx!$7:$7,0))</f>
        <v>1339504.93</v>
      </c>
      <c r="K23" s="188">
        <f>+INDEX(DataEx!$1:$1048576,MATCH('2019'!$A23,DataEx!$D:$D,0),MATCH('2019'!K$6,DataEx!$7:$7,0))</f>
        <v>906261.75</v>
      </c>
      <c r="L23" s="188">
        <f>+INDEX(DataEx!$1:$1048576,MATCH('2019'!$A23,DataEx!$D:$D,0),MATCH('2019'!L$6,DataEx!$7:$7,0))</f>
        <v>0</v>
      </c>
      <c r="M23" s="188">
        <f>+INDEX(DataEx!$1:$1048576,MATCH('2019'!$A23,DataEx!$D:$D,0),MATCH('2019'!M$6,DataEx!$7:$7,0))</f>
        <v>0</v>
      </c>
      <c r="N23" s="188">
        <f>+INDEX(DataEx!$1:$1048576,MATCH('2019'!$A23,DataEx!$D:$D,0),MATCH('2019'!N$6,DataEx!$7:$7,0))</f>
        <v>0</v>
      </c>
      <c r="O23" s="188">
        <f>+INDEX(DataEx!$1:$1048576,MATCH('2019'!$A23,DataEx!$D:$D,0),MATCH('2019'!O$6,DataEx!$7:$7,0))</f>
        <v>0</v>
      </c>
      <c r="P23" s="188">
        <f>+INDEX(DataEx!$1:$1048576,MATCH('2019'!$A23,DataEx!$D:$D,0),MATCH('2019'!P$6,DataEx!$7:$7,0))</f>
        <v>0</v>
      </c>
      <c r="Q23" s="188">
        <f>+INDEX(DataEx!$1:$1048576,MATCH('2019'!$A23,DataEx!$D:$D,0),MATCH('2019'!Q$6,DataEx!$7:$7,0))</f>
        <v>0</v>
      </c>
      <c r="R23" s="188">
        <f>+INDEX(DataEx!$1:$1048576,MATCH('2019'!$A23,DataEx!$D:$D,0),MATCH('2019'!R$6,DataEx!$7:$7,0))</f>
        <v>0</v>
      </c>
      <c r="S23" s="269">
        <f t="shared" si="3"/>
        <v>4872451.12</v>
      </c>
      <c r="T23" s="270">
        <f t="shared" si="4"/>
        <v>1.0175105709393142E-3</v>
      </c>
      <c r="Y23" s="379"/>
    </row>
    <row r="24" spans="1:25">
      <c r="A24" s="175">
        <v>713</v>
      </c>
      <c r="B24" s="486" t="str">
        <f>+VLOOKUP($A24,Master!$D$27:$G$225,4,FALSE)</f>
        <v>Takse</v>
      </c>
      <c r="C24" s="487"/>
      <c r="D24" s="487"/>
      <c r="E24" s="487"/>
      <c r="F24" s="487"/>
      <c r="G24" s="200">
        <f>+INDEX(DataEx!$1:$1048576,MATCH('2019'!$A24,DataEx!$D:$D,0),MATCH('2019'!G$6,DataEx!$7:$7,0))</f>
        <v>851162.27</v>
      </c>
      <c r="H24" s="200">
        <f>+INDEX(DataEx!$1:$1048576,MATCH('2019'!$A24,DataEx!$D:$D,0),MATCH('2019'!H$6,DataEx!$7:$7,0))</f>
        <v>1041125.39</v>
      </c>
      <c r="I24" s="200">
        <f>+INDEX(DataEx!$1:$1048576,MATCH('2019'!$A24,DataEx!$D:$D,0),MATCH('2019'!I$6,DataEx!$7:$7,0))</f>
        <v>1066481.8799999999</v>
      </c>
      <c r="J24" s="200">
        <f>+INDEX(DataEx!$1:$1048576,MATCH('2019'!$A24,DataEx!$D:$D,0),MATCH('2019'!J$6,DataEx!$7:$7,0))</f>
        <v>1290371.49</v>
      </c>
      <c r="K24" s="200">
        <f>+INDEX(DataEx!$1:$1048576,MATCH('2019'!$A24,DataEx!$D:$D,0),MATCH('2019'!K$6,DataEx!$7:$7,0))</f>
        <v>1119638.28</v>
      </c>
      <c r="L24" s="200">
        <f>+INDEX(DataEx!$1:$1048576,MATCH('2019'!$A24,DataEx!$D:$D,0),MATCH('2019'!L$6,DataEx!$7:$7,0))</f>
        <v>0</v>
      </c>
      <c r="M24" s="200">
        <f>+INDEX(DataEx!$1:$1048576,MATCH('2019'!$A24,DataEx!$D:$D,0),MATCH('2019'!M$6,DataEx!$7:$7,0))</f>
        <v>0</v>
      </c>
      <c r="N24" s="200">
        <f>+INDEX(DataEx!$1:$1048576,MATCH('2019'!$A24,DataEx!$D:$D,0),MATCH('2019'!N$6,DataEx!$7:$7,0))</f>
        <v>0</v>
      </c>
      <c r="O24" s="200">
        <f>+INDEX(DataEx!$1:$1048576,MATCH('2019'!$A24,DataEx!$D:$D,0),MATCH('2019'!O$6,DataEx!$7:$7,0))</f>
        <v>0</v>
      </c>
      <c r="P24" s="200">
        <f>+INDEX(DataEx!$1:$1048576,MATCH('2019'!$A24,DataEx!$D:$D,0),MATCH('2019'!P$6,DataEx!$7:$7,0))</f>
        <v>0</v>
      </c>
      <c r="Q24" s="200">
        <f>+INDEX(DataEx!$1:$1048576,MATCH('2019'!$A24,DataEx!$D:$D,0),MATCH('2019'!Q$6,DataEx!$7:$7,0))</f>
        <v>0</v>
      </c>
      <c r="R24" s="274">
        <f>+INDEX(DataEx!$1:$1048576,MATCH('2019'!$A24,DataEx!$D:$D,0),MATCH('2019'!R$6,DataEx!$7:$7,0))</f>
        <v>0</v>
      </c>
      <c r="S24" s="272">
        <f t="shared" si="3"/>
        <v>5368779.3100000005</v>
      </c>
      <c r="T24" s="273">
        <f t="shared" si="4"/>
        <v>1.1211584408804245E-3</v>
      </c>
      <c r="Y24" s="379"/>
    </row>
    <row r="25" spans="1:25">
      <c r="A25" s="175">
        <v>714</v>
      </c>
      <c r="B25" s="486" t="str">
        <f>+VLOOKUP($A25,Master!$D$27:$G$225,4,FALSE)</f>
        <v>Naknade</v>
      </c>
      <c r="C25" s="487"/>
      <c r="D25" s="487"/>
      <c r="E25" s="487"/>
      <c r="F25" s="487"/>
      <c r="G25" s="200">
        <f>+INDEX(DataEx!$1:$1048576,MATCH('2019'!$A25,DataEx!$D:$D,0),MATCH('2019'!G$6,DataEx!$7:$7,0))</f>
        <v>2315003.25</v>
      </c>
      <c r="H25" s="200">
        <f>+INDEX(DataEx!$1:$1048576,MATCH('2019'!$A25,DataEx!$D:$D,0),MATCH('2019'!H$6,DataEx!$7:$7,0))</f>
        <v>1541397.86</v>
      </c>
      <c r="I25" s="200">
        <f>+INDEX(DataEx!$1:$1048576,MATCH('2019'!$A25,DataEx!$D:$D,0),MATCH('2019'!I$6,DataEx!$7:$7,0))</f>
        <v>2408517.5</v>
      </c>
      <c r="J25" s="200">
        <f>+INDEX(DataEx!$1:$1048576,MATCH('2019'!$A25,DataEx!$D:$D,0),MATCH('2019'!J$6,DataEx!$7:$7,0))</f>
        <v>3310133.38</v>
      </c>
      <c r="K25" s="200">
        <f>+INDEX(DataEx!$1:$1048576,MATCH('2019'!$A25,DataEx!$D:$D,0),MATCH('2019'!K$6,DataEx!$7:$7,0))</f>
        <v>1792591.2</v>
      </c>
      <c r="L25" s="200">
        <f>+INDEX(DataEx!$1:$1048576,MATCH('2019'!$A25,DataEx!$D:$D,0),MATCH('2019'!L$6,DataEx!$7:$7,0))</f>
        <v>0</v>
      </c>
      <c r="M25" s="200">
        <f>+INDEX(DataEx!$1:$1048576,MATCH('2019'!$A25,DataEx!$D:$D,0),MATCH('2019'!M$6,DataEx!$7:$7,0))</f>
        <v>0</v>
      </c>
      <c r="N25" s="200">
        <f>+INDEX(DataEx!$1:$1048576,MATCH('2019'!$A25,DataEx!$D:$D,0),MATCH('2019'!N$6,DataEx!$7:$7,0))</f>
        <v>0</v>
      </c>
      <c r="O25" s="200">
        <f>+INDEX(DataEx!$1:$1048576,MATCH('2019'!$A25,DataEx!$D:$D,0),MATCH('2019'!O$6,DataEx!$7:$7,0))</f>
        <v>0</v>
      </c>
      <c r="P25" s="200">
        <f>+INDEX(DataEx!$1:$1048576,MATCH('2019'!$A25,DataEx!$D:$D,0),MATCH('2019'!P$6,DataEx!$7:$7,0))</f>
        <v>0</v>
      </c>
      <c r="Q25" s="200">
        <f>+INDEX(DataEx!$1:$1048576,MATCH('2019'!$A25,DataEx!$D:$D,0),MATCH('2019'!Q$6,DataEx!$7:$7,0))</f>
        <v>0</v>
      </c>
      <c r="R25" s="274">
        <f>+INDEX(DataEx!$1:$1048576,MATCH('2019'!$A25,DataEx!$D:$D,0),MATCH('2019'!R$6,DataEx!$7:$7,0))</f>
        <v>0</v>
      </c>
      <c r="S25" s="272">
        <f t="shared" si="3"/>
        <v>11367643.189999999</v>
      </c>
      <c r="T25" s="273">
        <f t="shared" si="4"/>
        <v>2.3738970032995028E-3</v>
      </c>
      <c r="W25" s="366"/>
    </row>
    <row r="26" spans="1:25">
      <c r="A26" s="175">
        <v>715</v>
      </c>
      <c r="B26" s="486" t="str">
        <f>+VLOOKUP($A26,Master!$D$27:$G$225,4,FALSE)</f>
        <v>Ostali prihodi</v>
      </c>
      <c r="C26" s="487"/>
      <c r="D26" s="487"/>
      <c r="E26" s="487"/>
      <c r="F26" s="487"/>
      <c r="G26" s="200">
        <f>+INDEX(DataEx!$1:$1048576,MATCH('2019'!$A26,DataEx!$D:$D,0),MATCH('2019'!G$6,DataEx!$7:$7,0))</f>
        <v>1567288.04</v>
      </c>
      <c r="H26" s="200">
        <f>+INDEX(DataEx!$1:$1048576,MATCH('2019'!$A26,DataEx!$D:$D,0),MATCH('2019'!H$6,DataEx!$7:$7,0))</f>
        <v>2199531.1</v>
      </c>
      <c r="I26" s="200">
        <f>+INDEX(DataEx!$1:$1048576,MATCH('2019'!$A26,DataEx!$D:$D,0),MATCH('2019'!I$6,DataEx!$7:$7,0))</f>
        <v>3194097.81</v>
      </c>
      <c r="J26" s="200">
        <f>+INDEX(DataEx!$1:$1048576,MATCH('2019'!$A26,DataEx!$D:$D,0),MATCH('2019'!J$6,DataEx!$7:$7,0))</f>
        <v>2385711.15</v>
      </c>
      <c r="K26" s="200">
        <f>+INDEX(DataEx!$1:$1048576,MATCH('2019'!$A26,DataEx!$D:$D,0),MATCH('2019'!K$6,DataEx!$7:$7,0))</f>
        <v>7159438.3899999997</v>
      </c>
      <c r="L26" s="200">
        <f>+INDEX(DataEx!$1:$1048576,MATCH('2019'!$A26,DataEx!$D:$D,0),MATCH('2019'!L$6,DataEx!$7:$7,0))</f>
        <v>0</v>
      </c>
      <c r="M26" s="200">
        <f>+INDEX(DataEx!$1:$1048576,MATCH('2019'!$A26,DataEx!$D:$D,0),MATCH('2019'!M$6,DataEx!$7:$7,0))</f>
        <v>0</v>
      </c>
      <c r="N26" s="200">
        <f>+INDEX(DataEx!$1:$1048576,MATCH('2019'!$A26,DataEx!$D:$D,0),MATCH('2019'!N$6,DataEx!$7:$7,0))</f>
        <v>0</v>
      </c>
      <c r="O26" s="200">
        <f>+INDEX(DataEx!$1:$1048576,MATCH('2019'!$A26,DataEx!$D:$D,0),MATCH('2019'!O$6,DataEx!$7:$7,0))</f>
        <v>0</v>
      </c>
      <c r="P26" s="200">
        <f>+INDEX(DataEx!$1:$1048576,MATCH('2019'!$A26,DataEx!$D:$D,0),MATCH('2019'!P$6,DataEx!$7:$7,0))</f>
        <v>0</v>
      </c>
      <c r="Q26" s="200">
        <f>+INDEX(DataEx!$1:$1048576,MATCH('2019'!$A26,DataEx!$D:$D,0),MATCH('2019'!Q$6,DataEx!$7:$7,0))</f>
        <v>0</v>
      </c>
      <c r="R26" s="274">
        <f>+INDEX(DataEx!$1:$1048576,MATCH('2019'!$A26,DataEx!$D:$D,0),MATCH('2019'!R$6,DataEx!$7:$7,0))</f>
        <v>0</v>
      </c>
      <c r="S26" s="272">
        <f t="shared" si="3"/>
        <v>16506066.489999998</v>
      </c>
      <c r="T26" s="273">
        <f t="shared" si="4"/>
        <v>3.4469503591864005E-3</v>
      </c>
    </row>
    <row r="27" spans="1:25">
      <c r="A27" s="175">
        <v>73</v>
      </c>
      <c r="B27" s="486" t="str">
        <f>+VLOOKUP($A27,Master!$D$27:$G$225,4,FALSE)</f>
        <v>Primici od otplate kredita i sredstva prenesena iz prethodne godine</v>
      </c>
      <c r="C27" s="487"/>
      <c r="D27" s="487"/>
      <c r="E27" s="487"/>
      <c r="F27" s="487"/>
      <c r="G27" s="200">
        <f>+INDEX(DataEx!$1:$1048576,MATCH('2019'!$A27,DataEx!$D:$D,0),MATCH('2019'!G$6,DataEx!$7:$7,0))</f>
        <v>69158.880000000005</v>
      </c>
      <c r="H27" s="200">
        <f>+INDEX(DataEx!$1:$1048576,MATCH('2019'!$A27,DataEx!$D:$D,0),MATCH('2019'!H$6,DataEx!$7:$7,0))</f>
        <v>378338.04</v>
      </c>
      <c r="I27" s="200">
        <f>+INDEX(DataEx!$1:$1048576,MATCH('2019'!$A27,DataEx!$D:$D,0),MATCH('2019'!I$6,DataEx!$7:$7,0))</f>
        <v>257172.98</v>
      </c>
      <c r="J27" s="200">
        <f>+INDEX(DataEx!$1:$1048576,MATCH('2019'!$A27,DataEx!$D:$D,0),MATCH('2019'!J$6,DataEx!$7:$7,0))</f>
        <v>349238.34</v>
      </c>
      <c r="K27" s="200">
        <f>+INDEX(DataEx!$1:$1048576,MATCH('2019'!$A27,DataEx!$D:$D,0),MATCH('2019'!K$6,DataEx!$7:$7,0))</f>
        <v>808656.23</v>
      </c>
      <c r="L27" s="200">
        <f>+INDEX(DataEx!$1:$1048576,MATCH('2019'!$A27,DataEx!$D:$D,0),MATCH('2019'!L$6,DataEx!$7:$7,0))</f>
        <v>0</v>
      </c>
      <c r="M27" s="200">
        <f>+INDEX(DataEx!$1:$1048576,MATCH('2019'!$A27,DataEx!$D:$D,0),MATCH('2019'!M$6,DataEx!$7:$7,0))</f>
        <v>0</v>
      </c>
      <c r="N27" s="200">
        <f>+INDEX(DataEx!$1:$1048576,MATCH('2019'!$A27,DataEx!$D:$D,0),MATCH('2019'!N$6,DataEx!$7:$7,0))</f>
        <v>0</v>
      </c>
      <c r="O27" s="200">
        <f>+INDEX(DataEx!$1:$1048576,MATCH('2019'!$A27,DataEx!$D:$D,0),MATCH('2019'!O$6,DataEx!$7:$7,0))</f>
        <v>0</v>
      </c>
      <c r="P27" s="200">
        <f>+INDEX(DataEx!$1:$1048576,MATCH('2019'!$A27,DataEx!$D:$D,0),MATCH('2019'!P$6,DataEx!$7:$7,0))</f>
        <v>0</v>
      </c>
      <c r="Q27" s="200">
        <f>+INDEX(DataEx!$1:$1048576,MATCH('2019'!$A27,DataEx!$D:$D,0),MATCH('2019'!Q$6,DataEx!$7:$7,0))</f>
        <v>0</v>
      </c>
      <c r="R27" s="274">
        <f>+INDEX(DataEx!$1:$1048576,MATCH('2019'!$A27,DataEx!$D:$D,0),MATCH('2019'!R$6,DataEx!$7:$7,0))</f>
        <v>0</v>
      </c>
      <c r="S27" s="272">
        <f t="shared" si="3"/>
        <v>1862564.47</v>
      </c>
      <c r="T27" s="273">
        <f t="shared" si="4"/>
        <v>3.8895803992816273E-4</v>
      </c>
    </row>
    <row r="28" spans="1:25" ht="13.5" thickBot="1">
      <c r="A28" s="175">
        <v>74</v>
      </c>
      <c r="B28" s="488" t="str">
        <f>+VLOOKUP($A28,Master!$D$27:$G$225,4,FALSE)</f>
        <v>Donacije i transferi</v>
      </c>
      <c r="C28" s="489"/>
      <c r="D28" s="489"/>
      <c r="E28" s="489"/>
      <c r="F28" s="489"/>
      <c r="G28" s="200">
        <f>+INDEX(DataEx!$1:$1048576,MATCH('2019'!$A28,DataEx!$D:$D,0),MATCH('2019'!G$6,DataEx!$7:$7,0))</f>
        <v>13526711.25</v>
      </c>
      <c r="H28" s="200">
        <f>+INDEX(DataEx!$1:$1048576,MATCH('2019'!$A28,DataEx!$D:$D,0),MATCH('2019'!H$6,DataEx!$7:$7,0))</f>
        <v>1001055.74</v>
      </c>
      <c r="I28" s="200">
        <f>+INDEX(DataEx!$1:$1048576,MATCH('2019'!$A28,DataEx!$D:$D,0),MATCH('2019'!I$6,DataEx!$7:$7,0))</f>
        <v>861265.77</v>
      </c>
      <c r="J28" s="200">
        <f>+INDEX(DataEx!$1:$1048576,MATCH('2019'!$A28,DataEx!$D:$D,0),MATCH('2019'!J$6,DataEx!$7:$7,0))</f>
        <v>627154.51</v>
      </c>
      <c r="K28" s="200">
        <f>+INDEX(DataEx!$1:$1048576,MATCH('2019'!$A28,DataEx!$D:$D,0),MATCH('2019'!K$6,DataEx!$7:$7,0))</f>
        <v>1388870.5</v>
      </c>
      <c r="L28" s="200">
        <f>+INDEX(DataEx!$1:$1048576,MATCH('2019'!$A28,DataEx!$D:$D,0),MATCH('2019'!L$6,DataEx!$7:$7,0))</f>
        <v>0</v>
      </c>
      <c r="M28" s="200">
        <f>+INDEX(DataEx!$1:$1048576,MATCH('2019'!$A28,DataEx!$D:$D,0),MATCH('2019'!M$6,DataEx!$7:$7,0))</f>
        <v>0</v>
      </c>
      <c r="N28" s="200">
        <f>+INDEX(DataEx!$1:$1048576,MATCH('2019'!$A28,DataEx!$D:$D,0),MATCH('2019'!N$6,DataEx!$7:$7,0))</f>
        <v>0</v>
      </c>
      <c r="O28" s="200">
        <f>+INDEX(DataEx!$1:$1048576,MATCH('2019'!$A28,DataEx!$D:$D,0),MATCH('2019'!O$6,DataEx!$7:$7,0))</f>
        <v>0</v>
      </c>
      <c r="P28" s="200">
        <f>+INDEX(DataEx!$1:$1048576,MATCH('2019'!$A28,DataEx!$D:$D,0),MATCH('2019'!P$6,DataEx!$7:$7,0))</f>
        <v>0</v>
      </c>
      <c r="Q28" s="200">
        <f>+INDEX(DataEx!$1:$1048576,MATCH('2019'!$A28,DataEx!$D:$D,0),MATCH('2019'!Q$6,DataEx!$7:$7,0))</f>
        <v>0</v>
      </c>
      <c r="R28" s="274">
        <f>+INDEX(DataEx!$1:$1048576,MATCH('2019'!$A28,DataEx!$D:$D,0),MATCH('2019'!R$6,DataEx!$7:$7,0))</f>
        <v>0</v>
      </c>
      <c r="S28" s="272">
        <f t="shared" si="3"/>
        <v>17405057.77</v>
      </c>
      <c r="T28" s="276">
        <f t="shared" si="4"/>
        <v>3.6346860815269599E-3</v>
      </c>
    </row>
    <row r="29" spans="1:25" ht="13.5" thickBot="1">
      <c r="A29" s="175">
        <v>4</v>
      </c>
      <c r="B29" s="474" t="str">
        <f>+VLOOKUP($A29,Master!$D$27:$G$225,4,FALSE)</f>
        <v>Budžetski izdaci</v>
      </c>
      <c r="C29" s="475"/>
      <c r="D29" s="475"/>
      <c r="E29" s="475"/>
      <c r="F29" s="475"/>
      <c r="G29" s="176">
        <f>+G31+G42+G48+SUM(G49:G53)</f>
        <v>139590250.27000004</v>
      </c>
      <c r="H29" s="176">
        <f t="shared" ref="H29:R29" si="5">+H31+H42+H48+SUM(H49:H53)</f>
        <v>130859731.31</v>
      </c>
      <c r="I29" s="176">
        <f t="shared" si="5"/>
        <v>172197939.67000002</v>
      </c>
      <c r="J29" s="176">
        <f t="shared" si="5"/>
        <v>154899575.15000001</v>
      </c>
      <c r="K29" s="176">
        <f t="shared" si="5"/>
        <v>136373040.24000001</v>
      </c>
      <c r="L29" s="176">
        <f t="shared" si="5"/>
        <v>0</v>
      </c>
      <c r="M29" s="176">
        <f t="shared" si="5"/>
        <v>0</v>
      </c>
      <c r="N29" s="176">
        <f t="shared" si="5"/>
        <v>0</v>
      </c>
      <c r="O29" s="176">
        <f t="shared" si="5"/>
        <v>0</v>
      </c>
      <c r="P29" s="176">
        <f t="shared" si="5"/>
        <v>0</v>
      </c>
      <c r="Q29" s="176">
        <f t="shared" si="5"/>
        <v>0</v>
      </c>
      <c r="R29" s="176">
        <f t="shared" si="5"/>
        <v>0</v>
      </c>
      <c r="S29" s="277">
        <f t="shared" si="3"/>
        <v>733920536.6400001</v>
      </c>
      <c r="T29" s="278">
        <f t="shared" si="4"/>
        <v>0.15326411407091844</v>
      </c>
    </row>
    <row r="30" spans="1:25" ht="13.5" thickBot="1">
      <c r="A30" s="175">
        <v>41</v>
      </c>
      <c r="B30" s="490" t="str">
        <f>+VLOOKUP($A30,Master!$D$27:$G$225,4,FALSE)</f>
        <v>Tekuća budžetska potrošnja</v>
      </c>
      <c r="C30" s="491"/>
      <c r="D30" s="491"/>
      <c r="E30" s="491"/>
      <c r="F30" s="491"/>
      <c r="G30" s="206">
        <f>+G29-G49</f>
        <v>112761895.32000004</v>
      </c>
      <c r="H30" s="206">
        <f t="shared" ref="H30:R30" si="6">+H29-H49</f>
        <v>127169281.3</v>
      </c>
      <c r="I30" s="206">
        <f t="shared" si="6"/>
        <v>157267742.07000002</v>
      </c>
      <c r="J30" s="206">
        <f t="shared" si="6"/>
        <v>142803457.75999999</v>
      </c>
      <c r="K30" s="206">
        <f t="shared" si="6"/>
        <v>124908662.68000001</v>
      </c>
      <c r="L30" s="206">
        <f t="shared" si="6"/>
        <v>0</v>
      </c>
      <c r="M30" s="206">
        <f t="shared" si="6"/>
        <v>0</v>
      </c>
      <c r="N30" s="206">
        <f t="shared" si="6"/>
        <v>0</v>
      </c>
      <c r="O30" s="206">
        <f t="shared" si="6"/>
        <v>0</v>
      </c>
      <c r="P30" s="206">
        <f t="shared" si="6"/>
        <v>0</v>
      </c>
      <c r="Q30" s="206">
        <f t="shared" si="6"/>
        <v>0</v>
      </c>
      <c r="R30" s="206">
        <f t="shared" si="6"/>
        <v>0</v>
      </c>
      <c r="S30" s="431">
        <f t="shared" si="3"/>
        <v>664911039.13000011</v>
      </c>
      <c r="T30" s="280">
        <f t="shared" si="4"/>
        <v>0.13885290881050832</v>
      </c>
    </row>
    <row r="31" spans="1:25">
      <c r="A31" s="175">
        <v>40</v>
      </c>
      <c r="B31" s="492" t="str">
        <f>+VLOOKUP($A31,Master!$D$27:$G$225,4,FALSE)</f>
        <v>Tekući izdaci</v>
      </c>
      <c r="C31" s="493"/>
      <c r="D31" s="493"/>
      <c r="E31" s="493"/>
      <c r="F31" s="493"/>
      <c r="G31" s="212">
        <f>+SUM(G32:G41)</f>
        <v>50999390.180000007</v>
      </c>
      <c r="H31" s="212">
        <f t="shared" ref="H31:R31" si="7">+SUM(H32:H41)</f>
        <v>58383083.520000003</v>
      </c>
      <c r="I31" s="212">
        <f t="shared" si="7"/>
        <v>85917156.579999998</v>
      </c>
      <c r="J31" s="212">
        <f t="shared" si="7"/>
        <v>77256329.650000006</v>
      </c>
      <c r="K31" s="212">
        <f t="shared" si="7"/>
        <v>58770255.339999996</v>
      </c>
      <c r="L31" s="212">
        <f t="shared" si="7"/>
        <v>0</v>
      </c>
      <c r="M31" s="212">
        <f t="shared" si="7"/>
        <v>0</v>
      </c>
      <c r="N31" s="212">
        <f t="shared" si="7"/>
        <v>0</v>
      </c>
      <c r="O31" s="212">
        <f t="shared" si="7"/>
        <v>0</v>
      </c>
      <c r="P31" s="212">
        <f t="shared" si="7"/>
        <v>0</v>
      </c>
      <c r="Q31" s="212">
        <f t="shared" si="7"/>
        <v>0</v>
      </c>
      <c r="R31" s="281">
        <f t="shared" si="7"/>
        <v>0</v>
      </c>
      <c r="S31" s="432">
        <f t="shared" si="3"/>
        <v>331326215.27000004</v>
      </c>
      <c r="T31" s="268">
        <f t="shared" si="4"/>
        <v>6.9190622576535951E-2</v>
      </c>
    </row>
    <row r="32" spans="1:25">
      <c r="A32" s="175">
        <v>411</v>
      </c>
      <c r="B32" s="484" t="str">
        <f>+VLOOKUP($A32,Master!$D$27:$G$225,4,FALSE)</f>
        <v>Bruto zarade i doprinosi na teret poslodavca</v>
      </c>
      <c r="C32" s="485"/>
      <c r="D32" s="485"/>
      <c r="E32" s="485"/>
      <c r="F32" s="485"/>
      <c r="G32" s="188">
        <f>+INDEX(DataEx!$1:$1048576,MATCH('2019'!$A32,DataEx!$D:$D,0),MATCH('2019'!G$6,DataEx!$7:$7,0))</f>
        <v>38898745.609999999</v>
      </c>
      <c r="H32" s="188">
        <f>+INDEX(DataEx!$1:$1048576,MATCH('2019'!$A32,DataEx!$D:$D,0),MATCH('2019'!H$6,DataEx!$7:$7,0))</f>
        <v>38576856.590000004</v>
      </c>
      <c r="I32" s="188">
        <f>+INDEX(DataEx!$1:$1048576,MATCH('2019'!$A32,DataEx!$D:$D,0),MATCH('2019'!I$6,DataEx!$7:$7,0))</f>
        <v>39174668.049999997</v>
      </c>
      <c r="J32" s="188">
        <f>+INDEX(DataEx!$1:$1048576,MATCH('2019'!$A32,DataEx!$D:$D,0),MATCH('2019'!J$6,DataEx!$7:$7,0))</f>
        <v>38923552.049999997</v>
      </c>
      <c r="K32" s="188">
        <f>+INDEX(DataEx!$1:$1048576,MATCH('2019'!$A32,DataEx!$D:$D,0),MATCH('2019'!K$6,DataEx!$7:$7,0))</f>
        <v>39904782.170000002</v>
      </c>
      <c r="L32" s="188">
        <f>+INDEX(DataEx!$1:$1048576,MATCH('2019'!$A32,DataEx!$D:$D,0),MATCH('2019'!L$6,DataEx!$7:$7,0))</f>
        <v>0</v>
      </c>
      <c r="M32" s="188">
        <f>+INDEX(DataEx!$1:$1048576,MATCH('2019'!$A32,DataEx!$D:$D,0),MATCH('2019'!M$6,DataEx!$7:$7,0))</f>
        <v>0</v>
      </c>
      <c r="N32" s="188">
        <f>+INDEX(DataEx!$1:$1048576,MATCH('2019'!$A32,DataEx!$D:$D,0),MATCH('2019'!N$6,DataEx!$7:$7,0))</f>
        <v>0</v>
      </c>
      <c r="O32" s="188">
        <f>+INDEX(DataEx!$1:$1048576,MATCH('2019'!$A32,DataEx!$D:$D,0),MATCH('2019'!O$6,DataEx!$7:$7,0))</f>
        <v>0</v>
      </c>
      <c r="P32" s="188">
        <f>+INDEX(DataEx!$1:$1048576,MATCH('2019'!$A32,DataEx!$D:$D,0),MATCH('2019'!P$6,DataEx!$7:$7,0))</f>
        <v>0</v>
      </c>
      <c r="Q32" s="188">
        <f>+INDEX(DataEx!$1:$1048576,MATCH('2019'!$A32,DataEx!$D:$D,0),MATCH('2019'!Q$6,DataEx!$7:$7,0))</f>
        <v>0</v>
      </c>
      <c r="R32" s="188">
        <f>+INDEX(DataEx!$1:$1048576,MATCH('2019'!$A32,DataEx!$D:$D,0),MATCH('2019'!R$6,DataEx!$7:$7,0))</f>
        <v>0</v>
      </c>
      <c r="S32" s="269">
        <f t="shared" si="3"/>
        <v>195478604.47000003</v>
      </c>
      <c r="T32" s="270">
        <f t="shared" si="4"/>
        <v>4.0821660708766659E-2</v>
      </c>
    </row>
    <row r="33" spans="1:22">
      <c r="A33" s="175">
        <v>412</v>
      </c>
      <c r="B33" s="484" t="str">
        <f>+VLOOKUP($A33,Master!$D$27:$G$225,4,FALSE)</f>
        <v>Ostala lična primanja</v>
      </c>
      <c r="C33" s="485"/>
      <c r="D33" s="485"/>
      <c r="E33" s="485"/>
      <c r="F33" s="485"/>
      <c r="G33" s="188">
        <f>+INDEX(DataEx!$1:$1048576,MATCH('2019'!$A33,DataEx!$D:$D,0),MATCH('2019'!G$6,DataEx!$7:$7,0))</f>
        <v>432717.77</v>
      </c>
      <c r="H33" s="188">
        <f>+INDEX(DataEx!$1:$1048576,MATCH('2019'!$A33,DataEx!$D:$D,0),MATCH('2019'!H$6,DataEx!$7:$7,0))</f>
        <v>1037317.51</v>
      </c>
      <c r="I33" s="188">
        <f>+INDEX(DataEx!$1:$1048576,MATCH('2019'!$A33,DataEx!$D:$D,0),MATCH('2019'!I$6,DataEx!$7:$7,0))</f>
        <v>740149.21</v>
      </c>
      <c r="J33" s="188">
        <f>+INDEX(DataEx!$1:$1048576,MATCH('2019'!$A33,DataEx!$D:$D,0),MATCH('2019'!J$6,DataEx!$7:$7,0))</f>
        <v>1606928.02</v>
      </c>
      <c r="K33" s="188">
        <f>+INDEX(DataEx!$1:$1048576,MATCH('2019'!$A33,DataEx!$D:$D,0),MATCH('2019'!K$6,DataEx!$7:$7,0))</f>
        <v>1045480.66</v>
      </c>
      <c r="L33" s="188">
        <f>+INDEX(DataEx!$1:$1048576,MATCH('2019'!$A33,DataEx!$D:$D,0),MATCH('2019'!L$6,DataEx!$7:$7,0))</f>
        <v>0</v>
      </c>
      <c r="M33" s="188">
        <f>+INDEX(DataEx!$1:$1048576,MATCH('2019'!$A33,DataEx!$D:$D,0),MATCH('2019'!M$6,DataEx!$7:$7,0))</f>
        <v>0</v>
      </c>
      <c r="N33" s="188">
        <f>+INDEX(DataEx!$1:$1048576,MATCH('2019'!$A33,DataEx!$D:$D,0),MATCH('2019'!N$6,DataEx!$7:$7,0))</f>
        <v>0</v>
      </c>
      <c r="O33" s="188">
        <f>+INDEX(DataEx!$1:$1048576,MATCH('2019'!$A33,DataEx!$D:$D,0),MATCH('2019'!O$6,DataEx!$7:$7,0))</f>
        <v>0</v>
      </c>
      <c r="P33" s="188">
        <f>+INDEX(DataEx!$1:$1048576,MATCH('2019'!$A33,DataEx!$D:$D,0),MATCH('2019'!P$6,DataEx!$7:$7,0))</f>
        <v>0</v>
      </c>
      <c r="Q33" s="188">
        <f>+INDEX(DataEx!$1:$1048576,MATCH('2019'!$A33,DataEx!$D:$D,0),MATCH('2019'!Q$6,DataEx!$7:$7,0))</f>
        <v>0</v>
      </c>
      <c r="R33" s="188">
        <f>+INDEX(DataEx!$1:$1048576,MATCH('2019'!$A33,DataEx!$D:$D,0),MATCH('2019'!R$6,DataEx!$7:$7,0))</f>
        <v>0</v>
      </c>
      <c r="S33" s="269">
        <f t="shared" si="3"/>
        <v>4862593.17</v>
      </c>
      <c r="T33" s="270">
        <f t="shared" si="4"/>
        <v>1.0154519421125172E-3</v>
      </c>
      <c r="U33" s="367"/>
    </row>
    <row r="34" spans="1:22">
      <c r="A34" s="175">
        <v>413</v>
      </c>
      <c r="B34" s="484" t="str">
        <f>+VLOOKUP($A34,Master!$D$27:$G$225,4,FALSE)</f>
        <v>Rashodi za materijal</v>
      </c>
      <c r="C34" s="485"/>
      <c r="D34" s="485"/>
      <c r="E34" s="485"/>
      <c r="F34" s="485"/>
      <c r="G34" s="188">
        <f>+INDEX(DataEx!$1:$1048576,MATCH('2019'!$A34,DataEx!$D:$D,0),MATCH('2019'!G$6,DataEx!$7:$7,0))</f>
        <v>854167.64</v>
      </c>
      <c r="H34" s="188">
        <f>+INDEX(DataEx!$1:$1048576,MATCH('2019'!$A34,DataEx!$D:$D,0),MATCH('2019'!H$6,DataEx!$7:$7,0))</f>
        <v>2492370.9900000002</v>
      </c>
      <c r="I34" s="188">
        <f>+INDEX(DataEx!$1:$1048576,MATCH('2019'!$A34,DataEx!$D:$D,0),MATCH('2019'!I$6,DataEx!$7:$7,0))</f>
        <v>2599448.7799999998</v>
      </c>
      <c r="J34" s="188">
        <f>+INDEX(DataEx!$1:$1048576,MATCH('2019'!$A34,DataEx!$D:$D,0),MATCH('2019'!J$6,DataEx!$7:$7,0))</f>
        <v>2488394.38</v>
      </c>
      <c r="K34" s="188">
        <f>+INDEX(DataEx!$1:$1048576,MATCH('2019'!$A34,DataEx!$D:$D,0),MATCH('2019'!K$6,DataEx!$7:$7,0))</f>
        <v>2262319.3199999998</v>
      </c>
      <c r="L34" s="188">
        <f>+INDEX(DataEx!$1:$1048576,MATCH('2019'!$A34,DataEx!$D:$D,0),MATCH('2019'!L$6,DataEx!$7:$7,0))</f>
        <v>0</v>
      </c>
      <c r="M34" s="188">
        <f>+INDEX(DataEx!$1:$1048576,MATCH('2019'!$A34,DataEx!$D:$D,0),MATCH('2019'!M$6,DataEx!$7:$7,0))</f>
        <v>0</v>
      </c>
      <c r="N34" s="188">
        <f>+INDEX(DataEx!$1:$1048576,MATCH('2019'!$A34,DataEx!$D:$D,0),MATCH('2019'!N$6,DataEx!$7:$7,0))</f>
        <v>0</v>
      </c>
      <c r="O34" s="188">
        <f>+INDEX(DataEx!$1:$1048576,MATCH('2019'!$A34,DataEx!$D:$D,0),MATCH('2019'!O$6,DataEx!$7:$7,0))</f>
        <v>0</v>
      </c>
      <c r="P34" s="188">
        <f>+INDEX(DataEx!$1:$1048576,MATCH('2019'!$A34,DataEx!$D:$D,0),MATCH('2019'!P$6,DataEx!$7:$7,0))</f>
        <v>0</v>
      </c>
      <c r="Q34" s="188">
        <f>+INDEX(DataEx!$1:$1048576,MATCH('2019'!$A34,DataEx!$D:$D,0),MATCH('2019'!Q$6,DataEx!$7:$7,0))</f>
        <v>0</v>
      </c>
      <c r="R34" s="188">
        <f>+INDEX(DataEx!$1:$1048576,MATCH('2019'!$A34,DataEx!$D:$D,0),MATCH('2019'!R$6,DataEx!$7:$7,0))</f>
        <v>0</v>
      </c>
      <c r="S34" s="269">
        <f t="shared" si="3"/>
        <v>10696701.109999999</v>
      </c>
      <c r="T34" s="270">
        <f t="shared" si="4"/>
        <v>2.2337846364281835E-3</v>
      </c>
      <c r="U34" s="385"/>
      <c r="V34" s="365"/>
    </row>
    <row r="35" spans="1:22">
      <c r="A35" s="175">
        <v>414</v>
      </c>
      <c r="B35" s="484" t="str">
        <f>+VLOOKUP($A35,Master!$D$27:$G$225,4,FALSE)</f>
        <v>Rashodi za usluge</v>
      </c>
      <c r="C35" s="485"/>
      <c r="D35" s="485"/>
      <c r="E35" s="485"/>
      <c r="F35" s="485"/>
      <c r="G35" s="188">
        <f>+INDEX(DataEx!$1:$1048576,MATCH('2019'!$A35,DataEx!$D:$D,0),MATCH('2019'!G$6,DataEx!$7:$7,0))</f>
        <v>2813388.82</v>
      </c>
      <c r="H35" s="188">
        <f>+INDEX(DataEx!$1:$1048576,MATCH('2019'!$A35,DataEx!$D:$D,0),MATCH('2019'!H$6,DataEx!$7:$7,0))</f>
        <v>4369547.51</v>
      </c>
      <c r="I35" s="188">
        <f>+INDEX(DataEx!$1:$1048576,MATCH('2019'!$A35,DataEx!$D:$D,0),MATCH('2019'!I$6,DataEx!$7:$7,0))</f>
        <v>4665604.76</v>
      </c>
      <c r="J35" s="188">
        <f>+INDEX(DataEx!$1:$1048576,MATCH('2019'!$A35,DataEx!$D:$D,0),MATCH('2019'!J$6,DataEx!$7:$7,0))</f>
        <v>4354213.09</v>
      </c>
      <c r="K35" s="188">
        <f>+INDEX(DataEx!$1:$1048576,MATCH('2019'!$A35,DataEx!$D:$D,0),MATCH('2019'!K$6,DataEx!$7:$7,0))</f>
        <v>5518669.6799999997</v>
      </c>
      <c r="L35" s="188">
        <f>+INDEX(DataEx!$1:$1048576,MATCH('2019'!$A35,DataEx!$D:$D,0),MATCH('2019'!L$6,DataEx!$7:$7,0))</f>
        <v>0</v>
      </c>
      <c r="M35" s="188">
        <f>+INDEX(DataEx!$1:$1048576,MATCH('2019'!$A35,DataEx!$D:$D,0),MATCH('2019'!M$6,DataEx!$7:$7,0))</f>
        <v>0</v>
      </c>
      <c r="N35" s="188">
        <f>+INDEX(DataEx!$1:$1048576,MATCH('2019'!$A35,DataEx!$D:$D,0),MATCH('2019'!N$6,DataEx!$7:$7,0))</f>
        <v>0</v>
      </c>
      <c r="O35" s="188">
        <f>+INDEX(DataEx!$1:$1048576,MATCH('2019'!$A35,DataEx!$D:$D,0),MATCH('2019'!O$6,DataEx!$7:$7,0))</f>
        <v>0</v>
      </c>
      <c r="P35" s="188">
        <f>+INDEX(DataEx!$1:$1048576,MATCH('2019'!$A35,DataEx!$D:$D,0),MATCH('2019'!P$6,DataEx!$7:$7,0))</f>
        <v>0</v>
      </c>
      <c r="Q35" s="188">
        <f>+INDEX(DataEx!$1:$1048576,MATCH('2019'!$A35,DataEx!$D:$D,0),MATCH('2019'!Q$6,DataEx!$7:$7,0))</f>
        <v>0</v>
      </c>
      <c r="R35" s="188">
        <f>+INDEX(DataEx!$1:$1048576,MATCH('2019'!$A35,DataEx!$D:$D,0),MATCH('2019'!R$6,DataEx!$7:$7,0))</f>
        <v>0</v>
      </c>
      <c r="S35" s="269">
        <f t="shared" si="3"/>
        <v>21721423.859999999</v>
      </c>
      <c r="T35" s="270">
        <f t="shared" si="4"/>
        <v>4.5360698032827964E-3</v>
      </c>
    </row>
    <row r="36" spans="1:22">
      <c r="A36" s="175">
        <v>415</v>
      </c>
      <c r="B36" s="484" t="str">
        <f>+VLOOKUP($A36,Master!$D$27:$G$225,4,FALSE)</f>
        <v>Rashodi za tekuće održavanje</v>
      </c>
      <c r="C36" s="485"/>
      <c r="D36" s="485"/>
      <c r="E36" s="485"/>
      <c r="F36" s="485"/>
      <c r="G36" s="188">
        <f>+INDEX(DataEx!$1:$1048576,MATCH('2019'!$A36,DataEx!$D:$D,0),MATCH('2019'!G$6,DataEx!$7:$7,0))</f>
        <v>109483.07</v>
      </c>
      <c r="H36" s="188">
        <f>+INDEX(DataEx!$1:$1048576,MATCH('2019'!$A36,DataEx!$D:$D,0),MATCH('2019'!H$6,DataEx!$7:$7,0))</f>
        <v>1534108.39</v>
      </c>
      <c r="I36" s="188">
        <f>+INDEX(DataEx!$1:$1048576,MATCH('2019'!$A36,DataEx!$D:$D,0),MATCH('2019'!I$6,DataEx!$7:$7,0))</f>
        <v>1553347.68</v>
      </c>
      <c r="J36" s="188">
        <f>+INDEX(DataEx!$1:$1048576,MATCH('2019'!$A36,DataEx!$D:$D,0),MATCH('2019'!J$6,DataEx!$7:$7,0))</f>
        <v>1602730.43</v>
      </c>
      <c r="K36" s="188">
        <f>+INDEX(DataEx!$1:$1048576,MATCH('2019'!$A36,DataEx!$D:$D,0),MATCH('2019'!K$6,DataEx!$7:$7,0))</f>
        <v>1719004.83</v>
      </c>
      <c r="L36" s="188">
        <f>+INDEX(DataEx!$1:$1048576,MATCH('2019'!$A36,DataEx!$D:$D,0),MATCH('2019'!L$6,DataEx!$7:$7,0))</f>
        <v>0</v>
      </c>
      <c r="M36" s="188">
        <f>+INDEX(DataEx!$1:$1048576,MATCH('2019'!$A36,DataEx!$D:$D,0),MATCH('2019'!M$6,DataEx!$7:$7,0))</f>
        <v>0</v>
      </c>
      <c r="N36" s="188">
        <f>+INDEX(DataEx!$1:$1048576,MATCH('2019'!$A36,DataEx!$D:$D,0),MATCH('2019'!N$6,DataEx!$7:$7,0))</f>
        <v>0</v>
      </c>
      <c r="O36" s="188">
        <f>+INDEX(DataEx!$1:$1048576,MATCH('2019'!$A36,DataEx!$D:$D,0),MATCH('2019'!O$6,DataEx!$7:$7,0))</f>
        <v>0</v>
      </c>
      <c r="P36" s="188">
        <f>+INDEX(DataEx!$1:$1048576,MATCH('2019'!$A36,DataEx!$D:$D,0),MATCH('2019'!P$6,DataEx!$7:$7,0))</f>
        <v>0</v>
      </c>
      <c r="Q36" s="188">
        <f>+INDEX(DataEx!$1:$1048576,MATCH('2019'!$A36,DataEx!$D:$D,0),MATCH('2019'!Q$6,DataEx!$7:$7,0))</f>
        <v>0</v>
      </c>
      <c r="R36" s="188">
        <f>+INDEX(DataEx!$1:$1048576,MATCH('2019'!$A36,DataEx!$D:$D,0),MATCH('2019'!R$6,DataEx!$7:$7,0))</f>
        <v>0</v>
      </c>
      <c r="S36" s="269">
        <f t="shared" si="3"/>
        <v>6518674.3999999994</v>
      </c>
      <c r="T36" s="270">
        <f t="shared" si="4"/>
        <v>1.361290230965209E-3</v>
      </c>
    </row>
    <row r="37" spans="1:22">
      <c r="A37" s="175">
        <v>416</v>
      </c>
      <c r="B37" s="484" t="str">
        <f>+VLOOKUP($A37,Master!$D$27:$G$225,4,FALSE)</f>
        <v>Kamate</v>
      </c>
      <c r="C37" s="485"/>
      <c r="D37" s="485"/>
      <c r="E37" s="485"/>
      <c r="F37" s="485"/>
      <c r="G37" s="188">
        <f>+INDEX(DataEx!$1:$1048576,MATCH('2019'!$A37,DataEx!$D:$D,0),MATCH('2019'!G$6,DataEx!$7:$7,0))</f>
        <v>6154852.9000000004</v>
      </c>
      <c r="H37" s="188">
        <f>+INDEX(DataEx!$1:$1048576,MATCH('2019'!$A37,DataEx!$D:$D,0),MATCH('2019'!H$6,DataEx!$7:$7,0))</f>
        <v>950797.68</v>
      </c>
      <c r="I37" s="188">
        <f>+INDEX(DataEx!$1:$1048576,MATCH('2019'!$A37,DataEx!$D:$D,0),MATCH('2019'!I$6,DataEx!$7:$7,0))</f>
        <v>28695513.649999999</v>
      </c>
      <c r="J37" s="188">
        <f>+INDEX(DataEx!$1:$1048576,MATCH('2019'!$A37,DataEx!$D:$D,0),MATCH('2019'!J$6,DataEx!$7:$7,0))</f>
        <v>18405321.859999999</v>
      </c>
      <c r="K37" s="188">
        <f>+INDEX(DataEx!$1:$1048576,MATCH('2019'!$A37,DataEx!$D:$D,0),MATCH('2019'!K$6,DataEx!$7:$7,0))</f>
        <v>1152255.24</v>
      </c>
      <c r="L37" s="188">
        <f>+INDEX(DataEx!$1:$1048576,MATCH('2019'!$A37,DataEx!$D:$D,0),MATCH('2019'!L$6,DataEx!$7:$7,0))</f>
        <v>0</v>
      </c>
      <c r="M37" s="188">
        <f>+INDEX(DataEx!$1:$1048576,MATCH('2019'!$A37,DataEx!$D:$D,0),MATCH('2019'!M$6,DataEx!$7:$7,0))</f>
        <v>0</v>
      </c>
      <c r="N37" s="188">
        <f>+INDEX(DataEx!$1:$1048576,MATCH('2019'!$A37,DataEx!$D:$D,0),MATCH('2019'!N$6,DataEx!$7:$7,0))</f>
        <v>0</v>
      </c>
      <c r="O37" s="188">
        <f>+INDEX(DataEx!$1:$1048576,MATCH('2019'!$A37,DataEx!$D:$D,0),MATCH('2019'!O$6,DataEx!$7:$7,0))</f>
        <v>0</v>
      </c>
      <c r="P37" s="188">
        <f>+INDEX(DataEx!$1:$1048576,MATCH('2019'!$A37,DataEx!$D:$D,0),MATCH('2019'!P$6,DataEx!$7:$7,0))</f>
        <v>0</v>
      </c>
      <c r="Q37" s="188">
        <f>+INDEX(DataEx!$1:$1048576,MATCH('2019'!$A37,DataEx!$D:$D,0),MATCH('2019'!Q$6,DataEx!$7:$7,0))</f>
        <v>0</v>
      </c>
      <c r="R37" s="188">
        <f>+INDEX(DataEx!$1:$1048576,MATCH('2019'!$A37,DataEx!$D:$D,0),MATCH('2019'!R$6,DataEx!$7:$7,0))</f>
        <v>0</v>
      </c>
      <c r="S37" s="269">
        <f>+SUM(G37:R37)</f>
        <v>55358741.329999998</v>
      </c>
      <c r="T37" s="270">
        <f t="shared" si="4"/>
        <v>1.1560527362903562E-2</v>
      </c>
    </row>
    <row r="38" spans="1:22">
      <c r="A38" s="175">
        <v>417</v>
      </c>
      <c r="B38" s="484" t="str">
        <f>+VLOOKUP($A38,Master!$D$27:$G$225,4,FALSE)</f>
        <v>Renta</v>
      </c>
      <c r="C38" s="485"/>
      <c r="D38" s="485"/>
      <c r="E38" s="485"/>
      <c r="F38" s="485"/>
      <c r="G38" s="188">
        <f>+INDEX(DataEx!$1:$1048576,MATCH('2019'!$A38,DataEx!$D:$D,0),MATCH('2019'!G$6,DataEx!$7:$7,0))</f>
        <v>220526.46</v>
      </c>
      <c r="H38" s="188">
        <f>+INDEX(DataEx!$1:$1048576,MATCH('2019'!$A38,DataEx!$D:$D,0),MATCH('2019'!H$6,DataEx!$7:$7,0))</f>
        <v>779733.65</v>
      </c>
      <c r="I38" s="188">
        <f>+INDEX(DataEx!$1:$1048576,MATCH('2019'!$A38,DataEx!$D:$D,0),MATCH('2019'!I$6,DataEx!$7:$7,0))</f>
        <v>803370.53</v>
      </c>
      <c r="J38" s="188">
        <f>+INDEX(DataEx!$1:$1048576,MATCH('2019'!$A38,DataEx!$D:$D,0),MATCH('2019'!J$6,DataEx!$7:$7,0))</f>
        <v>1122402.21</v>
      </c>
      <c r="K38" s="188">
        <f>+INDEX(DataEx!$1:$1048576,MATCH('2019'!$A38,DataEx!$D:$D,0),MATCH('2019'!K$6,DataEx!$7:$7,0))</f>
        <v>989005.29</v>
      </c>
      <c r="L38" s="188">
        <f>+INDEX(DataEx!$1:$1048576,MATCH('2019'!$A38,DataEx!$D:$D,0),MATCH('2019'!L$6,DataEx!$7:$7,0))</f>
        <v>0</v>
      </c>
      <c r="M38" s="188">
        <f>+INDEX(DataEx!$1:$1048576,MATCH('2019'!$A38,DataEx!$D:$D,0),MATCH('2019'!M$6,DataEx!$7:$7,0))</f>
        <v>0</v>
      </c>
      <c r="N38" s="188">
        <f>+INDEX(DataEx!$1:$1048576,MATCH('2019'!$A38,DataEx!$D:$D,0),MATCH('2019'!N$6,DataEx!$7:$7,0))</f>
        <v>0</v>
      </c>
      <c r="O38" s="188">
        <f>+INDEX(DataEx!$1:$1048576,MATCH('2019'!$A38,DataEx!$D:$D,0),MATCH('2019'!O$6,DataEx!$7:$7,0))</f>
        <v>0</v>
      </c>
      <c r="P38" s="188">
        <f>+INDEX(DataEx!$1:$1048576,MATCH('2019'!$A38,DataEx!$D:$D,0),MATCH('2019'!P$6,DataEx!$7:$7,0))</f>
        <v>0</v>
      </c>
      <c r="Q38" s="188">
        <f>+INDEX(DataEx!$1:$1048576,MATCH('2019'!$A38,DataEx!$D:$D,0),MATCH('2019'!Q$6,DataEx!$7:$7,0))</f>
        <v>0</v>
      </c>
      <c r="R38" s="188">
        <f>+INDEX(DataEx!$1:$1048576,MATCH('2019'!$A38,DataEx!$D:$D,0),MATCH('2019'!R$6,DataEx!$7:$7,0))</f>
        <v>0</v>
      </c>
      <c r="S38" s="269">
        <f t="shared" si="3"/>
        <v>3915038.14</v>
      </c>
      <c r="T38" s="270">
        <f t="shared" si="4"/>
        <v>8.175746857118991E-4</v>
      </c>
    </row>
    <row r="39" spans="1:22">
      <c r="A39" s="175">
        <v>418</v>
      </c>
      <c r="B39" s="484" t="str">
        <f>+VLOOKUP($A39,Master!$D$27:$G$225,4,FALSE)</f>
        <v>Subvencije</v>
      </c>
      <c r="C39" s="485"/>
      <c r="D39" s="485"/>
      <c r="E39" s="485"/>
      <c r="F39" s="485"/>
      <c r="G39" s="188">
        <f>+INDEX(DataEx!$1:$1048576,MATCH('2019'!$A39,DataEx!$D:$D,0),MATCH('2019'!G$6,DataEx!$7:$7,0))</f>
        <v>99006.6</v>
      </c>
      <c r="H39" s="188">
        <f>+INDEX(DataEx!$1:$1048576,MATCH('2019'!$A39,DataEx!$D:$D,0),MATCH('2019'!H$6,DataEx!$7:$7,0))</f>
        <v>1819632.21</v>
      </c>
      <c r="I39" s="188">
        <f>+INDEX(DataEx!$1:$1048576,MATCH('2019'!$A39,DataEx!$D:$D,0),MATCH('2019'!I$6,DataEx!$7:$7,0))</f>
        <v>3556257.45</v>
      </c>
      <c r="J39" s="188">
        <f>+INDEX(DataEx!$1:$1048576,MATCH('2019'!$A39,DataEx!$D:$D,0),MATCH('2019'!J$6,DataEx!$7:$7,0))</f>
        <v>1298353.71</v>
      </c>
      <c r="K39" s="188">
        <f>+INDEX(DataEx!$1:$1048576,MATCH('2019'!$A39,DataEx!$D:$D,0),MATCH('2019'!K$6,DataEx!$7:$7,0))</f>
        <v>2194236.0299999998</v>
      </c>
      <c r="L39" s="188">
        <f>+INDEX(DataEx!$1:$1048576,MATCH('2019'!$A39,DataEx!$D:$D,0),MATCH('2019'!L$6,DataEx!$7:$7,0))</f>
        <v>0</v>
      </c>
      <c r="M39" s="188">
        <f>+INDEX(DataEx!$1:$1048576,MATCH('2019'!$A39,DataEx!$D:$D,0),MATCH('2019'!M$6,DataEx!$7:$7,0))</f>
        <v>0</v>
      </c>
      <c r="N39" s="188">
        <f>+INDEX(DataEx!$1:$1048576,MATCH('2019'!$A39,DataEx!$D:$D,0),MATCH('2019'!N$6,DataEx!$7:$7,0))</f>
        <v>0</v>
      </c>
      <c r="O39" s="188">
        <f>+INDEX(DataEx!$1:$1048576,MATCH('2019'!$A39,DataEx!$D:$D,0),MATCH('2019'!O$6,DataEx!$7:$7,0))</f>
        <v>0</v>
      </c>
      <c r="P39" s="188">
        <f>+INDEX(DataEx!$1:$1048576,MATCH('2019'!$A39,DataEx!$D:$D,0),MATCH('2019'!P$6,DataEx!$7:$7,0))</f>
        <v>0</v>
      </c>
      <c r="Q39" s="188">
        <f>+INDEX(DataEx!$1:$1048576,MATCH('2019'!$A39,DataEx!$D:$D,0),MATCH('2019'!Q$6,DataEx!$7:$7,0))</f>
        <v>0</v>
      </c>
      <c r="R39" s="188">
        <f>+INDEX(DataEx!$1:$1048576,MATCH('2019'!$A39,DataEx!$D:$D,0),MATCH('2019'!R$6,DataEx!$7:$7,0))</f>
        <v>0</v>
      </c>
      <c r="S39" s="269">
        <f t="shared" si="3"/>
        <v>8967486</v>
      </c>
      <c r="T39" s="270">
        <f t="shared" si="4"/>
        <v>1.8726738503946874E-3</v>
      </c>
    </row>
    <row r="40" spans="1:22">
      <c r="A40" s="175">
        <v>419</v>
      </c>
      <c r="B40" s="484" t="str">
        <f>+VLOOKUP($A40,Master!$D$27:$G$225,4,FALSE)</f>
        <v>Ostali izdaci</v>
      </c>
      <c r="C40" s="485"/>
      <c r="D40" s="485"/>
      <c r="E40" s="485"/>
      <c r="F40" s="485"/>
      <c r="G40" s="188">
        <f>+INDEX(DataEx!$1:$1048576,MATCH('2019'!$A40,DataEx!$D:$D,0),MATCH('2019'!G$6,DataEx!$7:$7,0))</f>
        <v>695586.92</v>
      </c>
      <c r="H40" s="188">
        <f>+INDEX(DataEx!$1:$1048576,MATCH('2019'!$A40,DataEx!$D:$D,0),MATCH('2019'!H$6,DataEx!$7:$7,0))</f>
        <v>3360581.13</v>
      </c>
      <c r="I40" s="188">
        <f>+INDEX(DataEx!$1:$1048576,MATCH('2019'!$A40,DataEx!$D:$D,0),MATCH('2019'!I$6,DataEx!$7:$7,0))</f>
        <v>2355848.1</v>
      </c>
      <c r="J40" s="188">
        <f>+INDEX(DataEx!$1:$1048576,MATCH('2019'!$A40,DataEx!$D:$D,0),MATCH('2019'!J$6,DataEx!$7:$7,0))</f>
        <v>5380148.8300000001</v>
      </c>
      <c r="K40" s="188">
        <f>+INDEX(DataEx!$1:$1048576,MATCH('2019'!$A40,DataEx!$D:$D,0),MATCH('2019'!K$6,DataEx!$7:$7,0))</f>
        <v>2122463.62</v>
      </c>
      <c r="L40" s="188">
        <f>+INDEX(DataEx!$1:$1048576,MATCH('2019'!$A40,DataEx!$D:$D,0),MATCH('2019'!L$6,DataEx!$7:$7,0))</f>
        <v>0</v>
      </c>
      <c r="M40" s="188">
        <f>+INDEX(DataEx!$1:$1048576,MATCH('2019'!$A40,DataEx!$D:$D,0),MATCH('2019'!M$6,DataEx!$7:$7,0))</f>
        <v>0</v>
      </c>
      <c r="N40" s="188">
        <f>+INDEX(DataEx!$1:$1048576,MATCH('2019'!$A40,DataEx!$D:$D,0),MATCH('2019'!N$6,DataEx!$7:$7,0))</f>
        <v>0</v>
      </c>
      <c r="O40" s="188">
        <f>+INDEX(DataEx!$1:$1048576,MATCH('2019'!$A40,DataEx!$D:$D,0),MATCH('2019'!O$6,DataEx!$7:$7,0))</f>
        <v>0</v>
      </c>
      <c r="P40" s="188">
        <f>+INDEX(DataEx!$1:$1048576,MATCH('2019'!$A40,DataEx!$D:$D,0),MATCH('2019'!P$6,DataEx!$7:$7,0))</f>
        <v>0</v>
      </c>
      <c r="Q40" s="188">
        <f>+INDEX(DataEx!$1:$1048576,MATCH('2019'!$A40,DataEx!$D:$D,0),MATCH('2019'!Q$6,DataEx!$7:$7,0))</f>
        <v>0</v>
      </c>
      <c r="R40" s="188">
        <f>+INDEX(DataEx!$1:$1048576,MATCH('2019'!$A40,DataEx!$D:$D,0),MATCH('2019'!R$6,DataEx!$7:$7,0))</f>
        <v>0</v>
      </c>
      <c r="S40" s="269">
        <f t="shared" si="3"/>
        <v>13914628.600000001</v>
      </c>
      <c r="T40" s="270">
        <f t="shared" si="4"/>
        <v>2.9057821910370468E-3</v>
      </c>
    </row>
    <row r="41" spans="1:22">
      <c r="A41" s="175">
        <v>440</v>
      </c>
      <c r="B41" s="484" t="str">
        <f>+VLOOKUP($A41,Master!$D$27:$G$225,4,FALSE)</f>
        <v>Kapitalni izdaci u tekućem budžetu</v>
      </c>
      <c r="C41" s="485"/>
      <c r="D41" s="485"/>
      <c r="E41" s="485"/>
      <c r="F41" s="485"/>
      <c r="G41" s="188">
        <f>+INDEX(DataEx!$1:$1048576,MATCH('2019'!$A41,DataEx!$D:$D,0),MATCH('2019'!G$6,DataEx!$7:$7,0))</f>
        <v>720914.39</v>
      </c>
      <c r="H41" s="188">
        <f>+INDEX(DataEx!$1:$1048576,MATCH('2019'!$A41,DataEx!$D:$D,0),MATCH('2019'!H$6,DataEx!$7:$7,0))</f>
        <v>3462137.8600000003</v>
      </c>
      <c r="I41" s="188">
        <f>+INDEX(DataEx!$1:$1048576,MATCH('2019'!$A41,DataEx!$D:$D,0),MATCH('2019'!I$6,DataEx!$7:$7,0))</f>
        <v>1772948.37</v>
      </c>
      <c r="J41" s="188">
        <f>+INDEX(DataEx!$1:$1048576,MATCH('2019'!$A41,DataEx!$D:$D,0),MATCH('2019'!J$6,DataEx!$7:$7,0))</f>
        <v>2074285.0700000003</v>
      </c>
      <c r="K41" s="188">
        <f>+INDEX(DataEx!$1:$1048576,MATCH('2019'!$A41,DataEx!$D:$D,0),MATCH('2019'!K$6,DataEx!$7:$7,0))</f>
        <v>1862038.5</v>
      </c>
      <c r="L41" s="188">
        <f>+INDEX(DataEx!$1:$1048576,MATCH('2019'!$A41,DataEx!$D:$D,0),MATCH('2019'!L$6,DataEx!$7:$7,0))</f>
        <v>0</v>
      </c>
      <c r="M41" s="188">
        <f>+INDEX(DataEx!$1:$1048576,MATCH('2019'!$A41,DataEx!$D:$D,0),MATCH('2019'!M$6,DataEx!$7:$7,0))</f>
        <v>0</v>
      </c>
      <c r="N41" s="188">
        <f>+INDEX(DataEx!$1:$1048576,MATCH('2019'!$A41,DataEx!$D:$D,0),MATCH('2019'!N$6,DataEx!$7:$7,0))</f>
        <v>0</v>
      </c>
      <c r="O41" s="188">
        <f>+INDEX(DataEx!$1:$1048576,MATCH('2019'!$A41,DataEx!$D:$D,0),MATCH('2019'!O$6,DataEx!$7:$7,0))</f>
        <v>0</v>
      </c>
      <c r="P41" s="188">
        <f>+INDEX(DataEx!$1:$1048576,MATCH('2019'!$A41,DataEx!$D:$D,0),MATCH('2019'!P$6,DataEx!$7:$7,0))</f>
        <v>0</v>
      </c>
      <c r="Q41" s="188">
        <f>+INDEX(DataEx!$1:$1048576,MATCH('2019'!$A41,DataEx!$D:$D,0),MATCH('2019'!Q$6,DataEx!$7:$7,0))</f>
        <v>0</v>
      </c>
      <c r="R41" s="188">
        <f>+INDEX(DataEx!$1:$1048576,MATCH('2019'!$A41,DataEx!$D:$D,0),MATCH('2019'!R$6,DataEx!$7:$7,0))</f>
        <v>0</v>
      </c>
      <c r="S41" s="269">
        <f t="shared" si="3"/>
        <v>9892324.1900000013</v>
      </c>
      <c r="T41" s="270">
        <f t="shared" si="4"/>
        <v>2.0658071649333836E-3</v>
      </c>
    </row>
    <row r="42" spans="1:22">
      <c r="A42" s="175">
        <v>42</v>
      </c>
      <c r="B42" s="480" t="str">
        <f>+VLOOKUP($A42,Master!$D$27:$G$225,4,FALSE)</f>
        <v>Transferi za socijalnu zaštitu</v>
      </c>
      <c r="C42" s="481"/>
      <c r="D42" s="481"/>
      <c r="E42" s="481"/>
      <c r="F42" s="481"/>
      <c r="G42" s="218">
        <f>+SUM(G43:G47)</f>
        <v>42563180.95000001</v>
      </c>
      <c r="H42" s="218">
        <f t="shared" ref="H42:R42" si="8">+SUM(H43:H47)</f>
        <v>46595802.07</v>
      </c>
      <c r="I42" s="218">
        <f t="shared" si="8"/>
        <v>45429673.470000006</v>
      </c>
      <c r="J42" s="218">
        <f t="shared" si="8"/>
        <v>45454458.559999995</v>
      </c>
      <c r="K42" s="218">
        <f t="shared" si="8"/>
        <v>45755730.580000006</v>
      </c>
      <c r="L42" s="218">
        <f t="shared" si="8"/>
        <v>0</v>
      </c>
      <c r="M42" s="218">
        <f t="shared" si="8"/>
        <v>0</v>
      </c>
      <c r="N42" s="218">
        <f t="shared" si="8"/>
        <v>0</v>
      </c>
      <c r="O42" s="218">
        <f t="shared" si="8"/>
        <v>0</v>
      </c>
      <c r="P42" s="218">
        <f t="shared" si="8"/>
        <v>0</v>
      </c>
      <c r="Q42" s="218">
        <f t="shared" si="8"/>
        <v>0</v>
      </c>
      <c r="R42" s="282">
        <f t="shared" si="8"/>
        <v>0</v>
      </c>
      <c r="S42" s="272">
        <f t="shared" si="3"/>
        <v>225798845.63000003</v>
      </c>
      <c r="T42" s="273">
        <f t="shared" si="4"/>
        <v>4.7153415534811852E-2</v>
      </c>
    </row>
    <row r="43" spans="1:22">
      <c r="A43" s="175">
        <v>421</v>
      </c>
      <c r="B43" s="484" t="str">
        <f>+VLOOKUP($A43,Master!$D$27:$G$225,4,FALSE)</f>
        <v>Prava iz oblasti socijalne zaštite</v>
      </c>
      <c r="C43" s="485"/>
      <c r="D43" s="485"/>
      <c r="E43" s="485"/>
      <c r="F43" s="485"/>
      <c r="G43" s="188">
        <f>+INDEX(DataEx!$1:$1048576,MATCH('2019'!$A43,DataEx!$D:$D,0),MATCH('2019'!G$6,DataEx!$7:$7,0))</f>
        <v>5984394.8399999999</v>
      </c>
      <c r="H43" s="188">
        <f>+INDEX(DataEx!$1:$1048576,MATCH('2019'!$A43,DataEx!$D:$D,0),MATCH('2019'!H$6,DataEx!$7:$7,0))</f>
        <v>6928715.1699999999</v>
      </c>
      <c r="I43" s="188">
        <f>+INDEX(DataEx!$1:$1048576,MATCH('2019'!$A43,DataEx!$D:$D,0),MATCH('2019'!I$6,DataEx!$7:$7,0))</f>
        <v>6534675.6500000004</v>
      </c>
      <c r="J43" s="188">
        <f>+INDEX(DataEx!$1:$1048576,MATCH('2019'!$A43,DataEx!$D:$D,0),MATCH('2019'!J$6,DataEx!$7:$7,0))</f>
        <v>6641554.0999999996</v>
      </c>
      <c r="K43" s="188">
        <f>+INDEX(DataEx!$1:$1048576,MATCH('2019'!$A43,DataEx!$D:$D,0),MATCH('2019'!K$6,DataEx!$7:$7,0))</f>
        <v>6410465.4699999997</v>
      </c>
      <c r="L43" s="188">
        <f>+INDEX(DataEx!$1:$1048576,MATCH('2019'!$A43,DataEx!$D:$D,0),MATCH('2019'!L$6,DataEx!$7:$7,0))</f>
        <v>0</v>
      </c>
      <c r="M43" s="188">
        <f>+INDEX(DataEx!$1:$1048576,MATCH('2019'!$A43,DataEx!$D:$D,0),MATCH('2019'!M$6,DataEx!$7:$7,0))</f>
        <v>0</v>
      </c>
      <c r="N43" s="188">
        <f>+INDEX(DataEx!$1:$1048576,MATCH('2019'!$A43,DataEx!$D:$D,0),MATCH('2019'!N$6,DataEx!$7:$7,0))</f>
        <v>0</v>
      </c>
      <c r="O43" s="188">
        <f>+INDEX(DataEx!$1:$1048576,MATCH('2019'!$A43,DataEx!$D:$D,0),MATCH('2019'!O$6,DataEx!$7:$7,0))</f>
        <v>0</v>
      </c>
      <c r="P43" s="188">
        <f>+INDEX(DataEx!$1:$1048576,MATCH('2019'!$A43,DataEx!$D:$D,0),MATCH('2019'!P$6,DataEx!$7:$7,0))</f>
        <v>0</v>
      </c>
      <c r="Q43" s="188">
        <f>+INDEX(DataEx!$1:$1048576,MATCH('2019'!$A43,DataEx!$D:$D,0),MATCH('2019'!Q$6,DataEx!$7:$7,0))</f>
        <v>0</v>
      </c>
      <c r="R43" s="188">
        <f>+INDEX(DataEx!$1:$1048576,MATCH('2019'!$A43,DataEx!$D:$D,0),MATCH('2019'!R$6,DataEx!$7:$7,0))</f>
        <v>0</v>
      </c>
      <c r="S43" s="269">
        <f t="shared" si="3"/>
        <v>32499805.229999997</v>
      </c>
      <c r="T43" s="270">
        <f t="shared" si="4"/>
        <v>6.7869116714697397E-3</v>
      </c>
    </row>
    <row r="44" spans="1:22">
      <c r="A44" s="175">
        <v>422</v>
      </c>
      <c r="B44" s="484" t="str">
        <f>+VLOOKUP($A44,Master!$D$27:$G$225,4,FALSE)</f>
        <v>Sredstva za tehnološke viškove</v>
      </c>
      <c r="C44" s="485"/>
      <c r="D44" s="485"/>
      <c r="E44" s="485"/>
      <c r="F44" s="485"/>
      <c r="G44" s="188">
        <f>+INDEX(DataEx!$1:$1048576,MATCH('2019'!$A44,DataEx!$D:$D,0),MATCH('2019'!G$6,DataEx!$7:$7,0))</f>
        <v>43800</v>
      </c>
      <c r="H44" s="188">
        <f>+INDEX(DataEx!$1:$1048576,MATCH('2019'!$A44,DataEx!$D:$D,0),MATCH('2019'!H$6,DataEx!$7:$7,0))</f>
        <v>1198874.72</v>
      </c>
      <c r="I44" s="188">
        <f>+INDEX(DataEx!$1:$1048576,MATCH('2019'!$A44,DataEx!$D:$D,0),MATCH('2019'!I$6,DataEx!$7:$7,0))</f>
        <v>1110784.77</v>
      </c>
      <c r="J44" s="188">
        <f>+INDEX(DataEx!$1:$1048576,MATCH('2019'!$A44,DataEx!$D:$D,0),MATCH('2019'!J$6,DataEx!$7:$7,0))</f>
        <v>1095242.3400000001</v>
      </c>
      <c r="K44" s="188">
        <f>+INDEX(DataEx!$1:$1048576,MATCH('2019'!$A44,DataEx!$D:$D,0),MATCH('2019'!K$6,DataEx!$7:$7,0))</f>
        <v>1341095.6299999999</v>
      </c>
      <c r="L44" s="188">
        <f>+INDEX(DataEx!$1:$1048576,MATCH('2019'!$A44,DataEx!$D:$D,0),MATCH('2019'!L$6,DataEx!$7:$7,0))</f>
        <v>0</v>
      </c>
      <c r="M44" s="188">
        <f>+INDEX(DataEx!$1:$1048576,MATCH('2019'!$A44,DataEx!$D:$D,0),MATCH('2019'!M$6,DataEx!$7:$7,0))</f>
        <v>0</v>
      </c>
      <c r="N44" s="188">
        <f>+INDEX(DataEx!$1:$1048576,MATCH('2019'!$A44,DataEx!$D:$D,0),MATCH('2019'!N$6,DataEx!$7:$7,0))</f>
        <v>0</v>
      </c>
      <c r="O44" s="188">
        <f>+INDEX(DataEx!$1:$1048576,MATCH('2019'!$A44,DataEx!$D:$D,0),MATCH('2019'!O$6,DataEx!$7:$7,0))</f>
        <v>0</v>
      </c>
      <c r="P44" s="188">
        <f>+INDEX(DataEx!$1:$1048576,MATCH('2019'!$A44,DataEx!$D:$D,0),MATCH('2019'!P$6,DataEx!$7:$7,0))</f>
        <v>0</v>
      </c>
      <c r="Q44" s="188">
        <f>+INDEX(DataEx!$1:$1048576,MATCH('2019'!$A44,DataEx!$D:$D,0),MATCH('2019'!Q$6,DataEx!$7:$7,0))</f>
        <v>0</v>
      </c>
      <c r="R44" s="188">
        <f>+INDEX(DataEx!$1:$1048576,MATCH('2019'!$A44,DataEx!$D:$D,0),MATCH('2019'!R$6,DataEx!$7:$7,0))</f>
        <v>0</v>
      </c>
      <c r="S44" s="269">
        <f t="shared" si="3"/>
        <v>4789797.46</v>
      </c>
      <c r="T44" s="270">
        <f t="shared" si="4"/>
        <v>1.0002500647370838E-3</v>
      </c>
    </row>
    <row r="45" spans="1:22">
      <c r="A45" s="175">
        <v>423</v>
      </c>
      <c r="B45" s="484" t="str">
        <f>+VLOOKUP($A45,Master!$D$27:$G$225,4,FALSE)</f>
        <v>Prava iz oblasti penzijskog i invalidskog osiguranja</v>
      </c>
      <c r="C45" s="485"/>
      <c r="D45" s="485"/>
      <c r="E45" s="485"/>
      <c r="F45" s="485"/>
      <c r="G45" s="188">
        <f>+INDEX(DataEx!$1:$1048576,MATCH('2019'!$A45,DataEx!$D:$D,0),MATCH('2019'!G$6,DataEx!$7:$7,0))</f>
        <v>34463250.560000002</v>
      </c>
      <c r="H45" s="188">
        <f>+INDEX(DataEx!$1:$1048576,MATCH('2019'!$A45,DataEx!$D:$D,0),MATCH('2019'!H$6,DataEx!$7:$7,0))</f>
        <v>35530168.719999999</v>
      </c>
      <c r="I45" s="188">
        <f>+INDEX(DataEx!$1:$1048576,MATCH('2019'!$A45,DataEx!$D:$D,0),MATCH('2019'!I$6,DataEx!$7:$7,0))</f>
        <v>35281578.630000003</v>
      </c>
      <c r="J45" s="188">
        <f>+INDEX(DataEx!$1:$1048576,MATCH('2019'!$A45,DataEx!$D:$D,0),MATCH('2019'!J$6,DataEx!$7:$7,0))</f>
        <v>35247727.210000001</v>
      </c>
      <c r="K45" s="188">
        <f>+INDEX(DataEx!$1:$1048576,MATCH('2019'!$A45,DataEx!$D:$D,0),MATCH('2019'!K$6,DataEx!$7:$7,0))</f>
        <v>35184087.420000002</v>
      </c>
      <c r="L45" s="188">
        <f>+INDEX(DataEx!$1:$1048576,MATCH('2019'!$A45,DataEx!$D:$D,0),MATCH('2019'!L$6,DataEx!$7:$7,0))</f>
        <v>0</v>
      </c>
      <c r="M45" s="188">
        <f>+INDEX(DataEx!$1:$1048576,MATCH('2019'!$A45,DataEx!$D:$D,0),MATCH('2019'!M$6,DataEx!$7:$7,0))</f>
        <v>0</v>
      </c>
      <c r="N45" s="188">
        <f>+INDEX(DataEx!$1:$1048576,MATCH('2019'!$A45,DataEx!$D:$D,0),MATCH('2019'!N$6,DataEx!$7:$7,0))</f>
        <v>0</v>
      </c>
      <c r="O45" s="188">
        <f>+INDEX(DataEx!$1:$1048576,MATCH('2019'!$A45,DataEx!$D:$D,0),MATCH('2019'!O$6,DataEx!$7:$7,0))</f>
        <v>0</v>
      </c>
      <c r="P45" s="188">
        <f>+INDEX(DataEx!$1:$1048576,MATCH('2019'!$A45,DataEx!$D:$D,0),MATCH('2019'!P$6,DataEx!$7:$7,0))</f>
        <v>0</v>
      </c>
      <c r="Q45" s="188">
        <f>+INDEX(DataEx!$1:$1048576,MATCH('2019'!$A45,DataEx!$D:$D,0),MATCH('2019'!Q$6,DataEx!$7:$7,0))</f>
        <v>0</v>
      </c>
      <c r="R45" s="188">
        <f>+INDEX(DataEx!$1:$1048576,MATCH('2019'!$A45,DataEx!$D:$D,0),MATCH('2019'!R$6,DataEx!$7:$7,0))</f>
        <v>0</v>
      </c>
      <c r="S45" s="269">
        <f t="shared" si="3"/>
        <v>175706812.54000002</v>
      </c>
      <c r="T45" s="270">
        <f t="shared" si="4"/>
        <v>3.6692731182391518E-2</v>
      </c>
    </row>
    <row r="46" spans="1:22">
      <c r="A46" s="175">
        <v>424</v>
      </c>
      <c r="B46" s="484" t="str">
        <f>+VLOOKUP($A46,Master!$D$27:$G$225,4,FALSE)</f>
        <v>Ostala prava iz oblasti zdravstvene zaštite</v>
      </c>
      <c r="C46" s="485"/>
      <c r="D46" s="485"/>
      <c r="E46" s="485"/>
      <c r="F46" s="485"/>
      <c r="G46" s="188">
        <f>+INDEX(DataEx!$1:$1048576,MATCH('2019'!$A46,DataEx!$D:$D,0),MATCH('2019'!G$6,DataEx!$7:$7,0))</f>
        <v>1579079.63</v>
      </c>
      <c r="H46" s="188">
        <f>+INDEX(DataEx!$1:$1048576,MATCH('2019'!$A46,DataEx!$D:$D,0),MATCH('2019'!H$6,DataEx!$7:$7,0))</f>
        <v>1855950.15</v>
      </c>
      <c r="I46" s="188">
        <f>+INDEX(DataEx!$1:$1048576,MATCH('2019'!$A46,DataEx!$D:$D,0),MATCH('2019'!I$6,DataEx!$7:$7,0))</f>
        <v>1427147.65</v>
      </c>
      <c r="J46" s="188">
        <f>+INDEX(DataEx!$1:$1048576,MATCH('2019'!$A46,DataEx!$D:$D,0),MATCH('2019'!J$6,DataEx!$7:$7,0))</f>
        <v>1689956.36</v>
      </c>
      <c r="K46" s="188">
        <f>+INDEX(DataEx!$1:$1048576,MATCH('2019'!$A46,DataEx!$D:$D,0),MATCH('2019'!K$6,DataEx!$7:$7,0))</f>
        <v>1914804.54</v>
      </c>
      <c r="L46" s="188">
        <f>+INDEX(DataEx!$1:$1048576,MATCH('2019'!$A46,DataEx!$D:$D,0),MATCH('2019'!L$6,DataEx!$7:$7,0))</f>
        <v>0</v>
      </c>
      <c r="M46" s="188">
        <f>+INDEX(DataEx!$1:$1048576,MATCH('2019'!$A46,DataEx!$D:$D,0),MATCH('2019'!M$6,DataEx!$7:$7,0))</f>
        <v>0</v>
      </c>
      <c r="N46" s="188">
        <f>+INDEX(DataEx!$1:$1048576,MATCH('2019'!$A46,DataEx!$D:$D,0),MATCH('2019'!N$6,DataEx!$7:$7,0))</f>
        <v>0</v>
      </c>
      <c r="O46" s="188">
        <f>+INDEX(DataEx!$1:$1048576,MATCH('2019'!$A46,DataEx!$D:$D,0),MATCH('2019'!O$6,DataEx!$7:$7,0))</f>
        <v>0</v>
      </c>
      <c r="P46" s="188">
        <f>+INDEX(DataEx!$1:$1048576,MATCH('2019'!$A46,DataEx!$D:$D,0),MATCH('2019'!P$6,DataEx!$7:$7,0))</f>
        <v>0</v>
      </c>
      <c r="Q46" s="188">
        <f>+INDEX(DataEx!$1:$1048576,MATCH('2019'!$A46,DataEx!$D:$D,0),MATCH('2019'!Q$6,DataEx!$7:$7,0))</f>
        <v>0</v>
      </c>
      <c r="R46" s="188">
        <f>+INDEX(DataEx!$1:$1048576,MATCH('2019'!$A46,DataEx!$D:$D,0),MATCH('2019'!R$6,DataEx!$7:$7,0))</f>
        <v>0</v>
      </c>
      <c r="S46" s="269">
        <f t="shared" si="3"/>
        <v>8466938.3300000001</v>
      </c>
      <c r="T46" s="270">
        <f t="shared" si="4"/>
        <v>1.7681448293864596E-3</v>
      </c>
    </row>
    <row r="47" spans="1:22">
      <c r="A47" s="175">
        <v>425</v>
      </c>
      <c r="B47" s="553" t="str">
        <f>+VLOOKUP($A47,Master!$D$27:$G$225,4,FALSE)</f>
        <v>Ostala prava iz zdravstvenog osiguranja</v>
      </c>
      <c r="C47" s="554"/>
      <c r="D47" s="554"/>
      <c r="E47" s="554"/>
      <c r="F47" s="554"/>
      <c r="G47" s="188">
        <f>+INDEX(DataEx!$1:$1048576,MATCH('2019'!$A47,DataEx!$D:$D,0),MATCH('2019'!G$6,DataEx!$7:$7,0))</f>
        <v>492655.92</v>
      </c>
      <c r="H47" s="188">
        <f>+INDEX(DataEx!$1:$1048576,MATCH('2019'!$A47,DataEx!$D:$D,0),MATCH('2019'!H$6,DataEx!$7:$7,0))</f>
        <v>1082093.31</v>
      </c>
      <c r="I47" s="188">
        <f>+INDEX(DataEx!$1:$1048576,MATCH('2019'!$A47,DataEx!$D:$D,0),MATCH('2019'!I$6,DataEx!$7:$7,0))</f>
        <v>1075486.77</v>
      </c>
      <c r="J47" s="188">
        <f>+INDEX(DataEx!$1:$1048576,MATCH('2019'!$A47,DataEx!$D:$D,0),MATCH('2019'!J$6,DataEx!$7:$7,0))</f>
        <v>779978.55</v>
      </c>
      <c r="K47" s="188">
        <f>+INDEX(DataEx!$1:$1048576,MATCH('2019'!$A47,DataEx!$D:$D,0),MATCH('2019'!K$6,DataEx!$7:$7,0))</f>
        <v>905277.52</v>
      </c>
      <c r="L47" s="188">
        <f>+INDEX(DataEx!$1:$1048576,MATCH('2019'!$A47,DataEx!$D:$D,0),MATCH('2019'!L$6,DataEx!$7:$7,0))</f>
        <v>0</v>
      </c>
      <c r="M47" s="188">
        <f>+INDEX(DataEx!$1:$1048576,MATCH('2019'!$A47,DataEx!$D:$D,0),MATCH('2019'!M$6,DataEx!$7:$7,0))</f>
        <v>0</v>
      </c>
      <c r="N47" s="188">
        <f>+INDEX(DataEx!$1:$1048576,MATCH('2019'!$A47,DataEx!$D:$D,0),MATCH('2019'!N$6,DataEx!$7:$7,0))</f>
        <v>0</v>
      </c>
      <c r="O47" s="188">
        <f>+INDEX(DataEx!$1:$1048576,MATCH('2019'!$A47,DataEx!$D:$D,0),MATCH('2019'!O$6,DataEx!$7:$7,0))</f>
        <v>0</v>
      </c>
      <c r="P47" s="188">
        <f>+INDEX(DataEx!$1:$1048576,MATCH('2019'!$A47,DataEx!$D:$D,0),MATCH('2019'!P$6,DataEx!$7:$7,0))</f>
        <v>0</v>
      </c>
      <c r="Q47" s="188">
        <f>+INDEX(DataEx!$1:$1048576,MATCH('2019'!$A47,DataEx!$D:$D,0),MATCH('2019'!Q$6,DataEx!$7:$7,0))</f>
        <v>0</v>
      </c>
      <c r="R47" s="188">
        <f>+INDEX(DataEx!$1:$1048576,MATCH('2019'!$A47,DataEx!$D:$D,0),MATCH('2019'!R$6,DataEx!$7:$7,0))</f>
        <v>0</v>
      </c>
      <c r="S47" s="269">
        <f t="shared" si="3"/>
        <v>4335492.07</v>
      </c>
      <c r="T47" s="270">
        <f t="shared" si="4"/>
        <v>9.053777868270476E-4</v>
      </c>
    </row>
    <row r="48" spans="1:22">
      <c r="A48" s="175">
        <v>43</v>
      </c>
      <c r="B48" s="482" t="str">
        <f>+VLOOKUP($A48,Master!$D$27:$G$225,4,FALSE)</f>
        <v xml:space="preserve">Transferi institucijama, pojedincima, nevladinom i javnom sektoru </v>
      </c>
      <c r="C48" s="483"/>
      <c r="D48" s="483"/>
      <c r="E48" s="483"/>
      <c r="F48" s="483"/>
      <c r="G48" s="200">
        <f>+INDEX(DataEx!$1:$1048576,MATCH('2019'!$A48,DataEx!$D:$D,0),MATCH('2019'!G$6,DataEx!$7:$7,0))</f>
        <v>15740550.810000001</v>
      </c>
      <c r="H48" s="200">
        <f>+INDEX(DataEx!$1:$1048576,MATCH('2019'!$A48,DataEx!$D:$D,0),MATCH('2019'!H$6,DataEx!$7:$7,0))</f>
        <v>18630588.73</v>
      </c>
      <c r="I48" s="200">
        <f>+INDEX(DataEx!$1:$1048576,MATCH('2019'!$A48,DataEx!$D:$D,0),MATCH('2019'!I$6,DataEx!$7:$7,0))</f>
        <v>16694917.779999999</v>
      </c>
      <c r="J48" s="200">
        <f>+INDEX(DataEx!$1:$1048576,MATCH('2019'!$A48,DataEx!$D:$D,0),MATCH('2019'!J$6,DataEx!$7:$7,0))</f>
        <v>16109431.9</v>
      </c>
      <c r="K48" s="200">
        <f>+INDEX(DataEx!$1:$1048576,MATCH('2019'!$A48,DataEx!$D:$D,0),MATCH('2019'!K$6,DataEx!$7:$7,0))</f>
        <v>17254969.68</v>
      </c>
      <c r="L48" s="200">
        <f>+INDEX(DataEx!$1:$1048576,MATCH('2019'!$A48,DataEx!$D:$D,0),MATCH('2019'!L$6,DataEx!$7:$7,0))</f>
        <v>0</v>
      </c>
      <c r="M48" s="200">
        <f>+INDEX(DataEx!$1:$1048576,MATCH('2019'!$A48,DataEx!$D:$D,0),MATCH('2019'!M$6,DataEx!$7:$7,0))</f>
        <v>0</v>
      </c>
      <c r="N48" s="200">
        <f>+INDEX(DataEx!$1:$1048576,MATCH('2019'!$A48,DataEx!$D:$D,0),MATCH('2019'!N$6,DataEx!$7:$7,0))</f>
        <v>0</v>
      </c>
      <c r="O48" s="200">
        <f>+INDEX(DataEx!$1:$1048576,MATCH('2019'!$A48,DataEx!$D:$D,0),MATCH('2019'!O$6,DataEx!$7:$7,0))</f>
        <v>0</v>
      </c>
      <c r="P48" s="200">
        <f>+INDEX(DataEx!$1:$1048576,MATCH('2019'!$A48,DataEx!$D:$D,0),MATCH('2019'!P$6,DataEx!$7:$7,0))</f>
        <v>0</v>
      </c>
      <c r="Q48" s="200">
        <f>+INDEX(DataEx!$1:$1048576,MATCH('2019'!$A48,DataEx!$D:$D,0),MATCH('2019'!Q$6,DataEx!$7:$7,0))</f>
        <v>0</v>
      </c>
      <c r="R48" s="274">
        <f>+INDEX(DataEx!$1:$1048576,MATCH('2019'!$A48,DataEx!$D:$D,0),MATCH('2019'!R$6,DataEx!$7:$7,0))</f>
        <v>0</v>
      </c>
      <c r="S48" s="272">
        <f t="shared" si="3"/>
        <v>84430458.900000006</v>
      </c>
      <c r="T48" s="273">
        <f t="shared" si="4"/>
        <v>1.7631553877960157E-2</v>
      </c>
    </row>
    <row r="49" spans="1:22">
      <c r="A49" s="175">
        <v>44</v>
      </c>
      <c r="B49" s="482" t="str">
        <f>+VLOOKUP($A49,Master!$D$27:$G$225,4,FALSE)</f>
        <v>Kapitalni budžet</v>
      </c>
      <c r="C49" s="483"/>
      <c r="D49" s="483"/>
      <c r="E49" s="483"/>
      <c r="F49" s="483"/>
      <c r="G49" s="200">
        <f>+INDEX(DataEx!$1:$1048576,MATCH('2019'!$A49,DataEx!$D:$D,0),MATCH('2019'!G$6,DataEx!$7:$7,0))</f>
        <v>26828354.949999999</v>
      </c>
      <c r="H49" s="200">
        <f>+INDEX(DataEx!$1:$1048576,MATCH('2019'!$A49,DataEx!$D:$D,0),MATCH('2019'!H$6,DataEx!$7:$7,0))</f>
        <v>3690450.01</v>
      </c>
      <c r="I49" s="200">
        <f>+INDEX(DataEx!$1:$1048576,MATCH('2019'!$A49,DataEx!$D:$D,0),MATCH('2019'!I$6,DataEx!$7:$7,0))</f>
        <v>14930197.6</v>
      </c>
      <c r="J49" s="200">
        <f>+INDEX(DataEx!$1:$1048576,MATCH('2019'!$A49,DataEx!$D:$D,0),MATCH('2019'!J$6,DataEx!$7:$7,0))</f>
        <v>12096117.390000001</v>
      </c>
      <c r="K49" s="200">
        <f>+INDEX(DataEx!$1:$1048576,MATCH('2019'!$A49,DataEx!$D:$D,0),MATCH('2019'!K$6,DataEx!$7:$7,0))</f>
        <v>11464377.560000001</v>
      </c>
      <c r="L49" s="200">
        <f>+INDEX(DataEx!$1:$1048576,MATCH('2019'!$A49,DataEx!$D:$D,0),MATCH('2019'!L$6,DataEx!$7:$7,0))</f>
        <v>0</v>
      </c>
      <c r="M49" s="200">
        <f>+INDEX(DataEx!$1:$1048576,MATCH('2019'!$A49,DataEx!$D:$D,0),MATCH('2019'!M$6,DataEx!$7:$7,0))</f>
        <v>0</v>
      </c>
      <c r="N49" s="200">
        <f>+INDEX(DataEx!$1:$1048576,MATCH('2019'!$A49,DataEx!$D:$D,0),MATCH('2019'!N$6,DataEx!$7:$7,0))</f>
        <v>0</v>
      </c>
      <c r="O49" s="200">
        <f>+INDEX(DataEx!$1:$1048576,MATCH('2019'!$A49,DataEx!$D:$D,0),MATCH('2019'!O$6,DataEx!$7:$7,0))</f>
        <v>0</v>
      </c>
      <c r="P49" s="200">
        <f>+INDEX(DataEx!$1:$1048576,MATCH('2019'!$A49,DataEx!$D:$D,0),MATCH('2019'!P$6,DataEx!$7:$7,0))</f>
        <v>0</v>
      </c>
      <c r="Q49" s="200">
        <f>+INDEX(DataEx!$1:$1048576,MATCH('2019'!$A49,DataEx!$D:$D,0),MATCH('2019'!Q$6,DataEx!$7:$7,0))</f>
        <v>0</v>
      </c>
      <c r="R49" s="200">
        <f>+INDEX(DataEx!$1:$1048576,MATCH('2019'!$A49,DataEx!$D:$D,0),MATCH('2019'!R$6,DataEx!$7:$7,0))</f>
        <v>0</v>
      </c>
      <c r="S49" s="272">
        <f t="shared" si="3"/>
        <v>69009497.510000005</v>
      </c>
      <c r="T49" s="273">
        <f t="shared" si="4"/>
        <v>1.4411205260410141E-2</v>
      </c>
    </row>
    <row r="50" spans="1:22">
      <c r="A50" s="175">
        <v>451</v>
      </c>
      <c r="B50" s="547" t="str">
        <f>+VLOOKUP($A50,Master!$D$27:$G$225,4,FALSE)</f>
        <v>Pozajmice i krediti</v>
      </c>
      <c r="C50" s="548"/>
      <c r="D50" s="548"/>
      <c r="E50" s="548"/>
      <c r="F50" s="548"/>
      <c r="G50" s="188">
        <f>+INDEX(DataEx!$1:$1048576,MATCH('2019'!$A50,DataEx!$D:$D,0),MATCH('2019'!G$6,DataEx!$7:$7,0))</f>
        <v>0</v>
      </c>
      <c r="H50" s="188">
        <f>+INDEX(DataEx!$1:$1048576,MATCH('2019'!$A50,DataEx!$D:$D,0),MATCH('2019'!H$6,DataEx!$7:$7,0))</f>
        <v>272323.98</v>
      </c>
      <c r="I50" s="188">
        <f>+INDEX(DataEx!$1:$1048576,MATCH('2019'!$A50,DataEx!$D:$D,0),MATCH('2019'!I$6,DataEx!$7:$7,0))</f>
        <v>30000</v>
      </c>
      <c r="J50" s="188">
        <f>+INDEX(DataEx!$1:$1048576,MATCH('2019'!$A50,DataEx!$D:$D,0),MATCH('2019'!J$6,DataEx!$7:$7,0))</f>
        <v>384534</v>
      </c>
      <c r="K50" s="188">
        <f>+INDEX(DataEx!$1:$1048576,MATCH('2019'!$A50,DataEx!$D:$D,0),MATCH('2019'!K$6,DataEx!$7:$7,0))</f>
        <v>260000</v>
      </c>
      <c r="L50" s="188">
        <f>+INDEX(DataEx!$1:$1048576,MATCH('2019'!$A50,DataEx!$D:$D,0),MATCH('2019'!L$6,DataEx!$7:$7,0))</f>
        <v>0</v>
      </c>
      <c r="M50" s="188">
        <f>+INDEX(DataEx!$1:$1048576,MATCH('2019'!$A50,DataEx!$D:$D,0),MATCH('2019'!M$6,DataEx!$7:$7,0))</f>
        <v>0</v>
      </c>
      <c r="N50" s="188">
        <f>+INDEX(DataEx!$1:$1048576,MATCH('2019'!$A50,DataEx!$D:$D,0),MATCH('2019'!N$6,DataEx!$7:$7,0))</f>
        <v>0</v>
      </c>
      <c r="O50" s="188">
        <f>+INDEX(DataEx!$1:$1048576,MATCH('2019'!$A50,DataEx!$D:$D,0),MATCH('2019'!O$6,DataEx!$7:$7,0))</f>
        <v>0</v>
      </c>
      <c r="P50" s="188">
        <f>+INDEX(DataEx!$1:$1048576,MATCH('2019'!$A50,DataEx!$D:$D,0),MATCH('2019'!P$6,DataEx!$7:$7,0))</f>
        <v>0</v>
      </c>
      <c r="Q50" s="188">
        <f>+INDEX(DataEx!$1:$1048576,MATCH('2019'!$A50,DataEx!$D:$D,0),MATCH('2019'!Q$6,DataEx!$7:$7,0))</f>
        <v>0</v>
      </c>
      <c r="R50" s="188">
        <f>+INDEX(DataEx!$1:$1048576,MATCH('2019'!$A50,DataEx!$D:$D,0),MATCH('2019'!R$6,DataEx!$7:$7,0))</f>
        <v>0</v>
      </c>
      <c r="S50" s="269">
        <f t="shared" si="3"/>
        <v>946857.98</v>
      </c>
      <c r="T50" s="270">
        <f t="shared" si="4"/>
        <v>1.9773169193501231E-4</v>
      </c>
    </row>
    <row r="51" spans="1:22">
      <c r="A51" s="175">
        <v>47</v>
      </c>
      <c r="B51" s="452" t="str">
        <f>+VLOOKUP($A51,Master!$D$27:$G$225,4,FALSE)</f>
        <v>Rezerve</v>
      </c>
      <c r="C51" s="453"/>
      <c r="D51" s="453"/>
      <c r="E51" s="453"/>
      <c r="F51" s="453"/>
      <c r="G51" s="188">
        <f>+INDEX(DataEx!$1:$1048576,MATCH('2019'!$A51,DataEx!$D:$D,0),MATCH('2019'!G$6,DataEx!$7:$7,0))</f>
        <v>0</v>
      </c>
      <c r="H51" s="188">
        <f>+INDEX(DataEx!$1:$1048576,MATCH('2019'!$A51,DataEx!$D:$D,0),MATCH('2019'!H$6,DataEx!$7:$7,0))</f>
        <v>1952871.71</v>
      </c>
      <c r="I51" s="188">
        <f>+INDEX(DataEx!$1:$1048576,MATCH('2019'!$A51,DataEx!$D:$D,0),MATCH('2019'!I$6,DataEx!$7:$7,0))</f>
        <v>278787.49</v>
      </c>
      <c r="J51" s="188">
        <f>+INDEX(DataEx!$1:$1048576,MATCH('2019'!$A51,DataEx!$D:$D,0),MATCH('2019'!J$6,DataEx!$7:$7,0))</f>
        <v>1810104.1</v>
      </c>
      <c r="K51" s="188">
        <f>+INDEX(DataEx!$1:$1048576,MATCH('2019'!$A51,DataEx!$D:$D,0),MATCH('2019'!K$6,DataEx!$7:$7,0))</f>
        <v>1408200</v>
      </c>
      <c r="L51" s="188">
        <f>+INDEX(DataEx!$1:$1048576,MATCH('2019'!$A51,DataEx!$D:$D,0),MATCH('2019'!L$6,DataEx!$7:$7,0))</f>
        <v>0</v>
      </c>
      <c r="M51" s="188">
        <f>+INDEX(DataEx!$1:$1048576,MATCH('2019'!$A51,DataEx!$D:$D,0),MATCH('2019'!M$6,DataEx!$7:$7,0))</f>
        <v>0</v>
      </c>
      <c r="N51" s="188">
        <f>+INDEX(DataEx!$1:$1048576,MATCH('2019'!$A51,DataEx!$D:$D,0),MATCH('2019'!N$6,DataEx!$7:$7,0))</f>
        <v>0</v>
      </c>
      <c r="O51" s="188">
        <f>+INDEX(DataEx!$1:$1048576,MATCH('2019'!$A51,DataEx!$D:$D,0),MATCH('2019'!O$6,DataEx!$7:$7,0))</f>
        <v>0</v>
      </c>
      <c r="P51" s="188">
        <f>+INDEX(DataEx!$1:$1048576,MATCH('2019'!$A51,DataEx!$D:$D,0),MATCH('2019'!P$6,DataEx!$7:$7,0))</f>
        <v>0</v>
      </c>
      <c r="Q51" s="188">
        <f>+INDEX(DataEx!$1:$1048576,MATCH('2019'!$A51,DataEx!$D:$D,0),MATCH('2019'!Q$6,DataEx!$7:$7,0))</f>
        <v>0</v>
      </c>
      <c r="R51" s="188">
        <f>+INDEX(DataEx!$1:$1048576,MATCH('2019'!$A51,DataEx!$D:$D,0),MATCH('2019'!R$6,DataEx!$7:$7,0))</f>
        <v>0</v>
      </c>
      <c r="S51" s="269">
        <f t="shared" si="3"/>
        <v>5449963.3000000007</v>
      </c>
      <c r="T51" s="270">
        <f t="shared" si="4"/>
        <v>1.1381120369210209E-3</v>
      </c>
    </row>
    <row r="52" spans="1:22" ht="13.5" thickBot="1">
      <c r="A52" s="175">
        <v>462</v>
      </c>
      <c r="B52" s="470" t="str">
        <f>+VLOOKUP($A52,Master!$D$27:$G$225,4,FALSE)</f>
        <v>Otplata garancija</v>
      </c>
      <c r="C52" s="471"/>
      <c r="D52" s="471"/>
      <c r="E52" s="471"/>
      <c r="F52" s="471"/>
      <c r="G52" s="224">
        <f>+INDEX(DataEx!$1:$1048576,MATCH('2019'!$A52,DataEx!$D:$D,0),MATCH('2019'!G$6,DataEx!$7:$7,0))</f>
        <v>2253720.0299999998</v>
      </c>
      <c r="H52" s="224">
        <f>+INDEX(DataEx!$1:$1048576,MATCH('2019'!$A52,DataEx!$D:$D,0),MATCH('2019'!H$6,DataEx!$7:$7,0))</f>
        <v>494.04</v>
      </c>
      <c r="I52" s="224">
        <f>+INDEX(DataEx!$1:$1048576,MATCH('2019'!$A52,DataEx!$D:$D,0),MATCH('2019'!I$6,DataEx!$7:$7,0))</f>
        <v>7180458.3399999999</v>
      </c>
      <c r="J52" s="224">
        <f>+INDEX(DataEx!$1:$1048576,MATCH('2019'!$A52,DataEx!$D:$D,0),MATCH('2019'!J$6,DataEx!$7:$7,0))</f>
        <v>0</v>
      </c>
      <c r="K52" s="224">
        <f>+INDEX(DataEx!$1:$1048576,MATCH('2019'!$A52,DataEx!$D:$D,0),MATCH('2019'!K$6,DataEx!$7:$7,0))</f>
        <v>0</v>
      </c>
      <c r="L52" s="224">
        <f>+INDEX(DataEx!$1:$1048576,MATCH('2019'!$A52,DataEx!$D:$D,0),MATCH('2019'!L$6,DataEx!$7:$7,0))</f>
        <v>0</v>
      </c>
      <c r="M52" s="224">
        <f>+INDEX(DataEx!$1:$1048576,MATCH('2019'!$A52,DataEx!$D:$D,0),MATCH('2019'!M$6,DataEx!$7:$7,0))</f>
        <v>0</v>
      </c>
      <c r="N52" s="224">
        <f>+INDEX(DataEx!$1:$1048576,MATCH('2019'!$A52,DataEx!$D:$D,0),MATCH('2019'!N$6,DataEx!$7:$7,0))</f>
        <v>0</v>
      </c>
      <c r="O52" s="224">
        <f>+INDEX(DataEx!$1:$1048576,MATCH('2019'!$A52,DataEx!$D:$D,0),MATCH('2019'!O$6,DataEx!$7:$7,0))</f>
        <v>0</v>
      </c>
      <c r="P52" s="224">
        <f>+INDEX(DataEx!$1:$1048576,MATCH('2019'!$A52,DataEx!$D:$D,0),MATCH('2019'!P$6,DataEx!$7:$7,0))</f>
        <v>0</v>
      </c>
      <c r="Q52" s="224">
        <f>+INDEX(DataEx!$1:$1048576,MATCH('2019'!$A52,DataEx!$D:$D,0),MATCH('2019'!Q$6,DataEx!$7:$7,0))</f>
        <v>0</v>
      </c>
      <c r="R52" s="224">
        <f>+INDEX(DataEx!$1:$1048576,MATCH('2019'!$A52,DataEx!$D:$D,0),MATCH('2019'!R$6,DataEx!$7:$7,0))</f>
        <v>0</v>
      </c>
      <c r="S52" s="269">
        <f t="shared" si="3"/>
        <v>9434672.4100000001</v>
      </c>
      <c r="T52" s="284">
        <f t="shared" si="4"/>
        <v>1.9702360627323226E-3</v>
      </c>
      <c r="U52" s="366"/>
    </row>
    <row r="53" spans="1:22" ht="13.5" thickBot="1">
      <c r="A53" s="169">
        <v>4630</v>
      </c>
      <c r="B53" s="549" t="str">
        <f>+VLOOKUP($A53,Master!$D$27:$G$225,4,TRUE)</f>
        <v>Otplata obaveza iz prethodnih godina</v>
      </c>
      <c r="C53" s="550"/>
      <c r="D53" s="550"/>
      <c r="E53" s="550"/>
      <c r="F53" s="550"/>
      <c r="G53" s="224">
        <f>+INDEX(DataEx!$1:$1048576,MATCH('2019'!$A53,DataEx!$D:$D,0),MATCH('2019'!G$6,DataEx!$7:$7,0))</f>
        <v>1205053.3500000001</v>
      </c>
      <c r="H53" s="224">
        <f>+INDEX(DataEx!$1:$1048576,MATCH('2019'!$A53,DataEx!$D:$D,0),MATCH('2019'!H$6,DataEx!$7:$7,0))</f>
        <v>1334117.25</v>
      </c>
      <c r="I53" s="224">
        <f>+INDEX(DataEx!$1:$1048576,MATCH('2019'!$A53,DataEx!$D:$D,0),MATCH('2019'!I$6,DataEx!$7:$7,0))</f>
        <v>1736748.41</v>
      </c>
      <c r="J53" s="224">
        <f>+INDEX(DataEx!$1:$1048576,MATCH('2019'!$A53,DataEx!$D:$D,0),MATCH('2019'!J$6,DataEx!$7:$7,0))</f>
        <v>1788599.55</v>
      </c>
      <c r="K53" s="224">
        <f>+INDEX(DataEx!$1:$1048576,MATCH('2019'!$A53,DataEx!$D:$D,0),MATCH('2019'!K$6,DataEx!$7:$7,0))</f>
        <v>1459507.08</v>
      </c>
      <c r="L53" s="224">
        <f>+INDEX(DataEx!$1:$1048576,MATCH('2019'!$A53,DataEx!$D:$D,0),MATCH('2019'!L$6,DataEx!$7:$7,0))</f>
        <v>0</v>
      </c>
      <c r="M53" s="224">
        <f>+INDEX(DataEx!$1:$1048576,MATCH('2019'!$A53,DataEx!$D:$D,0),MATCH('2019'!M$6,DataEx!$7:$7,0))</f>
        <v>0</v>
      </c>
      <c r="N53" s="224">
        <f>+INDEX(DataEx!$1:$1048576,MATCH('2019'!$A53,DataEx!$D:$D,0),MATCH('2019'!N$6,DataEx!$7:$7,0))</f>
        <v>0</v>
      </c>
      <c r="O53" s="224">
        <f>+INDEX(DataEx!$1:$1048576,MATCH('2019'!$A53,DataEx!$D:$D,0),MATCH('2019'!O$6,DataEx!$7:$7,0))</f>
        <v>0</v>
      </c>
      <c r="P53" s="224">
        <f>+INDEX(DataEx!$1:$1048576,MATCH('2019'!$A53,DataEx!$D:$D,0),MATCH('2019'!P$6,DataEx!$7:$7,0))</f>
        <v>0</v>
      </c>
      <c r="Q53" s="224">
        <f>+INDEX(DataEx!$1:$1048576,MATCH('2019'!$A53,DataEx!$D:$D,0),MATCH('2019'!Q$6,DataEx!$7:$7,0))</f>
        <v>0</v>
      </c>
      <c r="R53" s="224">
        <f>+INDEX(DataEx!$1:$1048576,MATCH('2019'!$A53,DataEx!$D:$D,0),MATCH('2019'!R$6,DataEx!$7:$7,0))</f>
        <v>0</v>
      </c>
      <c r="S53" s="433">
        <f>+SUM(G53:R53)</f>
        <v>7524025.6399999997</v>
      </c>
      <c r="T53" s="284">
        <f>+S53/$T$7</f>
        <v>1.571237029611995E-3</v>
      </c>
    </row>
    <row r="54" spans="1:22" ht="13.5" thickBot="1">
      <c r="A54" s="71">
        <v>1005</v>
      </c>
      <c r="B54" s="551" t="str">
        <f>+VLOOKUP($A54,Master!$D$27:$G$227,4,FALSE)</f>
        <v>Neto povećanje obaveza</v>
      </c>
      <c r="C54" s="552"/>
      <c r="D54" s="552"/>
      <c r="E54" s="552"/>
      <c r="F54" s="552"/>
      <c r="G54" s="99">
        <f>+INDEX(DataEx!$1:$1048576,MATCH('2019'!$A54,DataEx!$D:$D,0),MATCH('2019'!G$6,DataEx!$7:$7,0))</f>
        <v>0</v>
      </c>
      <c r="H54" s="99">
        <f>+INDEX(DataEx!$1:$1048576,MATCH('2019'!$A54,DataEx!$D:$D,0),MATCH('2019'!H$6,DataEx!$7:$7,0))</f>
        <v>0</v>
      </c>
      <c r="I54" s="99">
        <f>+INDEX(DataEx!$1:$1048576,MATCH('2019'!$A54,DataEx!$D:$D,0),MATCH('2019'!I$6,DataEx!$7:$7,0))</f>
        <v>0</v>
      </c>
      <c r="J54" s="99">
        <f>+INDEX(DataEx!$1:$1048576,MATCH('2019'!$A54,DataEx!$D:$D,0),MATCH('2019'!J$6,DataEx!$7:$7,0))</f>
        <v>0</v>
      </c>
      <c r="K54" s="99">
        <f>+INDEX(DataEx!$1:$1048576,MATCH('2019'!$A54,DataEx!$D:$D,0),MATCH('2019'!K$6,DataEx!$7:$7,0))</f>
        <v>0</v>
      </c>
      <c r="L54" s="99">
        <f>+INDEX(DataEx!$1:$1048576,MATCH('2019'!$A54,DataEx!$D:$D,0),MATCH('2019'!L$6,DataEx!$7:$7,0))</f>
        <v>0</v>
      </c>
      <c r="M54" s="99">
        <f>+INDEX(DataEx!$1:$1048576,MATCH('2019'!$A54,DataEx!$D:$D,0),MATCH('2019'!M$6,DataEx!$7:$7,0))</f>
        <v>0</v>
      </c>
      <c r="N54" s="99">
        <f>+INDEX(DataEx!$1:$1048576,MATCH('2019'!$A54,DataEx!$D:$D,0),MATCH('2019'!N$6,DataEx!$7:$7,0))</f>
        <v>0</v>
      </c>
      <c r="O54" s="99">
        <f>+INDEX(DataEx!$1:$1048576,MATCH('2019'!$A54,DataEx!$D:$D,0),MATCH('2019'!O$6,DataEx!$7:$7,0))</f>
        <v>0</v>
      </c>
      <c r="P54" s="99">
        <f>+INDEX(DataEx!$1:$1048576,MATCH('2019'!$A54,DataEx!$D:$D,0),MATCH('2019'!P$6,DataEx!$7:$7,0))</f>
        <v>0</v>
      </c>
      <c r="Q54" s="99">
        <f>+INDEX(DataEx!$1:$1048576,MATCH('2019'!$A54,DataEx!$D:$D,0),MATCH('2019'!Q$6,DataEx!$7:$7,0))</f>
        <v>0</v>
      </c>
      <c r="R54" s="99">
        <f>+INDEX(DataEx!$1:$1048576,MATCH('2019'!$A54,DataEx!$D:$D,0),MATCH('2019'!R$6,DataEx!$7:$7,0))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6" t="str">
        <f>+VLOOKUP($A55,Master!$D$27:$G$225,4,FALSE)</f>
        <v>Suficit / deficit</v>
      </c>
      <c r="C55" s="477"/>
      <c r="D55" s="477"/>
      <c r="E55" s="477"/>
      <c r="F55" s="477"/>
      <c r="G55" s="176">
        <f t="shared" ref="G55:R55" si="9">+G10-G29</f>
        <v>-32332314.680000037</v>
      </c>
      <c r="H55" s="176">
        <f t="shared" si="9"/>
        <v>-14315105.360000014</v>
      </c>
      <c r="I55" s="176">
        <f t="shared" si="9"/>
        <v>-24653259.040000021</v>
      </c>
      <c r="J55" s="176">
        <f t="shared" si="9"/>
        <v>10145841.179999977</v>
      </c>
      <c r="K55" s="176">
        <f t="shared" si="9"/>
        <v>7764624.5199999809</v>
      </c>
      <c r="L55" s="176">
        <f t="shared" si="9"/>
        <v>0</v>
      </c>
      <c r="M55" s="176">
        <f t="shared" si="9"/>
        <v>0</v>
      </c>
      <c r="N55" s="176">
        <f t="shared" si="9"/>
        <v>0</v>
      </c>
      <c r="O55" s="176">
        <f t="shared" si="9"/>
        <v>0</v>
      </c>
      <c r="P55" s="176">
        <f t="shared" si="9"/>
        <v>0</v>
      </c>
      <c r="Q55" s="176">
        <f t="shared" si="9"/>
        <v>0</v>
      </c>
      <c r="R55" s="176">
        <f t="shared" si="9"/>
        <v>0</v>
      </c>
      <c r="S55" s="285">
        <f t="shared" si="3"/>
        <v>-53390213.380000114</v>
      </c>
      <c r="T55" s="286">
        <f t="shared" si="4"/>
        <v>-1.1149441043311222E-2</v>
      </c>
    </row>
    <row r="56" spans="1:22" ht="13.5" thickBot="1">
      <c r="A56" s="169">
        <v>1001</v>
      </c>
      <c r="B56" s="478" t="str">
        <f>+VLOOKUP($A56,Master!$D$27:$G$225,4,FALSE)</f>
        <v>Primarni bilans</v>
      </c>
      <c r="C56" s="479"/>
      <c r="D56" s="479"/>
      <c r="E56" s="479"/>
      <c r="F56" s="479"/>
      <c r="G56" s="230">
        <f>+G55+G37</f>
        <v>-26177461.780000038</v>
      </c>
      <c r="H56" s="230">
        <f t="shared" ref="H56:R56" si="10">+H55+H37</f>
        <v>-13364307.680000015</v>
      </c>
      <c r="I56" s="230">
        <f t="shared" si="10"/>
        <v>4042254.6099999771</v>
      </c>
      <c r="J56" s="230">
        <f t="shared" si="10"/>
        <v>28551163.039999977</v>
      </c>
      <c r="K56" s="230">
        <f t="shared" si="10"/>
        <v>8916879.7599999812</v>
      </c>
      <c r="L56" s="230">
        <f t="shared" si="10"/>
        <v>0</v>
      </c>
      <c r="M56" s="230">
        <f t="shared" si="10"/>
        <v>0</v>
      </c>
      <c r="N56" s="230">
        <f t="shared" si="10"/>
        <v>0</v>
      </c>
      <c r="O56" s="230">
        <f t="shared" si="10"/>
        <v>0</v>
      </c>
      <c r="P56" s="230">
        <f t="shared" si="10"/>
        <v>0</v>
      </c>
      <c r="Q56" s="230">
        <f t="shared" si="10"/>
        <v>0</v>
      </c>
      <c r="R56" s="230">
        <f t="shared" si="10"/>
        <v>0</v>
      </c>
      <c r="S56" s="285">
        <f t="shared" si="3"/>
        <v>1968527.9499998819</v>
      </c>
      <c r="T56" s="286">
        <f t="shared" si="4"/>
        <v>4.1108631959234056E-4</v>
      </c>
    </row>
    <row r="57" spans="1:22">
      <c r="A57" s="169">
        <v>46</v>
      </c>
      <c r="B57" s="545" t="str">
        <f>+VLOOKUP($A57,Master!$D$27:$G$225,4,FALSE)</f>
        <v>Otplata dugova</v>
      </c>
      <c r="C57" s="546"/>
      <c r="D57" s="546"/>
      <c r="E57" s="546"/>
      <c r="F57" s="546"/>
      <c r="G57" s="218">
        <f t="shared" ref="G57:R57" si="11">+SUM(G58:G59)</f>
        <v>19518367.399999999</v>
      </c>
      <c r="H57" s="218">
        <f t="shared" si="11"/>
        <v>67365423.120000005</v>
      </c>
      <c r="I57" s="218">
        <f t="shared" si="11"/>
        <v>17786584.469999999</v>
      </c>
      <c r="J57" s="218">
        <f t="shared" si="11"/>
        <v>18302050.879999999</v>
      </c>
      <c r="K57" s="218">
        <f t="shared" si="11"/>
        <v>14577731.82</v>
      </c>
      <c r="L57" s="218">
        <f t="shared" si="11"/>
        <v>0</v>
      </c>
      <c r="M57" s="218">
        <f t="shared" si="11"/>
        <v>0</v>
      </c>
      <c r="N57" s="218">
        <f t="shared" si="11"/>
        <v>0</v>
      </c>
      <c r="O57" s="218">
        <f t="shared" si="11"/>
        <v>0</v>
      </c>
      <c r="P57" s="218">
        <f t="shared" si="11"/>
        <v>0</v>
      </c>
      <c r="Q57" s="218">
        <f t="shared" si="11"/>
        <v>0</v>
      </c>
      <c r="R57" s="218">
        <f t="shared" si="11"/>
        <v>0</v>
      </c>
      <c r="S57" s="287">
        <f t="shared" si="3"/>
        <v>137550157.69</v>
      </c>
      <c r="T57" s="288">
        <f t="shared" si="4"/>
        <v>2.8724503548009855E-2</v>
      </c>
      <c r="V57" s="383"/>
    </row>
    <row r="58" spans="1:22">
      <c r="A58" s="169">
        <v>4611</v>
      </c>
      <c r="B58" s="468" t="str">
        <f>+VLOOKUP($A58,Master!$D$27:$G$225,4,FALSE)</f>
        <v>Otplata hartija od vrijednosti i kredita rezidentima</v>
      </c>
      <c r="C58" s="469"/>
      <c r="D58" s="469"/>
      <c r="E58" s="469"/>
      <c r="F58" s="469"/>
      <c r="G58" s="236">
        <f>+INDEX(DataEx!$1:$1048576,MATCH('2019'!$A58,DataEx!$D:$D,0),MATCH('2019'!G$6,DataEx!$7:$7,0))</f>
        <v>18084948.579999998</v>
      </c>
      <c r="H58" s="236">
        <f>+INDEX(DataEx!$1:$1048576,MATCH('2019'!$A58,DataEx!$D:$D,0),MATCH('2019'!H$6,DataEx!$7:$7,0))</f>
        <v>64835364.859999999</v>
      </c>
      <c r="I58" s="236">
        <f>+INDEX(DataEx!$1:$1048576,MATCH('2019'!$A58,DataEx!$D:$D,0),MATCH('2019'!I$6,DataEx!$7:$7,0))</f>
        <v>1062241.2</v>
      </c>
      <c r="J58" s="236">
        <f>+INDEX(DataEx!$1:$1048576,MATCH('2019'!$A58,DataEx!$D:$D,0),MATCH('2019'!J$6,DataEx!$7:$7,0))</f>
        <v>2291816.1800000002</v>
      </c>
      <c r="K58" s="236">
        <f>+INDEX(DataEx!$1:$1048576,MATCH('2019'!$A58,DataEx!$D:$D,0),MATCH('2019'!K$6,DataEx!$7:$7,0))</f>
        <v>5836708.6600000001</v>
      </c>
      <c r="L58" s="236">
        <f>+INDEX(DataEx!$1:$1048576,MATCH('2019'!$A58,DataEx!$D:$D,0),MATCH('2019'!L$6,DataEx!$7:$7,0))</f>
        <v>0</v>
      </c>
      <c r="M58" s="236">
        <f>+INDEX(DataEx!$1:$1048576,MATCH('2019'!$A58,DataEx!$D:$D,0),MATCH('2019'!M$6,DataEx!$7:$7,0))</f>
        <v>0</v>
      </c>
      <c r="N58" s="236">
        <f>+INDEX(DataEx!$1:$1048576,MATCH('2019'!$A58,DataEx!$D:$D,0),MATCH('2019'!N$6,DataEx!$7:$7,0))</f>
        <v>0</v>
      </c>
      <c r="O58" s="236">
        <f>+INDEX(DataEx!$1:$1048576,MATCH('2019'!$A58,DataEx!$D:$D,0),MATCH('2019'!O$6,DataEx!$7:$7,0))</f>
        <v>0</v>
      </c>
      <c r="P58" s="236">
        <f>+INDEX(DataEx!$1:$1048576,MATCH('2019'!$A58,DataEx!$D:$D,0),MATCH('2019'!P$6,DataEx!$7:$7,0))</f>
        <v>0</v>
      </c>
      <c r="Q58" s="236">
        <f>+INDEX(DataEx!$1:$1048576,MATCH('2019'!$A58,DataEx!$D:$D,0),MATCH('2019'!Q$6,DataEx!$7:$7,0))</f>
        <v>0</v>
      </c>
      <c r="R58" s="236">
        <f>+INDEX(DataEx!$1:$1048576,MATCH('2019'!$A58,DataEx!$D:$D,0),MATCH('2019'!R$6,DataEx!$7:$7,0))</f>
        <v>0</v>
      </c>
      <c r="S58" s="289">
        <f t="shared" si="3"/>
        <v>92111079.480000004</v>
      </c>
      <c r="T58" s="290">
        <f t="shared" si="4"/>
        <v>1.923549251973437E-2</v>
      </c>
    </row>
    <row r="59" spans="1:22" ht="13.5" thickBot="1">
      <c r="A59" s="169">
        <v>4612</v>
      </c>
      <c r="B59" s="452" t="str">
        <f>+VLOOKUP($A59,Master!$D$27:$G$225,4,FALSE)</f>
        <v>Otplata hartija od vrijednosti i kredita nerezidentima</v>
      </c>
      <c r="C59" s="453"/>
      <c r="D59" s="453"/>
      <c r="E59" s="453"/>
      <c r="F59" s="453"/>
      <c r="G59" s="236">
        <f>+INDEX(DataEx!$1:$1048576,MATCH('2019'!$A59,DataEx!$D:$D,0),MATCH('2019'!G$6,DataEx!$7:$7,0))</f>
        <v>1433418.82</v>
      </c>
      <c r="H59" s="236">
        <f>+INDEX(DataEx!$1:$1048576,MATCH('2019'!$A59,DataEx!$D:$D,0),MATCH('2019'!H$6,DataEx!$7:$7,0))</f>
        <v>2530058.2599999998</v>
      </c>
      <c r="I59" s="236">
        <f>+INDEX(DataEx!$1:$1048576,MATCH('2019'!$A59,DataEx!$D:$D,0),MATCH('2019'!I$6,DataEx!$7:$7,0))</f>
        <v>16724343.27</v>
      </c>
      <c r="J59" s="236">
        <f>+INDEX(DataEx!$1:$1048576,MATCH('2019'!$A59,DataEx!$D:$D,0),MATCH('2019'!J$6,DataEx!$7:$7,0))</f>
        <v>16010234.699999999</v>
      </c>
      <c r="K59" s="236">
        <f>+INDEX(DataEx!$1:$1048576,MATCH('2019'!$A59,DataEx!$D:$D,0),MATCH('2019'!K$6,DataEx!$7:$7,0))</f>
        <v>8741023.1600000001</v>
      </c>
      <c r="L59" s="236">
        <f>+INDEX(DataEx!$1:$1048576,MATCH('2019'!$A59,DataEx!$D:$D,0),MATCH('2019'!L$6,DataEx!$7:$7,0))</f>
        <v>0</v>
      </c>
      <c r="M59" s="236">
        <f>+INDEX(DataEx!$1:$1048576,MATCH('2019'!$A59,DataEx!$D:$D,0),MATCH('2019'!M$6,DataEx!$7:$7,0))</f>
        <v>0</v>
      </c>
      <c r="N59" s="236">
        <f>+INDEX(DataEx!$1:$1048576,MATCH('2019'!$A59,DataEx!$D:$D,0),MATCH('2019'!N$6,DataEx!$7:$7,0))</f>
        <v>0</v>
      </c>
      <c r="O59" s="236">
        <f>+INDEX(DataEx!$1:$1048576,MATCH('2019'!$A59,DataEx!$D:$D,0),MATCH('2019'!O$6,DataEx!$7:$7,0))</f>
        <v>0</v>
      </c>
      <c r="P59" s="236">
        <f>+INDEX(DataEx!$1:$1048576,MATCH('2019'!$A59,DataEx!$D:$D,0),MATCH('2019'!P$6,DataEx!$7:$7,0))</f>
        <v>0</v>
      </c>
      <c r="Q59" s="236">
        <f>+INDEX(DataEx!$1:$1048576,MATCH('2019'!$A59,DataEx!$D:$D,0),MATCH('2019'!Q$6,DataEx!$7:$7,0))</f>
        <v>0</v>
      </c>
      <c r="R59" s="236">
        <f>+INDEX(DataEx!$1:$1048576,MATCH('2019'!$A59,DataEx!$D:$D,0),MATCH('2019'!R$6,DataEx!$7:$7,0))</f>
        <v>0</v>
      </c>
      <c r="S59" s="289">
        <f t="shared" si="3"/>
        <v>45439078.209999993</v>
      </c>
      <c r="T59" s="290">
        <f t="shared" si="4"/>
        <v>9.4890110282754864E-3</v>
      </c>
      <c r="V59" s="395"/>
    </row>
    <row r="60" spans="1:22" ht="13.5" thickBot="1">
      <c r="A60" s="169">
        <v>4418</v>
      </c>
      <c r="B60" s="488" t="s">
        <v>340</v>
      </c>
      <c r="C60" s="489"/>
      <c r="D60" s="489"/>
      <c r="E60" s="489"/>
      <c r="F60" s="489"/>
      <c r="G60" s="218">
        <f>+INDEX(DataEx!$1:$1048576,MATCH('2019'!$A60,DataEx!$D:$D,0),MATCH('2019'!G$6,DataEx!$7:$7,0))</f>
        <v>0</v>
      </c>
      <c r="H60" s="218">
        <f>+INDEX(DataEx!$1:$1048576,MATCH('2019'!$A60,DataEx!$D:$D,0),MATCH('2019'!H$6,DataEx!$7:$7,0))</f>
        <v>35272.089999999997</v>
      </c>
      <c r="I60" s="218">
        <f>+INDEX(DataEx!$1:$1048576,MATCH('2019'!$A60,DataEx!$D:$D,0),MATCH('2019'!I$6,DataEx!$7:$7,0))</f>
        <v>0</v>
      </c>
      <c r="J60" s="218">
        <f>+INDEX(DataEx!$1:$1048576,MATCH('2019'!$A60,DataEx!$D:$D,0),MATCH('2019'!J$6,DataEx!$7:$7,0))</f>
        <v>39948396.369999997</v>
      </c>
      <c r="K60" s="218">
        <f>+INDEX(DataEx!$1:$1048576,MATCH('2019'!$A60,DataEx!$D:$D,0),MATCH('2019'!K$6,DataEx!$7:$7,0))</f>
        <v>0</v>
      </c>
      <c r="L60" s="218">
        <f>+INDEX(DataEx!$1:$1048576,MATCH('2019'!$A60,DataEx!$D:$D,0),MATCH('2019'!L$6,DataEx!$7:$7,0))</f>
        <v>0</v>
      </c>
      <c r="M60" s="218">
        <f>+INDEX(DataEx!$1:$1048576,MATCH('2019'!$A60,DataEx!$D:$D,0),MATCH('2019'!M$6,DataEx!$7:$7,0))</f>
        <v>0</v>
      </c>
      <c r="N60" s="218">
        <f>+INDEX(DataEx!$1:$1048576,MATCH('2019'!$A60,DataEx!$D:$D,0),MATCH('2019'!N$6,DataEx!$7:$7,0))</f>
        <v>0</v>
      </c>
      <c r="O60" s="218">
        <f>+INDEX(DataEx!$1:$1048576,MATCH('2019'!$A60,DataEx!$D:$D,0),MATCH('2019'!O$6,DataEx!$7:$7,0))</f>
        <v>0</v>
      </c>
      <c r="P60" s="218">
        <f>+INDEX(DataEx!$1:$1048576,MATCH('2019'!$A60,DataEx!$D:$D,0),MATCH('2019'!P$6,DataEx!$7:$7,0))</f>
        <v>0</v>
      </c>
      <c r="Q60" s="218">
        <f>+INDEX(DataEx!$1:$1048576,MATCH('2019'!$A60,DataEx!$D:$D,0),MATCH('2019'!Q$6,DataEx!$7:$7,0))</f>
        <v>0</v>
      </c>
      <c r="R60" s="218">
        <f>+INDEX(DataEx!$1:$1048576,MATCH('2019'!$A60,DataEx!$D:$D,0),MATCH('2019'!R$6,DataEx!$7:$7,0))</f>
        <v>0</v>
      </c>
      <c r="S60" s="287">
        <f>SUM(G60:R60)</f>
        <v>39983668.460000001</v>
      </c>
      <c r="T60" s="288">
        <f>+S60/$T$7</f>
        <v>8.3497616129975354E-3</v>
      </c>
      <c r="V60" s="395"/>
    </row>
    <row r="61" spans="1:22" ht="13.5" thickBot="1">
      <c r="A61" s="169">
        <v>1002</v>
      </c>
      <c r="B61" s="472" t="str">
        <f>+VLOOKUP($A61,Master!$D$27:$G$225,4,FALSE)</f>
        <v>Nedostajuća sredstva</v>
      </c>
      <c r="C61" s="473"/>
      <c r="D61" s="473"/>
      <c r="E61" s="473"/>
      <c r="F61" s="473"/>
      <c r="G61" s="242">
        <f>+G55-G57-G60</f>
        <v>-51850682.080000035</v>
      </c>
      <c r="H61" s="242">
        <f t="shared" ref="H61:R61" si="12">+H55-H57-H60</f>
        <v>-81715800.570000023</v>
      </c>
      <c r="I61" s="242">
        <f t="shared" si="12"/>
        <v>-42439843.51000002</v>
      </c>
      <c r="J61" s="242">
        <f t="shared" si="12"/>
        <v>-48104606.070000023</v>
      </c>
      <c r="K61" s="242">
        <f t="shared" si="12"/>
        <v>-6813107.3000000194</v>
      </c>
      <c r="L61" s="242">
        <f t="shared" si="12"/>
        <v>0</v>
      </c>
      <c r="M61" s="242">
        <f t="shared" si="12"/>
        <v>0</v>
      </c>
      <c r="N61" s="242">
        <f t="shared" si="12"/>
        <v>0</v>
      </c>
      <c r="O61" s="242">
        <f t="shared" si="12"/>
        <v>0</v>
      </c>
      <c r="P61" s="242">
        <f t="shared" si="12"/>
        <v>0</v>
      </c>
      <c r="Q61" s="242">
        <f t="shared" si="12"/>
        <v>0</v>
      </c>
      <c r="R61" s="242">
        <f t="shared" si="12"/>
        <v>0</v>
      </c>
      <c r="S61" s="291">
        <f>+SUM(G61:R61)</f>
        <v>-230924039.53000012</v>
      </c>
      <c r="T61" s="292">
        <f t="shared" si="4"/>
        <v>-4.8223706204318616E-2</v>
      </c>
    </row>
    <row r="62" spans="1:22" ht="13.5" thickBot="1">
      <c r="A62" s="169">
        <v>1003</v>
      </c>
      <c r="B62" s="474" t="str">
        <f>+VLOOKUP($A62,Master!$D$27:$G$225,4,FALSE)</f>
        <v>Finansiranje</v>
      </c>
      <c r="C62" s="475"/>
      <c r="D62" s="475"/>
      <c r="E62" s="475"/>
      <c r="F62" s="475"/>
      <c r="G62" s="176">
        <f>+SUM(G63:G66)</f>
        <v>51850682.080000035</v>
      </c>
      <c r="H62" s="176">
        <f t="shared" ref="H62:R62" si="13">+SUM(H63:H66)</f>
        <v>81715800.570000023</v>
      </c>
      <c r="I62" s="176">
        <f t="shared" si="13"/>
        <v>42439843.51000002</v>
      </c>
      <c r="J62" s="176">
        <f t="shared" si="13"/>
        <v>48104606.070000023</v>
      </c>
      <c r="K62" s="176">
        <f t="shared" si="13"/>
        <v>6813107.3000000119</v>
      </c>
      <c r="L62" s="176">
        <f t="shared" si="13"/>
        <v>0</v>
      </c>
      <c r="M62" s="176">
        <f t="shared" si="13"/>
        <v>0</v>
      </c>
      <c r="N62" s="176">
        <f t="shared" si="13"/>
        <v>0</v>
      </c>
      <c r="O62" s="176">
        <f t="shared" si="13"/>
        <v>0</v>
      </c>
      <c r="P62" s="176">
        <f t="shared" si="13"/>
        <v>0</v>
      </c>
      <c r="Q62" s="176">
        <f t="shared" si="13"/>
        <v>0</v>
      </c>
      <c r="R62" s="176">
        <f t="shared" si="13"/>
        <v>0</v>
      </c>
      <c r="S62" s="293">
        <f>+SUM(G62:R62)</f>
        <v>230924039.53000012</v>
      </c>
      <c r="T62" s="294">
        <f t="shared" si="4"/>
        <v>4.8223706204318616E-2</v>
      </c>
    </row>
    <row r="63" spans="1:22">
      <c r="A63" s="169">
        <v>7511</v>
      </c>
      <c r="B63" s="468" t="str">
        <f>+VLOOKUP($A63,Master!$D$27:$G$225,4,FALSE)</f>
        <v>Pozajmice i krediti od domaćih izvora</v>
      </c>
      <c r="C63" s="469"/>
      <c r="D63" s="469"/>
      <c r="E63" s="469"/>
      <c r="F63" s="469"/>
      <c r="G63" s="236">
        <f>+INDEX(DataEx!$1:$1048576,MATCH('2019'!$A63,DataEx!$D:$D,0),MATCH('2019'!G$6,DataEx!$7:$7,0))</f>
        <v>18000000</v>
      </c>
      <c r="H63" s="236">
        <f>+INDEX(DataEx!$1:$1048576,MATCH('2019'!$A63,DataEx!$D:$D,0),MATCH('2019'!H$6,DataEx!$7:$7,0))</f>
        <v>54000000</v>
      </c>
      <c r="I63" s="236">
        <f>+INDEX(DataEx!$1:$1048576,MATCH('2019'!$A63,DataEx!$D:$D,0),MATCH('2019'!I$6,DataEx!$7:$7,0))</f>
        <v>0</v>
      </c>
      <c r="J63" s="236">
        <f>+INDEX(DataEx!$1:$1048576,MATCH('2019'!$A63,DataEx!$D:$D,0),MATCH('2019'!J$6,DataEx!$7:$7,0))</f>
        <v>74623000</v>
      </c>
      <c r="K63" s="236">
        <f>+INDEX(DataEx!$1:$1048576,MATCH('2019'!$A63,DataEx!$D:$D,0),MATCH('2019'!K$6,DataEx!$7:$7,0))</f>
        <v>67815000</v>
      </c>
      <c r="L63" s="236">
        <f>+INDEX(DataEx!$1:$1048576,MATCH('2019'!$A63,DataEx!$D:$D,0),MATCH('2019'!L$6,DataEx!$7:$7,0))</f>
        <v>0</v>
      </c>
      <c r="M63" s="236">
        <f>+INDEX(DataEx!$1:$1048576,MATCH('2019'!$A63,DataEx!$D:$D,0),MATCH('2019'!M$6,DataEx!$7:$7,0))</f>
        <v>0</v>
      </c>
      <c r="N63" s="236">
        <f>+INDEX(DataEx!$1:$1048576,MATCH('2019'!$A63,DataEx!$D:$D,0),MATCH('2019'!N$6,DataEx!$7:$7,0))</f>
        <v>0</v>
      </c>
      <c r="O63" s="236">
        <f>+INDEX(DataEx!$1:$1048576,MATCH('2019'!$A63,DataEx!$D:$D,0),MATCH('2019'!O$6,DataEx!$7:$7,0))</f>
        <v>0</v>
      </c>
      <c r="P63" s="236">
        <f>+INDEX(DataEx!$1:$1048576,MATCH('2019'!$A63,DataEx!$D:$D,0),MATCH('2019'!P$6,DataEx!$7:$7,0))</f>
        <v>0</v>
      </c>
      <c r="Q63" s="236">
        <f>+INDEX(DataEx!$1:$1048576,MATCH('2019'!$A63,DataEx!$D:$D,0),MATCH('2019'!Q$6,DataEx!$7:$7,0))</f>
        <v>0</v>
      </c>
      <c r="R63" s="236">
        <f>+INDEX(DataEx!$1:$1048576,MATCH('2019'!$A63,DataEx!$D:$D,0),MATCH('2019'!R$6,DataEx!$7:$7,0))</f>
        <v>0</v>
      </c>
      <c r="S63" s="289">
        <f t="shared" si="3"/>
        <v>214438000</v>
      </c>
      <c r="T63" s="290">
        <f t="shared" si="4"/>
        <v>4.4780938061228751E-2</v>
      </c>
    </row>
    <row r="64" spans="1:22">
      <c r="A64" s="169">
        <v>7512</v>
      </c>
      <c r="B64" s="452" t="str">
        <f>+VLOOKUP($A64,Master!$D$27:$G$225,4,FALSE)</f>
        <v>Pozajmice i krediti od inostranih izvora</v>
      </c>
      <c r="C64" s="453"/>
      <c r="D64" s="453"/>
      <c r="E64" s="453"/>
      <c r="F64" s="453"/>
      <c r="G64" s="236">
        <f>+INDEX(DataEx!$1:$1048576,MATCH('2019'!$A64,DataEx!$D:$D,0),MATCH('2019'!G$6,DataEx!$7:$7,0))</f>
        <v>25748930.140000001</v>
      </c>
      <c r="H64" s="236">
        <f>+INDEX(DataEx!$1:$1048576,MATCH('2019'!$A64,DataEx!$D:$D,0),MATCH('2019'!H$6,DataEx!$7:$7,0))</f>
        <v>3819449.69</v>
      </c>
      <c r="I64" s="236">
        <f>+INDEX(DataEx!$1:$1048576,MATCH('2019'!$A64,DataEx!$D:$D,0),MATCH('2019'!I$6,DataEx!$7:$7,0))</f>
        <v>14059999.119999999</v>
      </c>
      <c r="J64" s="236">
        <f>+INDEX(DataEx!$1:$1048576,MATCH('2019'!$A64,DataEx!$D:$D,0),MATCH('2019'!J$6,DataEx!$7:$7,0))</f>
        <v>6496285.4699999997</v>
      </c>
      <c r="K64" s="236">
        <f>+INDEX(DataEx!$1:$1048576,MATCH('2019'!$A64,DataEx!$D:$D,0),MATCH('2019'!K$6,DataEx!$7:$7,0))</f>
        <v>7856343.8600000003</v>
      </c>
      <c r="L64" s="236">
        <f>+INDEX(DataEx!$1:$1048576,MATCH('2019'!$A64,DataEx!$D:$D,0),MATCH('2019'!L$6,DataEx!$7:$7,0))</f>
        <v>0</v>
      </c>
      <c r="M64" s="236">
        <f>+INDEX(DataEx!$1:$1048576,MATCH('2019'!$A64,DataEx!$D:$D,0),MATCH('2019'!M$6,DataEx!$7:$7,0))</f>
        <v>0</v>
      </c>
      <c r="N64" s="236">
        <f>+INDEX(DataEx!$1:$1048576,MATCH('2019'!$A64,DataEx!$D:$D,0),MATCH('2019'!N$6,DataEx!$7:$7,0))</f>
        <v>0</v>
      </c>
      <c r="O64" s="236">
        <f>+INDEX(DataEx!$1:$1048576,MATCH('2019'!$A64,DataEx!$D:$D,0),MATCH('2019'!O$6,DataEx!$7:$7,0))</f>
        <v>0</v>
      </c>
      <c r="P64" s="236">
        <f>+INDEX(DataEx!$1:$1048576,MATCH('2019'!$A64,DataEx!$D:$D,0),MATCH('2019'!P$6,DataEx!$7:$7,0))</f>
        <v>0</v>
      </c>
      <c r="Q64" s="236">
        <f>+INDEX(DataEx!$1:$1048576,MATCH('2019'!$A64,DataEx!$D:$D,0),MATCH('2019'!Q$6,DataEx!$7:$7,0))</f>
        <v>0</v>
      </c>
      <c r="R64" s="236">
        <f>+INDEX(DataEx!$1:$1048576,MATCH('2019'!$A64,DataEx!$D:$D,0),MATCH('2019'!R$6,DataEx!$7:$7,0))</f>
        <v>0</v>
      </c>
      <c r="S64" s="289">
        <f t="shared" si="3"/>
        <v>57981008.280000001</v>
      </c>
      <c r="T64" s="290">
        <f t="shared" si="4"/>
        <v>1.2108133542162636E-2</v>
      </c>
    </row>
    <row r="65" spans="1:20">
      <c r="A65" s="169">
        <v>72</v>
      </c>
      <c r="B65" s="452" t="str">
        <f>+VLOOKUP($A65,Master!$D$27:$G$225,4,FALSE)</f>
        <v>Primici od prodaje imovine</v>
      </c>
      <c r="C65" s="453"/>
      <c r="D65" s="453"/>
      <c r="E65" s="453"/>
      <c r="F65" s="453"/>
      <c r="G65" s="236">
        <f>+INDEX(DataEx!$1:$1048576,MATCH('2019'!$A65,DataEx!$D:$D,0),MATCH('2019'!G$6,DataEx!$7:$7,0))</f>
        <v>26594.13</v>
      </c>
      <c r="H65" s="236">
        <f>+INDEX(DataEx!$1:$1048576,MATCH('2019'!$A65,DataEx!$D:$D,0),MATCH('2019'!H$6,DataEx!$7:$7,0))</f>
        <v>177395.91</v>
      </c>
      <c r="I65" s="236">
        <f>+INDEX(DataEx!$1:$1048576,MATCH('2019'!$A65,DataEx!$D:$D,0),MATCH('2019'!I$6,DataEx!$7:$7,0))</f>
        <v>180547.55</v>
      </c>
      <c r="J65" s="236">
        <f>+INDEX(DataEx!$1:$1048576,MATCH('2019'!$A65,DataEx!$D:$D,0),MATCH('2019'!J$6,DataEx!$7:$7,0))</f>
        <v>169636.46</v>
      </c>
      <c r="K65" s="236">
        <f>+INDEX(DataEx!$1:$1048576,MATCH('2019'!$A65,DataEx!$D:$D,0),MATCH('2019'!K$6,DataEx!$7:$7,0))</f>
        <v>223780.48000000001</v>
      </c>
      <c r="L65" s="236">
        <f>+INDEX(DataEx!$1:$1048576,MATCH('2019'!$A65,DataEx!$D:$D,0),MATCH('2019'!L$6,DataEx!$7:$7,0))</f>
        <v>0</v>
      </c>
      <c r="M65" s="236">
        <f>+INDEX(DataEx!$1:$1048576,MATCH('2019'!$A65,DataEx!$D:$D,0),MATCH('2019'!M$6,DataEx!$7:$7,0))</f>
        <v>0</v>
      </c>
      <c r="N65" s="236">
        <f>+INDEX(DataEx!$1:$1048576,MATCH('2019'!$A65,DataEx!$D:$D,0),MATCH('2019'!N$6,DataEx!$7:$7,0))</f>
        <v>0</v>
      </c>
      <c r="O65" s="236">
        <f>+INDEX(DataEx!$1:$1048576,MATCH('2019'!$A65,DataEx!$D:$D,0),MATCH('2019'!O$6,DataEx!$7:$7,0))</f>
        <v>0</v>
      </c>
      <c r="P65" s="236">
        <f>+INDEX(DataEx!$1:$1048576,MATCH('2019'!$A65,DataEx!$D:$D,0),MATCH('2019'!P$6,DataEx!$7:$7,0))</f>
        <v>0</v>
      </c>
      <c r="Q65" s="236">
        <f>+INDEX(DataEx!$1:$1048576,MATCH('2019'!$A65,DataEx!$D:$D,0),MATCH('2019'!Q$6,DataEx!$7:$7,0))</f>
        <v>0</v>
      </c>
      <c r="R65" s="236">
        <f>+INDEX(DataEx!$1:$1048576,MATCH('2019'!$A65,DataEx!$D:$D,0),MATCH('2019'!R$6,DataEx!$7:$7,0))</f>
        <v>0</v>
      </c>
      <c r="S65" s="289">
        <f t="shared" si="3"/>
        <v>777954.52999999991</v>
      </c>
      <c r="T65" s="290">
        <f t="shared" si="4"/>
        <v>1.6245970220941401E-4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8075157.8100000322</v>
      </c>
      <c r="H66" s="250">
        <f t="shared" ref="H66:R66" si="14">-H61-SUM(H63:H65)</f>
        <v>23718954.970000029</v>
      </c>
      <c r="I66" s="250">
        <f t="shared" si="14"/>
        <v>28199296.840000018</v>
      </c>
      <c r="J66" s="250">
        <f t="shared" si="14"/>
        <v>-33184315.85999997</v>
      </c>
      <c r="K66" s="250">
        <f t="shared" si="14"/>
        <v>-69082017.039999992</v>
      </c>
      <c r="L66" s="250">
        <f t="shared" si="14"/>
        <v>0</v>
      </c>
      <c r="M66" s="250">
        <f t="shared" si="14"/>
        <v>0</v>
      </c>
      <c r="N66" s="250">
        <f t="shared" si="14"/>
        <v>0</v>
      </c>
      <c r="O66" s="250">
        <f t="shared" si="14"/>
        <v>0</v>
      </c>
      <c r="P66" s="250">
        <f t="shared" si="14"/>
        <v>0</v>
      </c>
      <c r="Q66" s="250">
        <f t="shared" si="14"/>
        <v>0</v>
      </c>
      <c r="R66" s="250">
        <f t="shared" si="14"/>
        <v>0</v>
      </c>
      <c r="S66" s="295">
        <f>+SUM(G66:R66)</f>
        <v>-42272923.279999882</v>
      </c>
      <c r="T66" s="296">
        <f t="shared" si="4"/>
        <v>-8.8278251012821867E-3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2019-01p</v>
      </c>
      <c r="H101" s="69" t="str">
        <f t="shared" si="15"/>
        <v>2019-02p</v>
      </c>
      <c r="I101" s="69" t="str">
        <f t="shared" si="15"/>
        <v>2019-03p</v>
      </c>
      <c r="J101" s="69" t="str">
        <f t="shared" si="15"/>
        <v>2019-04p</v>
      </c>
      <c r="K101" s="69" t="str">
        <f t="shared" si="15"/>
        <v>2019-05p</v>
      </c>
      <c r="L101" s="69" t="str">
        <f t="shared" si="15"/>
        <v>2019-06p</v>
      </c>
      <c r="M101" s="69" t="str">
        <f t="shared" si="15"/>
        <v>2019-07p</v>
      </c>
      <c r="N101" s="69" t="str">
        <f t="shared" si="15"/>
        <v>2019-08p</v>
      </c>
      <c r="O101" s="69" t="str">
        <f t="shared" si="15"/>
        <v>2019-09p</v>
      </c>
      <c r="P101" s="69" t="str">
        <f t="shared" si="15"/>
        <v>2019-10p</v>
      </c>
      <c r="Q101" s="69" t="str">
        <f t="shared" si="15"/>
        <v>2019-11p</v>
      </c>
      <c r="R101" s="69" t="str">
        <f t="shared" si="15"/>
        <v>2019-12p</v>
      </c>
    </row>
    <row r="102" spans="1:21" ht="15.75" customHeight="1" thickBot="1">
      <c r="B102" s="537" t="str">
        <f>+Master!G252</f>
        <v>Plan ostvarenja budžeta</v>
      </c>
      <c r="C102" s="538"/>
      <c r="D102" s="538"/>
      <c r="E102" s="538"/>
      <c r="F102" s="538"/>
      <c r="G102" s="530">
        <v>2019</v>
      </c>
      <c r="H102" s="531"/>
      <c r="I102" s="531"/>
      <c r="J102" s="531"/>
      <c r="K102" s="531"/>
      <c r="L102" s="531"/>
      <c r="M102" s="531"/>
      <c r="N102" s="531"/>
      <c r="O102" s="531"/>
      <c r="P102" s="531"/>
      <c r="Q102" s="531"/>
      <c r="R102" s="532"/>
      <c r="S102" s="115" t="str">
        <f>+S7</f>
        <v>BDP</v>
      </c>
      <c r="T102" s="116">
        <f>+T7</f>
        <v>4788600000</v>
      </c>
    </row>
    <row r="103" spans="1:21" ht="15.75" customHeight="1">
      <c r="B103" s="539"/>
      <c r="C103" s="540"/>
      <c r="D103" s="540"/>
      <c r="E103" s="540"/>
      <c r="F103" s="541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30" t="str">
        <f>+Master!G246</f>
        <v>Jan - Dec</v>
      </c>
      <c r="T103" s="532">
        <f>+T8</f>
        <v>0</v>
      </c>
    </row>
    <row r="104" spans="1:21" ht="13.5" thickBot="1">
      <c r="B104" s="542"/>
      <c r="C104" s="543"/>
      <c r="D104" s="543"/>
      <c r="E104" s="543"/>
      <c r="F104" s="544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33" t="str">
        <f>+VLOOKUP(LEFT($A105,LEN(A105)-1)*1,Master!$D$27:$G$225,4,FALSE)</f>
        <v>Prihodi budžeta</v>
      </c>
      <c r="C105" s="534"/>
      <c r="D105" s="534"/>
      <c r="E105" s="534"/>
      <c r="F105" s="534"/>
      <c r="G105" s="97">
        <f t="shared" ref="G105:R105" si="18">+G106+G114+SUM(G119:G123)</f>
        <v>100142622.19594875</v>
      </c>
      <c r="H105" s="97">
        <f t="shared" si="18"/>
        <v>110204101.45187533</v>
      </c>
      <c r="I105" s="97">
        <f t="shared" si="18"/>
        <v>144311801.06094447</v>
      </c>
      <c r="J105" s="97">
        <f t="shared" si="18"/>
        <v>156434731.13342205</v>
      </c>
      <c r="K105" s="97">
        <f t="shared" si="18"/>
        <v>144927392.41019922</v>
      </c>
      <c r="L105" s="97">
        <f t="shared" si="18"/>
        <v>147228422.67922965</v>
      </c>
      <c r="M105" s="97">
        <f t="shared" si="18"/>
        <v>204006894.58941606</v>
      </c>
      <c r="N105" s="97">
        <f t="shared" si="18"/>
        <v>169407883.70021766</v>
      </c>
      <c r="O105" s="97">
        <f t="shared" si="18"/>
        <v>154956630.51127648</v>
      </c>
      <c r="P105" s="97">
        <f t="shared" si="18"/>
        <v>152916058.81443799</v>
      </c>
      <c r="Q105" s="97">
        <f t="shared" si="18"/>
        <v>150982642.31226081</v>
      </c>
      <c r="R105" s="97">
        <f t="shared" si="18"/>
        <v>192484329.23588553</v>
      </c>
      <c r="S105" s="121">
        <f>+SUM(G105:R105)</f>
        <v>1828003510.095114</v>
      </c>
      <c r="T105" s="122">
        <f>+S105/$T$7</f>
        <v>0.38174069876271016</v>
      </c>
    </row>
    <row r="106" spans="1:21">
      <c r="A106" s="137" t="str">
        <f t="shared" si="17"/>
        <v>711p</v>
      </c>
      <c r="B106" s="535" t="str">
        <f>+VLOOKUP(LEFT($A106,LEN(A106)-1)*1,Master!$D$27:$G$225,4,FALSE)</f>
        <v>Porezi</v>
      </c>
      <c r="C106" s="536"/>
      <c r="D106" s="536"/>
      <c r="E106" s="536"/>
      <c r="F106" s="536"/>
      <c r="G106" s="81">
        <f t="shared" ref="G106:R106" si="19">+SUM(G107:G113)</f>
        <v>66350952.18828921</v>
      </c>
      <c r="H106" s="81">
        <f t="shared" si="19"/>
        <v>66472981.942397669</v>
      </c>
      <c r="I106" s="81">
        <f t="shared" si="19"/>
        <v>93002932.070390105</v>
      </c>
      <c r="J106" s="81">
        <f t="shared" si="19"/>
        <v>102239095.0183354</v>
      </c>
      <c r="K106" s="81">
        <f t="shared" si="19"/>
        <v>94699693.448994264</v>
      </c>
      <c r="L106" s="81">
        <f t="shared" si="19"/>
        <v>91492613.061199591</v>
      </c>
      <c r="M106" s="81">
        <f t="shared" si="19"/>
        <v>112923554.20062464</v>
      </c>
      <c r="N106" s="81">
        <f t="shared" si="19"/>
        <v>113143297.77609694</v>
      </c>
      <c r="O106" s="81">
        <f t="shared" si="19"/>
        <v>103026361.00846727</v>
      </c>
      <c r="P106" s="81">
        <f t="shared" si="19"/>
        <v>93606542.740928665</v>
      </c>
      <c r="Q106" s="81">
        <f t="shared" si="19"/>
        <v>84962600.741949648</v>
      </c>
      <c r="R106" s="82">
        <f t="shared" si="19"/>
        <v>93740018.517628297</v>
      </c>
      <c r="S106" s="123">
        <f t="shared" ref="S106:S161" si="20">+SUM(G106:R106)</f>
        <v>1115660642.7153018</v>
      </c>
      <c r="T106" s="124">
        <f t="shared" ref="T106:T161" si="21">+S106/$T$7</f>
        <v>0.23298263432220309</v>
      </c>
      <c r="U106" s="302"/>
    </row>
    <row r="107" spans="1:21">
      <c r="A107" s="137" t="str">
        <f t="shared" si="17"/>
        <v>7111p</v>
      </c>
      <c r="B107" s="516" t="str">
        <f>+VLOOKUP(LEFT($A107,LEN(A107)-1)*1,Master!$D$27:$G$225,4,FALSE)</f>
        <v>Porez na dohodak fizičkih lica</v>
      </c>
      <c r="C107" s="517"/>
      <c r="D107" s="517"/>
      <c r="E107" s="517"/>
      <c r="F107" s="517"/>
      <c r="G107" s="91">
        <f>+SUM(DataEx!FF220)</f>
        <v>3652899.4658571309</v>
      </c>
      <c r="H107" s="91">
        <f>+SUM(DataEx!FG220)</f>
        <v>8022759.2428831048</v>
      </c>
      <c r="I107" s="91">
        <f>+SUM(DataEx!FH220)</f>
        <v>9018350.9541227892</v>
      </c>
      <c r="J107" s="91">
        <f>+SUM(DataEx!FI220)</f>
        <v>8926461.2777662594</v>
      </c>
      <c r="K107" s="91">
        <f>+SUM(DataEx!FJ220)</f>
        <v>9315147.433583051</v>
      </c>
      <c r="L107" s="91">
        <f>+SUM(DataEx!FK220)</f>
        <v>9445633.2450224012</v>
      </c>
      <c r="M107" s="91">
        <f>+SUM(DataEx!FL220)</f>
        <v>10205937.595552938</v>
      </c>
      <c r="N107" s="91">
        <f>+SUM(DataEx!FM220)</f>
        <v>10123433.296484467</v>
      </c>
      <c r="O107" s="91">
        <f>+SUM(DataEx!FN220)</f>
        <v>8654681.0736119766</v>
      </c>
      <c r="P107" s="91">
        <f>+SUM(DataEx!FO220)</f>
        <v>9265743.8443470914</v>
      </c>
      <c r="Q107" s="91">
        <f>+SUM(DataEx!FP220)</f>
        <v>9472310.2676257156</v>
      </c>
      <c r="R107" s="91">
        <f>+SUM(DataEx!FQ220)</f>
        <v>16517258.248203963</v>
      </c>
      <c r="S107" s="125">
        <f t="shared" si="20"/>
        <v>112620615.94506088</v>
      </c>
      <c r="T107" s="126">
        <f t="shared" si="21"/>
        <v>2.3518484723105058E-2</v>
      </c>
    </row>
    <row r="108" spans="1:21">
      <c r="A108" s="137" t="str">
        <f t="shared" si="17"/>
        <v>7112p</v>
      </c>
      <c r="B108" s="516" t="str">
        <f>+VLOOKUP(LEFT($A108,LEN(A108)-1)*1,Master!$D$27:$G$225,4,FALSE)</f>
        <v>Porez na dobit pravnih lica</v>
      </c>
      <c r="C108" s="517"/>
      <c r="D108" s="517"/>
      <c r="E108" s="517"/>
      <c r="F108" s="517"/>
      <c r="G108" s="91">
        <f>+SUM(DataEx!FF221)</f>
        <v>500908.59191930544</v>
      </c>
      <c r="H108" s="91">
        <f>+SUM(DataEx!FG221)</f>
        <v>1728915.0269937462</v>
      </c>
      <c r="I108" s="91">
        <f>+SUM(DataEx!FH221)</f>
        <v>23447142.113813326</v>
      </c>
      <c r="J108" s="91">
        <f>+SUM(DataEx!FI221)</f>
        <v>19058662.940981645</v>
      </c>
      <c r="K108" s="91">
        <f>+SUM(DataEx!FJ221)</f>
        <v>3928923.943707631</v>
      </c>
      <c r="L108" s="91">
        <f>+SUM(DataEx!FK221)</f>
        <v>3583416.79871599</v>
      </c>
      <c r="M108" s="91">
        <f>+SUM(DataEx!FL221)</f>
        <v>9457741.7110314406</v>
      </c>
      <c r="N108" s="91">
        <f>+SUM(DataEx!FM221)</f>
        <v>3685443.6740218182</v>
      </c>
      <c r="O108" s="91">
        <f>+SUM(DataEx!FN221)</f>
        <v>2555024.3067054795</v>
      </c>
      <c r="P108" s="91">
        <f>+SUM(DataEx!FO221)</f>
        <v>1099414.7304318412</v>
      </c>
      <c r="Q108" s="91">
        <f>+SUM(DataEx!FP221)</f>
        <v>845177.9860074711</v>
      </c>
      <c r="R108" s="91">
        <f>+SUM(DataEx!FQ221)</f>
        <v>1909016.1037912499</v>
      </c>
      <c r="S108" s="125">
        <f t="shared" si="20"/>
        <v>71799787.928120941</v>
      </c>
      <c r="T108" s="126">
        <f t="shared" si="21"/>
        <v>1.4993899663392419E-2</v>
      </c>
    </row>
    <row r="109" spans="1:21">
      <c r="A109" s="137" t="str">
        <f t="shared" si="17"/>
        <v>7113p</v>
      </c>
      <c r="B109" s="516" t="str">
        <f>+VLOOKUP(LEFT($A109,LEN(A109)-1)*1,Master!$D$27:$G$225,4,FALSE)</f>
        <v>Porez na promet nepokretnosti</v>
      </c>
      <c r="C109" s="517"/>
      <c r="D109" s="517"/>
      <c r="E109" s="517"/>
      <c r="F109" s="517"/>
      <c r="G109" s="91">
        <f>+SUM(DataEx!FF222)</f>
        <v>96249.011498017411</v>
      </c>
      <c r="H109" s="91">
        <f>+SUM(DataEx!FG222)</f>
        <v>120146.26435610364</v>
      </c>
      <c r="I109" s="91">
        <f>+SUM(DataEx!FH222)</f>
        <v>209659.82846113556</v>
      </c>
      <c r="J109" s="91">
        <f>+SUM(DataEx!FI222)</f>
        <v>121004.94574649777</v>
      </c>
      <c r="K109" s="91">
        <f>+SUM(DataEx!FJ222)</f>
        <v>148306.47673758463</v>
      </c>
      <c r="L109" s="91">
        <f>+SUM(DataEx!FK222)</f>
        <v>125876.16325992151</v>
      </c>
      <c r="M109" s="91">
        <f>+SUM(DataEx!FL222)</f>
        <v>117744.05088327322</v>
      </c>
      <c r="N109" s="91">
        <f>+SUM(DataEx!FM222)</f>
        <v>225326.54561980077</v>
      </c>
      <c r="O109" s="91">
        <f>+SUM(DataEx!FN222)</f>
        <v>152871.08637766869</v>
      </c>
      <c r="P109" s="91">
        <f>+SUM(DataEx!FO222)</f>
        <v>160318.03884668328</v>
      </c>
      <c r="Q109" s="91">
        <f>+SUM(DataEx!FP222)</f>
        <v>199620.99998265412</v>
      </c>
      <c r="R109" s="91">
        <f>+SUM(DataEx!FQ222)</f>
        <v>215373.43170328165</v>
      </c>
      <c r="S109" s="125">
        <f t="shared" si="20"/>
        <v>1892496.8434726221</v>
      </c>
      <c r="T109" s="126">
        <f t="shared" si="21"/>
        <v>3.9520879661542459E-4</v>
      </c>
    </row>
    <row r="110" spans="1:21">
      <c r="A110" s="137" t="str">
        <f t="shared" si="17"/>
        <v>7114p</v>
      </c>
      <c r="B110" s="516" t="str">
        <f>+VLOOKUP(LEFT($A110,LEN(A110)-1)*1,Master!$D$27:$G$225,4,FALSE)</f>
        <v>Porez na dodatu vrijednost</v>
      </c>
      <c r="C110" s="517"/>
      <c r="D110" s="517"/>
      <c r="E110" s="517"/>
      <c r="F110" s="517"/>
      <c r="G110" s="91">
        <f>+SUM(DataEx!FF223)</f>
        <v>45311601.807667136</v>
      </c>
      <c r="H110" s="91">
        <f>+SUM(DataEx!FG223)</f>
        <v>40500051.462180994</v>
      </c>
      <c r="I110" s="91">
        <f>+SUM(DataEx!FH223)</f>
        <v>42870636.919596858</v>
      </c>
      <c r="J110" s="91">
        <f>+SUM(DataEx!FI223)</f>
        <v>53276433.401434079</v>
      </c>
      <c r="K110" s="91">
        <f>+SUM(DataEx!FJ223)</f>
        <v>56985238.833298653</v>
      </c>
      <c r="L110" s="91">
        <f>+SUM(DataEx!FK223)</f>
        <v>55167623.820050351</v>
      </c>
      <c r="M110" s="91">
        <f>+SUM(DataEx!FL223)</f>
        <v>65608697.993098289</v>
      </c>
      <c r="N110" s="91">
        <f>+SUM(DataEx!FM223)</f>
        <v>67890311.931873396</v>
      </c>
      <c r="O110" s="91">
        <f>+SUM(DataEx!FN223)</f>
        <v>60747048.514482975</v>
      </c>
      <c r="P110" s="91">
        <f>+SUM(DataEx!FO223)</f>
        <v>60046360.535818934</v>
      </c>
      <c r="Q110" s="91">
        <f>+SUM(DataEx!FP223)</f>
        <v>50598426.623042114</v>
      </c>
      <c r="R110" s="91">
        <f>+SUM(DataEx!FQ223)</f>
        <v>53857666.854387075</v>
      </c>
      <c r="S110" s="125">
        <f t="shared" si="20"/>
        <v>652860098.69693089</v>
      </c>
      <c r="T110" s="126">
        <f t="shared" si="21"/>
        <v>0.13633631932024617</v>
      </c>
    </row>
    <row r="111" spans="1:21">
      <c r="A111" s="137" t="str">
        <f t="shared" si="17"/>
        <v>7115p</v>
      </c>
      <c r="B111" s="516" t="str">
        <f>+VLOOKUP(LEFT($A111,LEN(A111)-1)*1,Master!$D$27:$G$225,4,FALSE)</f>
        <v>Akcize</v>
      </c>
      <c r="C111" s="517"/>
      <c r="D111" s="517"/>
      <c r="E111" s="517"/>
      <c r="F111" s="517"/>
      <c r="G111" s="91">
        <f>+SUM(DataEx!FF224)</f>
        <v>14802170.311350815</v>
      </c>
      <c r="H111" s="91">
        <f>+SUM(DataEx!FG224)</f>
        <v>13752359.500128729</v>
      </c>
      <c r="I111" s="91">
        <f>+SUM(DataEx!FH224)</f>
        <v>14470500.314192023</v>
      </c>
      <c r="J111" s="91">
        <f>+SUM(DataEx!FI224)</f>
        <v>17858265.727539971</v>
      </c>
      <c r="K111" s="91">
        <f>+SUM(DataEx!FJ224)</f>
        <v>20891088.570270509</v>
      </c>
      <c r="L111" s="91">
        <f>+SUM(DataEx!FK224)</f>
        <v>19831823.145692226</v>
      </c>
      <c r="M111" s="91">
        <f>+SUM(DataEx!FL224)</f>
        <v>23769815.550913561</v>
      </c>
      <c r="N111" s="91">
        <f>+SUM(DataEx!FM224)</f>
        <v>27414563.793734949</v>
      </c>
      <c r="O111" s="91">
        <f>+SUM(DataEx!FN224)</f>
        <v>27821146.884936411</v>
      </c>
      <c r="P111" s="91">
        <f>+SUM(DataEx!FO224)</f>
        <v>19593872.367677551</v>
      </c>
      <c r="Q111" s="91">
        <f>+SUM(DataEx!FP224)</f>
        <v>21076713.14050236</v>
      </c>
      <c r="R111" s="91">
        <f>+SUM(DataEx!FQ224)</f>
        <v>18275634.395081349</v>
      </c>
      <c r="S111" s="125">
        <f t="shared" si="20"/>
        <v>239557953.70202044</v>
      </c>
      <c r="T111" s="126">
        <f t="shared" si="21"/>
        <v>5.0026720482399957E-2</v>
      </c>
    </row>
    <row r="112" spans="1:21">
      <c r="A112" s="137" t="str">
        <f t="shared" si="17"/>
        <v>7116p</v>
      </c>
      <c r="B112" s="516" t="str">
        <f>+VLOOKUP(LEFT($A112,LEN(A112)-1)*1,Master!$D$27:$G$225,4,FALSE)</f>
        <v>Porez na međunarodnu trgovinu i transakcije</v>
      </c>
      <c r="C112" s="517"/>
      <c r="D112" s="517"/>
      <c r="E112" s="517"/>
      <c r="F112" s="517"/>
      <c r="G112" s="91">
        <f>+SUM(DataEx!FF225)</f>
        <v>1250663.2131918652</v>
      </c>
      <c r="H112" s="91">
        <f>+SUM(DataEx!FG225)</f>
        <v>1722044.3795582296</v>
      </c>
      <c r="I112" s="91">
        <f>+SUM(DataEx!FH225)</f>
        <v>2286430.5633199541</v>
      </c>
      <c r="J112" s="91">
        <f>+SUM(DataEx!FI225)</f>
        <v>2249532.0000431878</v>
      </c>
      <c r="K112" s="91">
        <f>+SUM(DataEx!FJ225)</f>
        <v>2665262.8330451054</v>
      </c>
      <c r="L112" s="91">
        <f>+SUM(DataEx!FK225)</f>
        <v>2391366.8090515211</v>
      </c>
      <c r="M112" s="91">
        <f>+SUM(DataEx!FL225)</f>
        <v>2874823.7198000303</v>
      </c>
      <c r="N112" s="91">
        <f>+SUM(DataEx!FM225)</f>
        <v>2933294.0296025178</v>
      </c>
      <c r="O112" s="91">
        <f>+SUM(DataEx!FN225)</f>
        <v>2262615.8066899669</v>
      </c>
      <c r="P112" s="91">
        <f>+SUM(DataEx!FO225)</f>
        <v>2636954.7714076787</v>
      </c>
      <c r="Q112" s="91">
        <f>+SUM(DataEx!FP225)</f>
        <v>1951413.1885985387</v>
      </c>
      <c r="R112" s="91">
        <f>+SUM(DataEx!FQ225)</f>
        <v>2103744.048736285</v>
      </c>
      <c r="S112" s="125">
        <f t="shared" si="20"/>
        <v>27328145.363044884</v>
      </c>
      <c r="T112" s="126">
        <f t="shared" si="21"/>
        <v>5.7069175464738928E-3</v>
      </c>
    </row>
    <row r="113" spans="1:20">
      <c r="A113" s="137" t="str">
        <f t="shared" si="17"/>
        <v>7118p</v>
      </c>
      <c r="B113" s="516" t="str">
        <f>+VLOOKUP(LEFT($A113,LEN(A113)-1)*1,Master!$D$27:$G$225,4,FALSE)</f>
        <v>Ostali državni porezi</v>
      </c>
      <c r="C113" s="517"/>
      <c r="D113" s="517"/>
      <c r="E113" s="517"/>
      <c r="F113" s="517"/>
      <c r="G113" s="91">
        <f>+SUM(DataEx!FF227)</f>
        <v>736459.78680493729</v>
      </c>
      <c r="H113" s="91">
        <f>+SUM(DataEx!FG227)</f>
        <v>626706.06629676104</v>
      </c>
      <c r="I113" s="91">
        <f>+SUM(DataEx!FH227)</f>
        <v>700211.37688401563</v>
      </c>
      <c r="J113" s="91">
        <f>+SUM(DataEx!FI227)</f>
        <v>748734.72482375184</v>
      </c>
      <c r="K113" s="91">
        <f>+SUM(DataEx!FJ227)</f>
        <v>765725.35835171666</v>
      </c>
      <c r="L113" s="91">
        <f>+SUM(DataEx!FK227)</f>
        <v>946873.07940717612</v>
      </c>
      <c r="M113" s="91">
        <f>+SUM(DataEx!FL227)</f>
        <v>888793.57934511674</v>
      </c>
      <c r="N113" s="91">
        <f>+SUM(DataEx!FM227)</f>
        <v>870924.50475999399</v>
      </c>
      <c r="O113" s="91">
        <f>+SUM(DataEx!FN227)</f>
        <v>832973.33566279267</v>
      </c>
      <c r="P113" s="91">
        <f>+SUM(DataEx!FO227)</f>
        <v>803878.4523988833</v>
      </c>
      <c r="Q113" s="91">
        <f>+SUM(DataEx!FP227)</f>
        <v>818938.53619078756</v>
      </c>
      <c r="R113" s="91">
        <f>+SUM(DataEx!FQ227)</f>
        <v>861325.43572509091</v>
      </c>
      <c r="S113" s="125">
        <f t="shared" si="20"/>
        <v>9601544.2366510238</v>
      </c>
      <c r="T113" s="126">
        <f t="shared" si="21"/>
        <v>2.0050837899701422E-3</v>
      </c>
    </row>
    <row r="114" spans="1:20">
      <c r="A114" s="137" t="str">
        <f t="shared" si="17"/>
        <v>712p</v>
      </c>
      <c r="B114" s="528" t="str">
        <f>+VLOOKUP(LEFT($A114,LEN(A114)-1)*1,Master!$D$27:$G$225,4,FALSE)</f>
        <v>Doprinosi</v>
      </c>
      <c r="C114" s="529"/>
      <c r="D114" s="529"/>
      <c r="E114" s="529"/>
      <c r="F114" s="529"/>
      <c r="G114" s="83">
        <f>+SUM(G115:G118)</f>
        <v>14755895.780545458</v>
      </c>
      <c r="H114" s="83">
        <f t="shared" ref="H114:R114" si="22">+SUM(H115:H118)</f>
        <v>37403451.017929606</v>
      </c>
      <c r="I114" s="83">
        <f t="shared" si="22"/>
        <v>43601797.580043353</v>
      </c>
      <c r="J114" s="83">
        <f t="shared" si="22"/>
        <v>41553058.121337146</v>
      </c>
      <c r="K114" s="83">
        <f t="shared" si="22"/>
        <v>40898605.146830343</v>
      </c>
      <c r="L114" s="83">
        <f t="shared" si="22"/>
        <v>42603078.705825843</v>
      </c>
      <c r="M114" s="83">
        <f t="shared" si="22"/>
        <v>46250891.035691187</v>
      </c>
      <c r="N114" s="83">
        <f t="shared" si="22"/>
        <v>46210377.052519538</v>
      </c>
      <c r="O114" s="83">
        <f t="shared" si="22"/>
        <v>42496040.115985423</v>
      </c>
      <c r="P114" s="83">
        <f t="shared" si="22"/>
        <v>48421361.70604302</v>
      </c>
      <c r="Q114" s="83">
        <f t="shared" si="22"/>
        <v>45532452.215976171</v>
      </c>
      <c r="R114" s="84">
        <f t="shared" si="22"/>
        <v>81297365.468062162</v>
      </c>
      <c r="S114" s="127">
        <f t="shared" si="20"/>
        <v>531024373.94678932</v>
      </c>
      <c r="T114" s="128">
        <f t="shared" si="21"/>
        <v>0.11089344984897243</v>
      </c>
    </row>
    <row r="115" spans="1:20">
      <c r="A115" s="137" t="str">
        <f t="shared" si="17"/>
        <v>7121p</v>
      </c>
      <c r="B115" s="516" t="str">
        <f>+VLOOKUP(LEFT($A115,LEN(A115)-1)*1,Master!$D$27:$G$225,4,FALSE)</f>
        <v>Doprinosi za penzijsko i invalidsko osiguranje</v>
      </c>
      <c r="C115" s="517"/>
      <c r="D115" s="517"/>
      <c r="E115" s="517"/>
      <c r="F115" s="517"/>
      <c r="G115" s="91">
        <f>+SUM(DataEx!FF229)</f>
        <v>9127432.1840227619</v>
      </c>
      <c r="H115" s="91">
        <f>+SUM(DataEx!FG229)</f>
        <v>22757066.487967167</v>
      </c>
      <c r="I115" s="91">
        <f>+SUM(DataEx!FH229)</f>
        <v>26489853.50225101</v>
      </c>
      <c r="J115" s="91">
        <f>+SUM(DataEx!FI229)</f>
        <v>25260565.437348519</v>
      </c>
      <c r="K115" s="91">
        <f>+SUM(DataEx!FJ229)</f>
        <v>24837700.78348216</v>
      </c>
      <c r="L115" s="91">
        <f>+SUM(DataEx!FK229)</f>
        <v>25522109.790882807</v>
      </c>
      <c r="M115" s="91">
        <f>+SUM(DataEx!FL229)</f>
        <v>27482444.037160631</v>
      </c>
      <c r="N115" s="91">
        <f>+SUM(DataEx!FM229)</f>
        <v>27431759.977263737</v>
      </c>
      <c r="O115" s="91">
        <f>+SUM(DataEx!FN229)</f>
        <v>25758654.549990863</v>
      </c>
      <c r="P115" s="91">
        <f>+SUM(DataEx!FO229)</f>
        <v>29909297.679381389</v>
      </c>
      <c r="Q115" s="91">
        <f>+SUM(DataEx!FP229)</f>
        <v>28126522.515346657</v>
      </c>
      <c r="R115" s="91">
        <f>+SUM(DataEx!FQ229)</f>
        <v>48976990.327575065</v>
      </c>
      <c r="S115" s="125">
        <f t="shared" si="20"/>
        <v>321680397.27267283</v>
      </c>
      <c r="T115" s="126">
        <f t="shared" si="21"/>
        <v>6.7176293127985801E-2</v>
      </c>
    </row>
    <row r="116" spans="1:20">
      <c r="A116" s="137" t="str">
        <f t="shared" si="17"/>
        <v>7122p</v>
      </c>
      <c r="B116" s="516" t="str">
        <f>+VLOOKUP(LEFT($A116,LEN(A116)-1)*1,Master!$D$27:$G$225,4,FALSE)</f>
        <v>Doprinosi za zdravstveno osiguranje</v>
      </c>
      <c r="C116" s="517"/>
      <c r="D116" s="517"/>
      <c r="E116" s="517"/>
      <c r="F116" s="517"/>
      <c r="G116" s="91">
        <f>+SUM(DataEx!FF230)</f>
        <v>4949664.4366387613</v>
      </c>
      <c r="H116" s="91">
        <f>+SUM(DataEx!FG230)</f>
        <v>12811801.099004392</v>
      </c>
      <c r="I116" s="91">
        <f>+SUM(DataEx!FH230)</f>
        <v>14869363.320545932</v>
      </c>
      <c r="J116" s="91">
        <f>+SUM(DataEx!FI230)</f>
        <v>14198899.515922202</v>
      </c>
      <c r="K116" s="91">
        <f>+SUM(DataEx!FJ230)</f>
        <v>14065277.256726971</v>
      </c>
      <c r="L116" s="91">
        <f>+SUM(DataEx!FK230)</f>
        <v>15027164.196316766</v>
      </c>
      <c r="M116" s="91">
        <f>+SUM(DataEx!FL230)</f>
        <v>16394230.760278165</v>
      </c>
      <c r="N116" s="91">
        <f>+SUM(DataEx!FM230)</f>
        <v>16398511.128757462</v>
      </c>
      <c r="O116" s="91">
        <f>+SUM(DataEx!FN230)</f>
        <v>14604885.136878882</v>
      </c>
      <c r="P116" s="91">
        <f>+SUM(DataEx!FO230)</f>
        <v>16272112.902301818</v>
      </c>
      <c r="Q116" s="91">
        <f>+SUM(DataEx!FP230)</f>
        <v>15429290.637964325</v>
      </c>
      <c r="R116" s="91">
        <f>+SUM(DataEx!FQ230)</f>
        <v>28597997.946427643</v>
      </c>
      <c r="S116" s="125">
        <f t="shared" si="20"/>
        <v>183619198.33776334</v>
      </c>
      <c r="T116" s="126">
        <f t="shared" si="21"/>
        <v>3.8345069193034154E-2</v>
      </c>
    </row>
    <row r="117" spans="1:20">
      <c r="A117" s="137" t="str">
        <f t="shared" si="17"/>
        <v>7123p</v>
      </c>
      <c r="B117" s="516" t="str">
        <f>+VLOOKUP(LEFT($A117,LEN(A117)-1)*1,Master!$D$27:$G$225,4,FALSE)</f>
        <v>Doprinosi za osiguranje od nezaposlenosti</v>
      </c>
      <c r="C117" s="517"/>
      <c r="D117" s="517"/>
      <c r="E117" s="517"/>
      <c r="F117" s="517"/>
      <c r="G117" s="91">
        <f>+SUM(DataEx!FF231)</f>
        <v>351859.53156741383</v>
      </c>
      <c r="H117" s="91">
        <f>+SUM(DataEx!FG231)</f>
        <v>923569.68270678399</v>
      </c>
      <c r="I117" s="91">
        <f>+SUM(DataEx!FH231)</f>
        <v>1073402.2178698475</v>
      </c>
      <c r="J117" s="91">
        <f>+SUM(DataEx!FI231)</f>
        <v>996973.05599738541</v>
      </c>
      <c r="K117" s="91">
        <f>+SUM(DataEx!FJ231)</f>
        <v>987534.50739325164</v>
      </c>
      <c r="L117" s="91">
        <f>+SUM(DataEx!FK231)</f>
        <v>1050381.0843362929</v>
      </c>
      <c r="M117" s="91">
        <f>+SUM(DataEx!FL231)</f>
        <v>1142926.9664523243</v>
      </c>
      <c r="N117" s="91">
        <f>+SUM(DataEx!FM231)</f>
        <v>1148438.0865313176</v>
      </c>
      <c r="O117" s="91">
        <f>+SUM(DataEx!FN231)</f>
        <v>1042336.9826976907</v>
      </c>
      <c r="P117" s="91">
        <f>+SUM(DataEx!FO231)</f>
        <v>1170445.1852002153</v>
      </c>
      <c r="Q117" s="91">
        <f>+SUM(DataEx!FP231)</f>
        <v>1112642.8807910515</v>
      </c>
      <c r="R117" s="91">
        <f>+SUM(DataEx!FQ231)</f>
        <v>2066334.3255100392</v>
      </c>
      <c r="S117" s="125">
        <f t="shared" si="20"/>
        <v>13066844.507053616</v>
      </c>
      <c r="T117" s="126">
        <f t="shared" si="21"/>
        <v>2.7287400298737869E-3</v>
      </c>
    </row>
    <row r="118" spans="1:20">
      <c r="A118" s="137" t="str">
        <f t="shared" si="17"/>
        <v>7124p</v>
      </c>
      <c r="B118" s="516" t="str">
        <f>+VLOOKUP(LEFT($A118,LEN(A118)-1)*1,Master!$D$27:$G$225,4,FALSE)</f>
        <v>Ostali doprinosi</v>
      </c>
      <c r="C118" s="517"/>
      <c r="D118" s="517"/>
      <c r="E118" s="517"/>
      <c r="F118" s="517"/>
      <c r="G118" s="91">
        <f>+SUM(DataEx!FF232)</f>
        <v>326939.62831652147</v>
      </c>
      <c r="H118" s="91">
        <f>+SUM(DataEx!FG232)</f>
        <v>911013.74825126899</v>
      </c>
      <c r="I118" s="91">
        <f>+SUM(DataEx!FH232)</f>
        <v>1169178.5393765648</v>
      </c>
      <c r="J118" s="91">
        <f>+SUM(DataEx!FI232)</f>
        <v>1096620.1120690373</v>
      </c>
      <c r="K118" s="91">
        <f>+SUM(DataEx!FJ232)</f>
        <v>1008092.5992279621</v>
      </c>
      <c r="L118" s="91">
        <f>+SUM(DataEx!FK232)</f>
        <v>1003423.6342899711</v>
      </c>
      <c r="M118" s="91">
        <f>+SUM(DataEx!FL232)</f>
        <v>1231289.271800064</v>
      </c>
      <c r="N118" s="91">
        <f>+SUM(DataEx!FM232)</f>
        <v>1231667.8599670264</v>
      </c>
      <c r="O118" s="91">
        <f>+SUM(DataEx!FN232)</f>
        <v>1090163.4464179957</v>
      </c>
      <c r="P118" s="91">
        <f>+SUM(DataEx!FO232)</f>
        <v>1069505.9391595994</v>
      </c>
      <c r="Q118" s="91">
        <f>+SUM(DataEx!FP232)</f>
        <v>863996.18187413388</v>
      </c>
      <c r="R118" s="91">
        <f>+SUM(DataEx!FQ232)</f>
        <v>1656042.8685494228</v>
      </c>
      <c r="S118" s="125">
        <f t="shared" si="20"/>
        <v>12657933.829299569</v>
      </c>
      <c r="T118" s="126">
        <f t="shared" si="21"/>
        <v>2.6433474980786806E-3</v>
      </c>
    </row>
    <row r="119" spans="1:20">
      <c r="A119" s="137" t="str">
        <f t="shared" si="17"/>
        <v>713p</v>
      </c>
      <c r="B119" s="520" t="str">
        <f>+VLOOKUP(LEFT($A119,LEN(A119)-1)*1,Master!$D$27:$G$225,4,FALSE)</f>
        <v>Takse</v>
      </c>
      <c r="C119" s="521"/>
      <c r="D119" s="521"/>
      <c r="E119" s="521"/>
      <c r="F119" s="521"/>
      <c r="G119" s="85">
        <f>+SUM(DataEx!FF233)</f>
        <v>685138.90036642621</v>
      </c>
      <c r="H119" s="85">
        <f>+SUM(DataEx!FG233)</f>
        <v>871672.04535604198</v>
      </c>
      <c r="I119" s="85">
        <f>+SUM(DataEx!FH233)</f>
        <v>947520.73643311416</v>
      </c>
      <c r="J119" s="85">
        <f>+SUM(DataEx!FI233)</f>
        <v>1037067.5822273893</v>
      </c>
      <c r="K119" s="85">
        <f>+SUM(DataEx!FJ233)</f>
        <v>1197898.4298929251</v>
      </c>
      <c r="L119" s="85">
        <f>+SUM(DataEx!FK233)</f>
        <v>1410094.209853129</v>
      </c>
      <c r="M119" s="85">
        <f>+SUM(DataEx!FL233)</f>
        <v>1787620.5734576886</v>
      </c>
      <c r="N119" s="85">
        <f>+SUM(DataEx!FM233)</f>
        <v>1693345.6465282508</v>
      </c>
      <c r="O119" s="85">
        <f>+SUM(DataEx!FN233)</f>
        <v>1380625.1787412395</v>
      </c>
      <c r="P119" s="85">
        <f>+SUM(DataEx!FO233)</f>
        <v>1333417.9608404613</v>
      </c>
      <c r="Q119" s="85">
        <f>+SUM(DataEx!FP233)</f>
        <v>1126294.7115248898</v>
      </c>
      <c r="R119" s="85">
        <f>+SUM(DataEx!FQ233)</f>
        <v>1238030.6502392469</v>
      </c>
      <c r="S119" s="127">
        <f t="shared" si="20"/>
        <v>14708726.625460804</v>
      </c>
      <c r="T119" s="128">
        <f t="shared" si="21"/>
        <v>3.0716131281503579E-3</v>
      </c>
    </row>
    <row r="120" spans="1:20">
      <c r="A120" s="137" t="str">
        <f t="shared" si="17"/>
        <v>714p</v>
      </c>
      <c r="B120" s="520" t="str">
        <f>+VLOOKUP(LEFT($A120,LEN(A120)-1)*1,Master!$D$27:$G$225,4,FALSE)</f>
        <v>Naknade</v>
      </c>
      <c r="C120" s="521"/>
      <c r="D120" s="521"/>
      <c r="E120" s="521"/>
      <c r="F120" s="521"/>
      <c r="G120" s="85">
        <f>+SUM(DataEx!FF238)</f>
        <v>1855218.8805594216</v>
      </c>
      <c r="H120" s="85">
        <f>+SUM(DataEx!FG238)</f>
        <v>2208648.6574377147</v>
      </c>
      <c r="I120" s="85">
        <f>+SUM(DataEx!FH238)</f>
        <v>2160316.8249254846</v>
      </c>
      <c r="J120" s="85">
        <f>+SUM(DataEx!FI238)</f>
        <v>2520043.5685495138</v>
      </c>
      <c r="K120" s="85">
        <f>+SUM(DataEx!FJ238)</f>
        <v>1739522.6622359063</v>
      </c>
      <c r="L120" s="85">
        <f>+SUM(DataEx!FK238)</f>
        <v>4191264.8807704193</v>
      </c>
      <c r="M120" s="85">
        <f>+SUM(DataEx!FL238)</f>
        <v>4295313.9043248156</v>
      </c>
      <c r="N120" s="85">
        <f>+SUM(DataEx!FM238)</f>
        <v>3121689.7252436914</v>
      </c>
      <c r="O120" s="85">
        <f>+SUM(DataEx!FN238)</f>
        <v>3261559.5182261439</v>
      </c>
      <c r="P120" s="85">
        <f>+SUM(DataEx!FO238)</f>
        <v>3840986.6541232523</v>
      </c>
      <c r="Q120" s="85">
        <f>+SUM(DataEx!FP238)</f>
        <v>3190232.7257357854</v>
      </c>
      <c r="R120" s="85">
        <f>+SUM(DataEx!FQ238)</f>
        <v>4110831.5851102625</v>
      </c>
      <c r="S120" s="127">
        <f t="shared" si="20"/>
        <v>36495629.58724241</v>
      </c>
      <c r="T120" s="128">
        <f t="shared" si="21"/>
        <v>7.6213568866145449E-3</v>
      </c>
    </row>
    <row r="121" spans="1:20">
      <c r="A121" s="137" t="str">
        <f t="shared" si="17"/>
        <v>715p</v>
      </c>
      <c r="B121" s="520" t="str">
        <f>+VLOOKUP(LEFT($A121,LEN(A121)-1)*1,Master!$D$27:$G$225,4,FALSE)</f>
        <v>Ostali prihodi</v>
      </c>
      <c r="C121" s="521"/>
      <c r="D121" s="521"/>
      <c r="E121" s="521"/>
      <c r="F121" s="521"/>
      <c r="G121" s="85">
        <f>+SUM(DataEx!FF245)</f>
        <v>2472817.1107659615</v>
      </c>
      <c r="H121" s="85">
        <f>+SUM(DataEx!FG245)</f>
        <v>1708264.0259820949</v>
      </c>
      <c r="I121" s="85">
        <f>+SUM(DataEx!FH245)</f>
        <v>2148919.5517814872</v>
      </c>
      <c r="J121" s="85">
        <f>+SUM(DataEx!FI245)</f>
        <v>5548847.6983012091</v>
      </c>
      <c r="K121" s="85">
        <f>+SUM(DataEx!FJ245)</f>
        <v>2280721.0376326158</v>
      </c>
      <c r="L121" s="85">
        <f>+SUM(DataEx!FK245)</f>
        <v>2912728.6031032563</v>
      </c>
      <c r="M121" s="85">
        <f>+SUM(DataEx!FL245)</f>
        <v>37135630.113963775</v>
      </c>
      <c r="N121" s="85">
        <f>+SUM(DataEx!FM245)</f>
        <v>3640067.9349820986</v>
      </c>
      <c r="O121" s="85">
        <f>+SUM(DataEx!FN245)</f>
        <v>2890126.2156034028</v>
      </c>
      <c r="P121" s="85">
        <f>+SUM(DataEx!FO245)</f>
        <v>2425421.1272468185</v>
      </c>
      <c r="Q121" s="85">
        <f>+SUM(DataEx!FP245)</f>
        <v>3602398.7755843252</v>
      </c>
      <c r="R121" s="85">
        <f>+SUM(DataEx!FQ245)</f>
        <v>4081286.7718351102</v>
      </c>
      <c r="S121" s="127">
        <f t="shared" si="20"/>
        <v>70847228.966782153</v>
      </c>
      <c r="T121" s="128">
        <f t="shared" si="21"/>
        <v>1.4794977439498425E-2</v>
      </c>
    </row>
    <row r="122" spans="1:20">
      <c r="A122" s="137" t="str">
        <f t="shared" si="17"/>
        <v>73p</v>
      </c>
      <c r="B122" s="520" t="str">
        <f>+VLOOKUP(LEFT($A122,LEN(A122)-1)*1,Master!$D$27:$G$225,4,FALSE)</f>
        <v>Primici od otplate kredita i sredstva prenesena iz prethodne godine</v>
      </c>
      <c r="C122" s="521"/>
      <c r="D122" s="521"/>
      <c r="E122" s="521"/>
      <c r="F122" s="521"/>
      <c r="G122" s="85">
        <f>+SUM(DataEx!FF253)</f>
        <v>122332.2402857355</v>
      </c>
      <c r="H122" s="85">
        <f>+SUM(DataEx!FG253)</f>
        <v>56015.006608868236</v>
      </c>
      <c r="I122" s="85">
        <f>+SUM(DataEx!FH253)</f>
        <v>139149.43248455049</v>
      </c>
      <c r="J122" s="85">
        <f>+SUM(DataEx!FI253)</f>
        <v>315693.23519635049</v>
      </c>
      <c r="K122" s="85">
        <f>+SUM(DataEx!FJ253)</f>
        <v>775525.38983070524</v>
      </c>
      <c r="L122" s="85">
        <f>+SUM(DataEx!FK253)</f>
        <v>1688457.7339032646</v>
      </c>
      <c r="M122" s="85">
        <f>+SUM(DataEx!FL253)</f>
        <v>126661.80329058008</v>
      </c>
      <c r="N122" s="85">
        <f>+SUM(DataEx!FM253)</f>
        <v>104377.85625098775</v>
      </c>
      <c r="O122" s="85">
        <f>+SUM(DataEx!FN253)</f>
        <v>644991.41029727901</v>
      </c>
      <c r="P122" s="85">
        <f>+SUM(DataEx!FO253)</f>
        <v>373666.68197151314</v>
      </c>
      <c r="Q122" s="85">
        <f>+SUM(DataEx!FP253)</f>
        <v>3007848.3296865965</v>
      </c>
      <c r="R122" s="85">
        <f>+SUM(DataEx!FQ253)</f>
        <v>512189.13373121392</v>
      </c>
      <c r="S122" s="127">
        <f t="shared" si="20"/>
        <v>7866908.2535376456</v>
      </c>
      <c r="T122" s="128">
        <f t="shared" si="21"/>
        <v>1.6428409667831195E-3</v>
      </c>
    </row>
    <row r="123" spans="1:20" ht="13.5" thickBot="1">
      <c r="A123" s="137" t="str">
        <f t="shared" si="17"/>
        <v>74p</v>
      </c>
      <c r="B123" s="522" t="str">
        <f>+VLOOKUP(LEFT($A123,LEN(A123)-1)*1,Master!$D$27:$G$225,4,FALSE)</f>
        <v>Donacije i transferi</v>
      </c>
      <c r="C123" s="523"/>
      <c r="D123" s="523"/>
      <c r="E123" s="523"/>
      <c r="F123" s="523"/>
      <c r="G123" s="85">
        <f>+SUM(DataEx!FF256)</f>
        <v>13900267.095136527</v>
      </c>
      <c r="H123" s="85">
        <f>+SUM(DataEx!FG256)</f>
        <v>1483068.7561633477</v>
      </c>
      <c r="I123" s="85">
        <f>+SUM(DataEx!FH256)</f>
        <v>2311164.8648863789</v>
      </c>
      <c r="J123" s="85">
        <f>+SUM(DataEx!FI256)</f>
        <v>3220925.9094750378</v>
      </c>
      <c r="K123" s="85">
        <f>+SUM(DataEx!FJ256)</f>
        <v>3335426.2947824779</v>
      </c>
      <c r="L123" s="85">
        <f>+SUM(DataEx!FK256)</f>
        <v>2930185.4845741447</v>
      </c>
      <c r="M123" s="85">
        <f>+SUM(DataEx!FL256)</f>
        <v>1487222.9580633398</v>
      </c>
      <c r="N123" s="85">
        <f>+SUM(DataEx!FM256)</f>
        <v>1494727.7085961688</v>
      </c>
      <c r="O123" s="85">
        <f>+SUM(DataEx!FN256)</f>
        <v>1256927.0639557138</v>
      </c>
      <c r="P123" s="85">
        <f>+SUM(DataEx!FO256)</f>
        <v>2914661.9432842401</v>
      </c>
      <c r="Q123" s="85">
        <f>+SUM(DataEx!FP256)</f>
        <v>9560814.8118033875</v>
      </c>
      <c r="R123" s="85">
        <f>+SUM(DataEx!FQ256)</f>
        <v>7504607.1092792293</v>
      </c>
      <c r="S123" s="129">
        <f t="shared" si="20"/>
        <v>51399999.999999993</v>
      </c>
      <c r="T123" s="130">
        <f t="shared" si="21"/>
        <v>1.0733826170488242E-2</v>
      </c>
    </row>
    <row r="124" spans="1:20" ht="13.5" thickBot="1">
      <c r="A124" s="137" t="str">
        <f t="shared" si="17"/>
        <v>4p</v>
      </c>
      <c r="B124" s="508" t="str">
        <f>+VLOOKUP(LEFT($A124,LEN(A124)-1)*1,Master!$D$27:$G$225,4,FALSE)</f>
        <v>Budžetski izdaci</v>
      </c>
      <c r="C124" s="509"/>
      <c r="D124" s="509"/>
      <c r="E124" s="509"/>
      <c r="F124" s="509"/>
      <c r="G124" s="97">
        <f>+G126+G137+G143+SUM(G144:G148)</f>
        <v>167422167.16749999</v>
      </c>
      <c r="H124" s="97">
        <f t="shared" ref="H124:R124" si="23">+H126+H137+H143+SUM(H144:H148)</f>
        <v>163118817.50749999</v>
      </c>
      <c r="I124" s="97">
        <f t="shared" si="23"/>
        <v>188570015.26749998</v>
      </c>
      <c r="J124" s="97">
        <f t="shared" si="23"/>
        <v>172597951.91749999</v>
      </c>
      <c r="K124" s="97">
        <f t="shared" si="23"/>
        <v>167763443.14750004</v>
      </c>
      <c r="L124" s="97">
        <f t="shared" si="23"/>
        <v>158638536.14750001</v>
      </c>
      <c r="M124" s="97">
        <f t="shared" si="23"/>
        <v>168321460.70750001</v>
      </c>
      <c r="N124" s="97">
        <f t="shared" si="23"/>
        <v>155123661.6575</v>
      </c>
      <c r="O124" s="97">
        <f t="shared" si="23"/>
        <v>158937205.3075</v>
      </c>
      <c r="P124" s="97">
        <f t="shared" si="23"/>
        <v>154446229.72749999</v>
      </c>
      <c r="Q124" s="97">
        <f t="shared" si="23"/>
        <v>160715930.00749999</v>
      </c>
      <c r="R124" s="97">
        <f t="shared" si="23"/>
        <v>154540887.42750004</v>
      </c>
      <c r="S124" s="131">
        <f>+SUM(G124:R124)</f>
        <v>1970196305.9899998</v>
      </c>
      <c r="T124" s="132">
        <f t="shared" si="21"/>
        <v>0.41143472121079228</v>
      </c>
    </row>
    <row r="125" spans="1:20" ht="13.5" thickBot="1">
      <c r="A125" s="137" t="str">
        <f t="shared" si="17"/>
        <v>41p</v>
      </c>
      <c r="B125" s="524" t="str">
        <f>+VLOOKUP(LEFT($A125,LEN(A125)-1)*1,Master!$D$27:$G$225,4,FALSE)</f>
        <v>Tekuća budžetska potrošnja</v>
      </c>
      <c r="C125" s="525"/>
      <c r="D125" s="525"/>
      <c r="E125" s="525"/>
      <c r="F125" s="525"/>
      <c r="G125" s="80">
        <f t="shared" ref="G125:R125" si="24">+G124-G144</f>
        <v>140678417.17750001</v>
      </c>
      <c r="H125" s="80">
        <f t="shared" si="24"/>
        <v>136375067.51749998</v>
      </c>
      <c r="I125" s="80">
        <f t="shared" si="24"/>
        <v>161826265.27749997</v>
      </c>
      <c r="J125" s="80">
        <f t="shared" si="24"/>
        <v>145854201.92750001</v>
      </c>
      <c r="K125" s="80">
        <f t="shared" si="24"/>
        <v>141019693.15750003</v>
      </c>
      <c r="L125" s="80">
        <f t="shared" si="24"/>
        <v>131894786.15750001</v>
      </c>
      <c r="M125" s="80">
        <f t="shared" si="24"/>
        <v>141577710.71750003</v>
      </c>
      <c r="N125" s="80">
        <f t="shared" si="24"/>
        <v>128379911.6675</v>
      </c>
      <c r="O125" s="80">
        <f t="shared" si="24"/>
        <v>132193455.31750001</v>
      </c>
      <c r="P125" s="80">
        <f t="shared" si="24"/>
        <v>127702479.7375</v>
      </c>
      <c r="Q125" s="80">
        <f t="shared" si="24"/>
        <v>133972180.0175</v>
      </c>
      <c r="R125" s="80">
        <f t="shared" si="24"/>
        <v>127797137.31750004</v>
      </c>
      <c r="S125" s="133">
        <f t="shared" si="20"/>
        <v>1649271305.9900002</v>
      </c>
      <c r="T125" s="134">
        <f t="shared" si="21"/>
        <v>0.34441617716869238</v>
      </c>
    </row>
    <row r="126" spans="1:20">
      <c r="A126" s="137" t="str">
        <f t="shared" si="17"/>
        <v>40p</v>
      </c>
      <c r="B126" s="526" t="str">
        <f>+VLOOKUP(LEFT($A126,LEN(A126)-1)*1,Master!$D$27:$G$225,4,FALSE)</f>
        <v>Tekući izdaci</v>
      </c>
      <c r="C126" s="527"/>
      <c r="D126" s="527"/>
      <c r="E126" s="527"/>
      <c r="F126" s="527"/>
      <c r="G126" s="89">
        <f t="shared" ref="G126:R126" si="25">+SUM(G127:G136)</f>
        <v>71012418.442500025</v>
      </c>
      <c r="H126" s="89">
        <f t="shared" si="25"/>
        <v>64850080.682500012</v>
      </c>
      <c r="I126" s="89">
        <f t="shared" si="25"/>
        <v>94352135.732500002</v>
      </c>
      <c r="J126" s="89">
        <f t="shared" si="25"/>
        <v>80290960.742500007</v>
      </c>
      <c r="K126" s="89">
        <f t="shared" si="25"/>
        <v>75302081.212500021</v>
      </c>
      <c r="L126" s="89">
        <f t="shared" si="25"/>
        <v>66157575.742500022</v>
      </c>
      <c r="M126" s="89">
        <f t="shared" si="25"/>
        <v>70850303.30250001</v>
      </c>
      <c r="N126" s="89">
        <f t="shared" si="25"/>
        <v>62536600.912500001</v>
      </c>
      <c r="O126" s="89">
        <f t="shared" si="25"/>
        <v>66552012.502500005</v>
      </c>
      <c r="P126" s="89">
        <f t="shared" si="25"/>
        <v>62366029.3825</v>
      </c>
      <c r="Q126" s="89">
        <f t="shared" si="25"/>
        <v>68619273.662500009</v>
      </c>
      <c r="R126" s="90">
        <f t="shared" si="25"/>
        <v>62200798.892500028</v>
      </c>
      <c r="S126" s="123">
        <f t="shared" si="20"/>
        <v>845090271.21000028</v>
      </c>
      <c r="T126" s="124">
        <f t="shared" si="21"/>
        <v>0.17647961224783867</v>
      </c>
    </row>
    <row r="127" spans="1:20">
      <c r="A127" s="137" t="str">
        <f t="shared" si="17"/>
        <v>411p</v>
      </c>
      <c r="B127" s="516" t="str">
        <f>+VLOOKUP(LEFT($A127,LEN(A127)-1)*1,Master!$D$27:$G$225,4,FALSE)</f>
        <v>Bruto zarade i doprinosi na teret poslodavca</v>
      </c>
      <c r="C127" s="517"/>
      <c r="D127" s="517"/>
      <c r="E127" s="517"/>
      <c r="F127" s="517"/>
      <c r="G127" s="91">
        <f>+SUM(DataEx!FF265)</f>
        <v>39362332.101666681</v>
      </c>
      <c r="H127" s="91">
        <f>+SUM(DataEx!FG265)</f>
        <v>39125646.701666676</v>
      </c>
      <c r="I127" s="91">
        <f>+SUM(DataEx!FH265)</f>
        <v>39113380.221666679</v>
      </c>
      <c r="J127" s="91">
        <f>+SUM(DataEx!FI265)</f>
        <v>39105431.161666669</v>
      </c>
      <c r="K127" s="91">
        <f>+SUM(DataEx!FJ265)</f>
        <v>39107573.981666677</v>
      </c>
      <c r="L127" s="91">
        <f>+SUM(DataEx!FK265)</f>
        <v>41935580.18166668</v>
      </c>
      <c r="M127" s="91">
        <f>+SUM(DataEx!FL265)</f>
        <v>39107470.111666672</v>
      </c>
      <c r="N127" s="91">
        <f>+SUM(DataEx!FM265)</f>
        <v>39093383.891666673</v>
      </c>
      <c r="O127" s="91">
        <f>+SUM(DataEx!FN265)</f>
        <v>39030288.911666676</v>
      </c>
      <c r="P127" s="91">
        <f>+SUM(DataEx!FO265)</f>
        <v>39107584.94166667</v>
      </c>
      <c r="Q127" s="91">
        <f>+SUM(DataEx!FP265)</f>
        <v>39107395.941666678</v>
      </c>
      <c r="R127" s="91">
        <f>+SUM(DataEx!FQ265)</f>
        <v>38863330.00166668</v>
      </c>
      <c r="S127" s="125">
        <f t="shared" si="20"/>
        <v>472059398.15000004</v>
      </c>
      <c r="T127" s="126">
        <f t="shared" si="21"/>
        <v>9.8579835056175097E-2</v>
      </c>
    </row>
    <row r="128" spans="1:20">
      <c r="A128" s="137" t="str">
        <f t="shared" si="17"/>
        <v>412p</v>
      </c>
      <c r="B128" s="516" t="str">
        <f>+VLOOKUP(LEFT($A128,LEN(A128)-1)*1,Master!$D$27:$G$225,4,FALSE)</f>
        <v>Ostala lična primanja</v>
      </c>
      <c r="C128" s="517"/>
      <c r="D128" s="517"/>
      <c r="E128" s="517"/>
      <c r="F128" s="517"/>
      <c r="G128" s="91">
        <f>+SUM(DataEx!FF271)</f>
        <v>1281057.9508333332</v>
      </c>
      <c r="H128" s="91">
        <f>+SUM(DataEx!FG271)</f>
        <v>1323983.3608333331</v>
      </c>
      <c r="I128" s="91">
        <f>+SUM(DataEx!FH271)</f>
        <v>1260740.2808333333</v>
      </c>
      <c r="J128" s="91">
        <f>+SUM(DataEx!FI271)</f>
        <v>1247473.6108333331</v>
      </c>
      <c r="K128" s="91">
        <f>+SUM(DataEx!FJ271)</f>
        <v>1248015.2908333333</v>
      </c>
      <c r="L128" s="91">
        <f>+SUM(DataEx!FK271)</f>
        <v>1249948.9408333332</v>
      </c>
      <c r="M128" s="91">
        <f>+SUM(DataEx!FL271)</f>
        <v>1249158.6208333333</v>
      </c>
      <c r="N128" s="91">
        <f>+SUM(DataEx!FM271)</f>
        <v>1249158.6208333333</v>
      </c>
      <c r="O128" s="91">
        <f>+SUM(DataEx!FN271)</f>
        <v>1249658.6108333331</v>
      </c>
      <c r="P128" s="91">
        <f>+SUM(DataEx!FO271)</f>
        <v>1239658.6108333331</v>
      </c>
      <c r="Q128" s="91">
        <f>+SUM(DataEx!FP271)</f>
        <v>1238097.2408333332</v>
      </c>
      <c r="R128" s="91">
        <f>+SUM(DataEx!FQ271)</f>
        <v>1235674.3108333333</v>
      </c>
      <c r="S128" s="125">
        <f t="shared" si="20"/>
        <v>15072625.449999999</v>
      </c>
      <c r="T128" s="126">
        <f t="shared" si="21"/>
        <v>3.1476058660151189E-3</v>
      </c>
    </row>
    <row r="129" spans="1:20">
      <c r="A129" s="137" t="str">
        <f t="shared" si="17"/>
        <v>413p</v>
      </c>
      <c r="B129" s="516" t="str">
        <f>+VLOOKUP(LEFT($A129,LEN(A129)-1)*1,Master!$D$27:$G$225,4,FALSE)</f>
        <v>Rashodi za materijal</v>
      </c>
      <c r="C129" s="517"/>
      <c r="D129" s="517"/>
      <c r="E129" s="517"/>
      <c r="F129" s="517"/>
      <c r="G129" s="91">
        <f>+SUM(DataEx!FF279)</f>
        <v>3067786.435833334</v>
      </c>
      <c r="H129" s="91">
        <f>+SUM(DataEx!FG279)</f>
        <v>3019826.0658333339</v>
      </c>
      <c r="I129" s="91">
        <f>+SUM(DataEx!FH279)</f>
        <v>3058309.8858333337</v>
      </c>
      <c r="J129" s="91">
        <f>+SUM(DataEx!FI279)</f>
        <v>3046755.8058333341</v>
      </c>
      <c r="K129" s="91">
        <f>+SUM(DataEx!FJ279)</f>
        <v>3057105.8058333341</v>
      </c>
      <c r="L129" s="91">
        <f>+SUM(DataEx!FK279)</f>
        <v>3056755.8058333341</v>
      </c>
      <c r="M129" s="91">
        <f>+SUM(DataEx!FL279)</f>
        <v>3059180.8058333341</v>
      </c>
      <c r="N129" s="91">
        <f>+SUM(DataEx!FM279)</f>
        <v>3059180.8058333341</v>
      </c>
      <c r="O129" s="91">
        <f>+SUM(DataEx!FN279)</f>
        <v>3059040.8058333341</v>
      </c>
      <c r="P129" s="91">
        <f>+SUM(DataEx!FO279)</f>
        <v>3063161.8058333341</v>
      </c>
      <c r="Q129" s="91">
        <f>+SUM(DataEx!FP279)</f>
        <v>3060771.8058333341</v>
      </c>
      <c r="R129" s="91">
        <f>+SUM(DataEx!FQ279)</f>
        <v>3044951.8258333337</v>
      </c>
      <c r="S129" s="125">
        <f t="shared" si="20"/>
        <v>36652827.660000004</v>
      </c>
      <c r="T129" s="126">
        <f t="shared" si="21"/>
        <v>7.6541844505701052E-3</v>
      </c>
    </row>
    <row r="130" spans="1:20">
      <c r="A130" s="137" t="str">
        <f t="shared" si="17"/>
        <v>414p</v>
      </c>
      <c r="B130" s="516" t="str">
        <f>+VLOOKUP(LEFT($A130,LEN(A130)-1)*1,Master!$D$27:$G$225,4,FALSE)</f>
        <v>Rashodi za usluge</v>
      </c>
      <c r="C130" s="517"/>
      <c r="D130" s="517"/>
      <c r="E130" s="517"/>
      <c r="F130" s="517"/>
      <c r="G130" s="91">
        <f>+SUM(DataEx!FF286)</f>
        <v>6120514.5875000004</v>
      </c>
      <c r="H130" s="91">
        <f>+SUM(DataEx!FG286)</f>
        <v>5971668.0075000003</v>
      </c>
      <c r="I130" s="91">
        <f>+SUM(DataEx!FH286)</f>
        <v>5177760.0175000001</v>
      </c>
      <c r="J130" s="91">
        <f>+SUM(DataEx!FI286)</f>
        <v>5087042.1275000004</v>
      </c>
      <c r="K130" s="91">
        <f>+SUM(DataEx!FJ286)</f>
        <v>5141875.5275000008</v>
      </c>
      <c r="L130" s="91">
        <f>+SUM(DataEx!FK286)</f>
        <v>5197534.4975000005</v>
      </c>
      <c r="M130" s="91">
        <f>+SUM(DataEx!FL286)</f>
        <v>5045534.8375000004</v>
      </c>
      <c r="N130" s="91">
        <f>+SUM(DataEx!FM286)</f>
        <v>5057538.8375000004</v>
      </c>
      <c r="O130" s="91">
        <f>+SUM(DataEx!FN286)</f>
        <v>5162334.3375000004</v>
      </c>
      <c r="P130" s="91">
        <f>+SUM(DataEx!FO286)</f>
        <v>5048700.9275000002</v>
      </c>
      <c r="Q130" s="91">
        <f>+SUM(DataEx!FP286)</f>
        <v>5048329.2575000003</v>
      </c>
      <c r="R130" s="91">
        <f>+SUM(DataEx!FQ286)</f>
        <v>4986898.6075000009</v>
      </c>
      <c r="S130" s="125">
        <f t="shared" si="20"/>
        <v>63045731.57</v>
      </c>
      <c r="T130" s="126">
        <f t="shared" si="21"/>
        <v>1.3165796176335464E-2</v>
      </c>
    </row>
    <row r="131" spans="1:20">
      <c r="A131" s="137" t="str">
        <f t="shared" si="17"/>
        <v>415p</v>
      </c>
      <c r="B131" s="516" t="str">
        <f>+VLOOKUP(LEFT($A131,LEN(A131)-1)*1,Master!$D$27:$G$225,4,FALSE)</f>
        <v>Rashodi za tekuće održavanje</v>
      </c>
      <c r="C131" s="517"/>
      <c r="D131" s="517"/>
      <c r="E131" s="517"/>
      <c r="F131" s="517"/>
      <c r="G131" s="91">
        <f>+SUM(DataEx!FF296)</f>
        <v>1931829.4616666667</v>
      </c>
      <c r="H131" s="91">
        <f>+SUM(DataEx!FG296)</f>
        <v>1929704.3816666668</v>
      </c>
      <c r="I131" s="91">
        <f>+SUM(DataEx!FH296)</f>
        <v>1921162.7116666667</v>
      </c>
      <c r="J131" s="91">
        <f>+SUM(DataEx!FI296)</f>
        <v>1920662.7116666667</v>
      </c>
      <c r="K131" s="91">
        <f>+SUM(DataEx!FJ296)</f>
        <v>1927678.7016666669</v>
      </c>
      <c r="L131" s="91">
        <f>+SUM(DataEx!FK296)</f>
        <v>1927612.7316666667</v>
      </c>
      <c r="M131" s="91">
        <f>+SUM(DataEx!FL296)</f>
        <v>1934953.7116666667</v>
      </c>
      <c r="N131" s="91">
        <f>+SUM(DataEx!FM296)</f>
        <v>1934887.7116666667</v>
      </c>
      <c r="O131" s="91">
        <f>+SUM(DataEx!FN296)</f>
        <v>1926953.7016666669</v>
      </c>
      <c r="P131" s="91">
        <f>+SUM(DataEx!FO296)</f>
        <v>1926887.7016666669</v>
      </c>
      <c r="Q131" s="91">
        <f>+SUM(DataEx!FP296)</f>
        <v>1926953.7016666669</v>
      </c>
      <c r="R131" s="91">
        <f>+SUM(DataEx!FQ296)</f>
        <v>1908616.3716666668</v>
      </c>
      <c r="S131" s="125">
        <f t="shared" si="20"/>
        <v>23117903.600000001</v>
      </c>
      <c r="T131" s="126">
        <f t="shared" si="21"/>
        <v>4.8276956939397736E-3</v>
      </c>
    </row>
    <row r="132" spans="1:20">
      <c r="A132" s="137" t="str">
        <f t="shared" si="17"/>
        <v>416p</v>
      </c>
      <c r="B132" s="516" t="str">
        <f>+VLOOKUP(LEFT($A132,LEN(A132)-1)*1,Master!$D$27:$G$225,4,FALSE)</f>
        <v>Kamate</v>
      </c>
      <c r="C132" s="517"/>
      <c r="D132" s="517"/>
      <c r="E132" s="517"/>
      <c r="F132" s="517"/>
      <c r="G132" s="91">
        <f>+SUM(DataEx!FF300)</f>
        <v>7980725.0000000009</v>
      </c>
      <c r="H132" s="91">
        <f>+SUM(DataEx!FG300)</f>
        <v>986719.96000000054</v>
      </c>
      <c r="I132" s="91">
        <f>+SUM(DataEx!FH300)</f>
        <v>28101499.100000001</v>
      </c>
      <c r="J132" s="91">
        <f>+SUM(DataEx!FI300)</f>
        <v>18499732.100000001</v>
      </c>
      <c r="K132" s="91">
        <f>+SUM(DataEx!FJ300)</f>
        <v>14045836.270000001</v>
      </c>
      <c r="L132" s="91">
        <f>+SUM(DataEx!FK300)</f>
        <v>1973802.6600000008</v>
      </c>
      <c r="M132" s="91">
        <f>+SUM(DataEx!FL300)</f>
        <v>8764475.7899999991</v>
      </c>
      <c r="N132" s="91">
        <f>+SUM(DataEx!FM300)</f>
        <v>1297206.1400000008</v>
      </c>
      <c r="O132" s="91">
        <f>+SUM(DataEx!FN300)</f>
        <v>3140325.8000000007</v>
      </c>
      <c r="P132" s="91">
        <f>+SUM(DataEx!FO300)</f>
        <v>1321292.0800000008</v>
      </c>
      <c r="Q132" s="91">
        <f>+SUM(DataEx!FP300)</f>
        <v>7803737.330000001</v>
      </c>
      <c r="R132" s="91">
        <f>+SUM(DataEx!FQ300)</f>
        <v>1837347.7700000007</v>
      </c>
      <c r="S132" s="125">
        <f t="shared" si="20"/>
        <v>95752699.999999985</v>
      </c>
      <c r="T132" s="126">
        <f t="shared" si="21"/>
        <v>1.9995969594453492E-2</v>
      </c>
    </row>
    <row r="133" spans="1:20">
      <c r="A133" s="137" t="str">
        <f t="shared" si="17"/>
        <v>417p</v>
      </c>
      <c r="B133" s="516" t="str">
        <f>+VLOOKUP(LEFT($A133,LEN(A133)-1)*1,Master!$D$27:$G$225,4,FALSE)</f>
        <v>Renta</v>
      </c>
      <c r="C133" s="517"/>
      <c r="D133" s="517"/>
      <c r="E133" s="517"/>
      <c r="F133" s="517"/>
      <c r="G133" s="91">
        <f>+SUM(DataEx!FF303)</f>
        <v>832820.39</v>
      </c>
      <c r="H133" s="91">
        <f>+SUM(DataEx!FG303)</f>
        <v>780840.39</v>
      </c>
      <c r="I133" s="91">
        <f>+SUM(DataEx!FH303)</f>
        <v>793807.47</v>
      </c>
      <c r="J133" s="91">
        <f>+SUM(DataEx!FI303)</f>
        <v>776070.39</v>
      </c>
      <c r="K133" s="91">
        <f>+SUM(DataEx!FJ303)</f>
        <v>793070.39</v>
      </c>
      <c r="L133" s="91">
        <f>+SUM(DataEx!FK303)</f>
        <v>826070.39</v>
      </c>
      <c r="M133" s="91">
        <f>+SUM(DataEx!FL303)</f>
        <v>846570.39</v>
      </c>
      <c r="N133" s="91">
        <f>+SUM(DataEx!FM303)</f>
        <v>846570.39</v>
      </c>
      <c r="O133" s="91">
        <f>+SUM(DataEx!FN303)</f>
        <v>826570.39</v>
      </c>
      <c r="P133" s="91">
        <f>+SUM(DataEx!FO303)</f>
        <v>826570.39</v>
      </c>
      <c r="Q133" s="91">
        <f>+SUM(DataEx!FP303)</f>
        <v>826570.39</v>
      </c>
      <c r="R133" s="91">
        <f>+SUM(DataEx!FQ303)</f>
        <v>845570.39</v>
      </c>
      <c r="S133" s="125">
        <f t="shared" si="20"/>
        <v>9821101.7599999998</v>
      </c>
      <c r="T133" s="126">
        <f t="shared" si="21"/>
        <v>2.0509338345236603E-3</v>
      </c>
    </row>
    <row r="134" spans="1:20">
      <c r="A134" s="137" t="str">
        <f t="shared" si="17"/>
        <v>418p</v>
      </c>
      <c r="B134" s="516" t="str">
        <f>+VLOOKUP(LEFT($A134,LEN(A134)-1)*1,Master!$D$27:$G$225,4,FALSE)</f>
        <v>Subvencije</v>
      </c>
      <c r="C134" s="517"/>
      <c r="D134" s="517"/>
      <c r="E134" s="517"/>
      <c r="F134" s="517"/>
      <c r="G134" s="91">
        <f>+SUM(DataEx!FF307)</f>
        <v>2149037.4966666666</v>
      </c>
      <c r="H134" s="91">
        <f>+SUM(DataEx!FG307)</f>
        <v>2320829.9566666665</v>
      </c>
      <c r="I134" s="91">
        <f>+SUM(DataEx!FH307)</f>
        <v>4834564.4966666671</v>
      </c>
      <c r="J134" s="91">
        <f>+SUM(DataEx!FI307)</f>
        <v>2443787.4966666666</v>
      </c>
      <c r="K134" s="91">
        <f>+SUM(DataEx!FJ307)</f>
        <v>2190037.4966666666</v>
      </c>
      <c r="L134" s="91">
        <f>+SUM(DataEx!FK307)</f>
        <v>1990037.4966666666</v>
      </c>
      <c r="M134" s="91">
        <f>+SUM(DataEx!FL307)</f>
        <v>1956704.1566666667</v>
      </c>
      <c r="N134" s="91">
        <f>+SUM(DataEx!FM307)</f>
        <v>2253357.6966666663</v>
      </c>
      <c r="O134" s="91">
        <f>+SUM(DataEx!FN307)</f>
        <v>4447481.1566666672</v>
      </c>
      <c r="P134" s="91">
        <f>+SUM(DataEx!FO307)</f>
        <v>2156704.1566666663</v>
      </c>
      <c r="Q134" s="91">
        <f>+SUM(DataEx!FP307)</f>
        <v>2056704.1966666668</v>
      </c>
      <c r="R134" s="91">
        <f>+SUM(DataEx!FQ307)</f>
        <v>2015354.1966666668</v>
      </c>
      <c r="S134" s="125">
        <f t="shared" si="20"/>
        <v>30814599.999999993</v>
      </c>
      <c r="T134" s="126">
        <f t="shared" si="21"/>
        <v>6.4349914379985785E-3</v>
      </c>
    </row>
    <row r="135" spans="1:20">
      <c r="A135" s="137" t="str">
        <f t="shared" si="17"/>
        <v>419p</v>
      </c>
      <c r="B135" s="516" t="str">
        <f>+VLOOKUP(LEFT($A135,LEN(A135)-1)*1,Master!$D$27:$G$225,4,FALSE)</f>
        <v>Ostali izdaci</v>
      </c>
      <c r="C135" s="517"/>
      <c r="D135" s="517"/>
      <c r="E135" s="517"/>
      <c r="F135" s="517"/>
      <c r="G135" s="91">
        <f>+SUM(DataEx!FF311)</f>
        <v>3473855.870833334</v>
      </c>
      <c r="H135" s="91">
        <f>+SUM(DataEx!FG311)</f>
        <v>4119817.790833334</v>
      </c>
      <c r="I135" s="91">
        <f>+SUM(DataEx!FH311)</f>
        <v>5047234.1108333347</v>
      </c>
      <c r="J135" s="91">
        <f>+SUM(DataEx!FI311)</f>
        <v>3132271.9408333339</v>
      </c>
      <c r="K135" s="91">
        <f>+SUM(DataEx!FJ311)</f>
        <v>3070265.2508333339</v>
      </c>
      <c r="L135" s="91">
        <f>+SUM(DataEx!FK311)</f>
        <v>3309652.560833334</v>
      </c>
      <c r="M135" s="91">
        <f>+SUM(DataEx!FL311)</f>
        <v>4272049.5508333351</v>
      </c>
      <c r="N135" s="91">
        <f>+SUM(DataEx!FM311)</f>
        <v>3177649.6708333334</v>
      </c>
      <c r="O135" s="91">
        <f>+SUM(DataEx!FN311)</f>
        <v>3136649.6408333336</v>
      </c>
      <c r="P135" s="91">
        <f>+SUM(DataEx!FO311)</f>
        <v>3127759.6208333336</v>
      </c>
      <c r="Q135" s="91">
        <f>+SUM(DataEx!FP311)</f>
        <v>3164504.6508333334</v>
      </c>
      <c r="R135" s="91">
        <f>+SUM(DataEx!FQ311)</f>
        <v>3064612.7408333337</v>
      </c>
      <c r="S135" s="125">
        <f t="shared" si="20"/>
        <v>42096323.400000006</v>
      </c>
      <c r="T135" s="126">
        <f t="shared" si="21"/>
        <v>8.7909458714446817E-3</v>
      </c>
    </row>
    <row r="136" spans="1:20">
      <c r="A136" s="137" t="str">
        <f t="shared" si="17"/>
        <v>440p</v>
      </c>
      <c r="B136" s="516" t="str">
        <f>+VLOOKUP(LEFT($A136,LEN(A136)-1)*1,Master!$D$27:$G$225,4,FALSE)</f>
        <v>Kapitalni izdaci u tekućem budžetu</v>
      </c>
      <c r="C136" s="517"/>
      <c r="D136" s="517"/>
      <c r="E136" s="517"/>
      <c r="F136" s="517"/>
      <c r="G136" s="91">
        <f>+SUM(DataEx!FF369)</f>
        <v>4812459.1475000009</v>
      </c>
      <c r="H136" s="91">
        <f>+SUM(DataEx!FG369)</f>
        <v>5271044.0675000008</v>
      </c>
      <c r="I136" s="91">
        <f>+SUM(DataEx!FH369)</f>
        <v>5043677.4375000009</v>
      </c>
      <c r="J136" s="91">
        <f>+SUM(DataEx!FI369)</f>
        <v>5031733.3975000009</v>
      </c>
      <c r="K136" s="91">
        <f>+SUM(DataEx!FJ369)</f>
        <v>4720622.4975000015</v>
      </c>
      <c r="L136" s="91">
        <f>+SUM(DataEx!FK369)</f>
        <v>4690580.477500001</v>
      </c>
      <c r="M136" s="91">
        <f>+SUM(DataEx!FL369)</f>
        <v>4614205.3275000015</v>
      </c>
      <c r="N136" s="91">
        <f>+SUM(DataEx!FM369)</f>
        <v>4567667.1475000018</v>
      </c>
      <c r="O136" s="91">
        <f>+SUM(DataEx!FN369)</f>
        <v>4572709.1475000018</v>
      </c>
      <c r="P136" s="91">
        <f>+SUM(DataEx!FO369)</f>
        <v>4547709.1475000018</v>
      </c>
      <c r="Q136" s="91">
        <f>+SUM(DataEx!FP369)</f>
        <v>4386209.1475000018</v>
      </c>
      <c r="R136" s="91">
        <f>+SUM(DataEx!FQ369)</f>
        <v>4398442.6775000012</v>
      </c>
      <c r="S136" s="125">
        <f t="shared" si="20"/>
        <v>56657059.620000012</v>
      </c>
      <c r="T136" s="126">
        <f t="shared" si="21"/>
        <v>1.1831654266382661E-2</v>
      </c>
    </row>
    <row r="137" spans="1:20">
      <c r="A137" s="137" t="str">
        <f t="shared" si="17"/>
        <v>42p</v>
      </c>
      <c r="B137" s="514" t="str">
        <f>+VLOOKUP(LEFT($A137,LEN(A137)-1)*1,Master!$D$27:$G$225,4,FALSE)</f>
        <v>Transferi za socijalnu zaštitu</v>
      </c>
      <c r="C137" s="515"/>
      <c r="D137" s="515"/>
      <c r="E137" s="515"/>
      <c r="F137" s="515"/>
      <c r="G137" s="87">
        <f t="shared" ref="G137:R137" si="26">+SUM(G138:G142)</f>
        <v>46204849.909999982</v>
      </c>
      <c r="H137" s="87">
        <f t="shared" si="26"/>
        <v>46206149.810000002</v>
      </c>
      <c r="I137" s="87">
        <f t="shared" si="26"/>
        <v>46206149.810000002</v>
      </c>
      <c r="J137" s="87">
        <f t="shared" si="26"/>
        <v>46206149.810000002</v>
      </c>
      <c r="K137" s="87">
        <f t="shared" si="26"/>
        <v>46206149.810000002</v>
      </c>
      <c r="L137" s="87">
        <f t="shared" si="26"/>
        <v>46206149.810000002</v>
      </c>
      <c r="M137" s="87">
        <f t="shared" si="26"/>
        <v>46206149.810000002</v>
      </c>
      <c r="N137" s="87">
        <f t="shared" si="26"/>
        <v>46206149.810000002</v>
      </c>
      <c r="O137" s="87">
        <f t="shared" si="26"/>
        <v>46206149.810000002</v>
      </c>
      <c r="P137" s="87">
        <f t="shared" si="26"/>
        <v>46206149.810000002</v>
      </c>
      <c r="Q137" s="87">
        <f t="shared" si="26"/>
        <v>46206149.810000002</v>
      </c>
      <c r="R137" s="87">
        <f t="shared" si="26"/>
        <v>46206149.810000002</v>
      </c>
      <c r="S137" s="127">
        <f t="shared" si="20"/>
        <v>554472497.81999993</v>
      </c>
      <c r="T137" s="128">
        <f t="shared" si="21"/>
        <v>0.11579010521237938</v>
      </c>
    </row>
    <row r="138" spans="1:20">
      <c r="A138" s="137" t="str">
        <f t="shared" si="17"/>
        <v>421p</v>
      </c>
      <c r="B138" s="516" t="str">
        <f>+VLOOKUP(LEFT($A138,LEN(A138)-1)*1,Master!$D$27:$G$225,4,FALSE)</f>
        <v>Prava iz oblasti socijalne zaštite</v>
      </c>
      <c r="C138" s="517"/>
      <c r="D138" s="517"/>
      <c r="E138" s="517"/>
      <c r="F138" s="517"/>
      <c r="G138" s="91">
        <f>SUM(DataEx!FF322)</f>
        <v>6747975.0000000028</v>
      </c>
      <c r="H138" s="91">
        <f>SUM(DataEx!FG322)</f>
        <v>6749275.0000000028</v>
      </c>
      <c r="I138" s="91">
        <f>SUM(DataEx!FH322)</f>
        <v>6749275.0000000028</v>
      </c>
      <c r="J138" s="91">
        <f>SUM(DataEx!FI322)</f>
        <v>6749275.0000000028</v>
      </c>
      <c r="K138" s="91">
        <f>SUM(DataEx!FJ322)</f>
        <v>6749275.0000000028</v>
      </c>
      <c r="L138" s="91">
        <f>SUM(DataEx!FK322)</f>
        <v>6749275.0000000028</v>
      </c>
      <c r="M138" s="91">
        <f>SUM(DataEx!FL322)</f>
        <v>6749275.0000000028</v>
      </c>
      <c r="N138" s="91">
        <f>SUM(DataEx!FM322)</f>
        <v>6749275.0000000028</v>
      </c>
      <c r="O138" s="91">
        <f>SUM(DataEx!FN322)</f>
        <v>6749275.0000000028</v>
      </c>
      <c r="P138" s="91">
        <f>SUM(DataEx!FO322)</f>
        <v>6749275.0000000028</v>
      </c>
      <c r="Q138" s="91">
        <f>SUM(DataEx!FP322)</f>
        <v>6749275.0000000028</v>
      </c>
      <c r="R138" s="91">
        <f>SUM(DataEx!FQ322)</f>
        <v>6749275.0000000028</v>
      </c>
      <c r="S138" s="125">
        <f t="shared" si="20"/>
        <v>80990000.000000015</v>
      </c>
      <c r="T138" s="126">
        <f t="shared" si="21"/>
        <v>1.6913085244121457E-2</v>
      </c>
    </row>
    <row r="139" spans="1:20">
      <c r="A139" s="137" t="str">
        <f t="shared" si="17"/>
        <v>422p</v>
      </c>
      <c r="B139" s="516" t="str">
        <f>+VLOOKUP(LEFT($A139,LEN(A139)-1)*1,Master!$D$27:$G$225,4,FALSE)</f>
        <v>Sredstva za tehnološke viškove</v>
      </c>
      <c r="C139" s="517"/>
      <c r="D139" s="517"/>
      <c r="E139" s="517"/>
      <c r="F139" s="517"/>
      <c r="G139" s="91">
        <f>SUM(DataEx!FF330)</f>
        <v>1236031.8000000014</v>
      </c>
      <c r="H139" s="91">
        <f>SUM(DataEx!FG330)</f>
        <v>1236031.8699999999</v>
      </c>
      <c r="I139" s="91">
        <f>SUM(DataEx!FH330)</f>
        <v>1236031.8699999999</v>
      </c>
      <c r="J139" s="91">
        <f>SUM(DataEx!FI330)</f>
        <v>1236031.8699999999</v>
      </c>
      <c r="K139" s="91">
        <f>SUM(DataEx!FJ330)</f>
        <v>1236031.8699999999</v>
      </c>
      <c r="L139" s="91">
        <f>SUM(DataEx!FK330)</f>
        <v>1236031.8699999999</v>
      </c>
      <c r="M139" s="91">
        <f>SUM(DataEx!FL330)</f>
        <v>1236031.8699999999</v>
      </c>
      <c r="N139" s="91">
        <f>SUM(DataEx!FM330)</f>
        <v>1236031.8699999999</v>
      </c>
      <c r="O139" s="91">
        <f>SUM(DataEx!FN330)</f>
        <v>1236031.8699999999</v>
      </c>
      <c r="P139" s="91">
        <f>SUM(DataEx!FO330)</f>
        <v>1236031.8699999999</v>
      </c>
      <c r="Q139" s="91">
        <f>SUM(DataEx!FP330)</f>
        <v>1236031.8699999999</v>
      </c>
      <c r="R139" s="91">
        <f>SUM(DataEx!FQ330)</f>
        <v>1236031.8699999999</v>
      </c>
      <c r="S139" s="125">
        <f t="shared" si="20"/>
        <v>14832382.369999997</v>
      </c>
      <c r="T139" s="126">
        <f t="shared" si="21"/>
        <v>3.0974360710854941E-3</v>
      </c>
    </row>
    <row r="140" spans="1:20">
      <c r="A140" s="137" t="str">
        <f t="shared" si="17"/>
        <v>423p</v>
      </c>
      <c r="B140" s="516" t="str">
        <f>+VLOOKUP(LEFT($A140,LEN(A140)-1)*1,Master!$D$27:$G$225,4,FALSE)</f>
        <v>Prava iz oblasti penzijskog i invalidskog osiguranja</v>
      </c>
      <c r="C140" s="517"/>
      <c r="D140" s="517"/>
      <c r="E140" s="517"/>
      <c r="F140" s="517"/>
      <c r="G140" s="91">
        <f>SUM(DataEx!FF336)</f>
        <v>35752084.619999975</v>
      </c>
      <c r="H140" s="91">
        <f>SUM(DataEx!FG336)</f>
        <v>35752084.530000001</v>
      </c>
      <c r="I140" s="91">
        <f>SUM(DataEx!FH336)</f>
        <v>35752084.530000001</v>
      </c>
      <c r="J140" s="91">
        <f>SUM(DataEx!FI336)</f>
        <v>35752084.530000001</v>
      </c>
      <c r="K140" s="91">
        <f>SUM(DataEx!FJ336)</f>
        <v>35752084.530000001</v>
      </c>
      <c r="L140" s="91">
        <f>SUM(DataEx!FK336)</f>
        <v>35752084.530000001</v>
      </c>
      <c r="M140" s="91">
        <f>SUM(DataEx!FL336)</f>
        <v>35752084.530000001</v>
      </c>
      <c r="N140" s="91">
        <f>SUM(DataEx!FM336)</f>
        <v>35752084.530000001</v>
      </c>
      <c r="O140" s="91">
        <f>SUM(DataEx!FN336)</f>
        <v>35752084.530000001</v>
      </c>
      <c r="P140" s="91">
        <f>SUM(DataEx!FO336)</f>
        <v>35752084.530000001</v>
      </c>
      <c r="Q140" s="91">
        <f>SUM(DataEx!FP336)</f>
        <v>35752084.530000001</v>
      </c>
      <c r="R140" s="91">
        <f>SUM(DataEx!FQ336)</f>
        <v>35752084.530000001</v>
      </c>
      <c r="S140" s="125">
        <f t="shared" si="20"/>
        <v>429025014.44999993</v>
      </c>
      <c r="T140" s="126">
        <f t="shared" si="21"/>
        <v>8.9592994706177154E-2</v>
      </c>
    </row>
    <row r="141" spans="1:20">
      <c r="A141" s="137" t="str">
        <f t="shared" si="17"/>
        <v>424p</v>
      </c>
      <c r="B141" s="516" t="str">
        <f>+VLOOKUP(LEFT($A141,LEN(A141)-1)*1,Master!$D$27:$G$225,4,FALSE)</f>
        <v>Ostala prava iz oblasti zdravstvene zaštite</v>
      </c>
      <c r="C141" s="517"/>
      <c r="D141" s="517"/>
      <c r="E141" s="517"/>
      <c r="F141" s="517"/>
      <c r="G141" s="91">
        <f>SUM(DataEx!FF344)</f>
        <v>1583341.7399999984</v>
      </c>
      <c r="H141" s="91">
        <f>SUM(DataEx!FG344)</f>
        <v>1583341.6600000001</v>
      </c>
      <c r="I141" s="91">
        <f>SUM(DataEx!FH344)</f>
        <v>1583341.6600000001</v>
      </c>
      <c r="J141" s="91">
        <f>SUM(DataEx!FI344)</f>
        <v>1583341.6600000001</v>
      </c>
      <c r="K141" s="91">
        <f>SUM(DataEx!FJ344)</f>
        <v>1583341.6600000001</v>
      </c>
      <c r="L141" s="91">
        <f>SUM(DataEx!FK344)</f>
        <v>1583341.6600000001</v>
      </c>
      <c r="M141" s="91">
        <f>SUM(DataEx!FL344)</f>
        <v>1583341.6600000001</v>
      </c>
      <c r="N141" s="91">
        <f>SUM(DataEx!FM344)</f>
        <v>1583341.6600000001</v>
      </c>
      <c r="O141" s="91">
        <f>SUM(DataEx!FN344)</f>
        <v>1583341.6600000001</v>
      </c>
      <c r="P141" s="91">
        <f>SUM(DataEx!FO344)</f>
        <v>1583341.6600000001</v>
      </c>
      <c r="Q141" s="91">
        <f>SUM(DataEx!FP344)</f>
        <v>1583341.6600000001</v>
      </c>
      <c r="R141" s="91">
        <f>SUM(DataEx!FQ344)</f>
        <v>1583341.6600000001</v>
      </c>
      <c r="S141" s="125">
        <f t="shared" si="20"/>
        <v>19000100</v>
      </c>
      <c r="T141" s="126">
        <f t="shared" si="21"/>
        <v>3.9677776385582423E-3</v>
      </c>
    </row>
    <row r="142" spans="1:20">
      <c r="A142" s="137" t="str">
        <f t="shared" si="17"/>
        <v>425p</v>
      </c>
      <c r="B142" s="516" t="str">
        <f>+VLOOKUP(LEFT($A142,LEN(A142)-1)*1,Master!$D$27:$G$225,4,FALSE)</f>
        <v>Ostala prava iz zdravstvenog osiguranja</v>
      </c>
      <c r="C142" s="517"/>
      <c r="D142" s="517"/>
      <c r="E142" s="517"/>
      <c r="F142" s="517"/>
      <c r="G142" s="91">
        <f>SUM(DataEx!FF346)</f>
        <v>885416.75</v>
      </c>
      <c r="H142" s="91">
        <f>SUM(DataEx!FG346)</f>
        <v>885416.75</v>
      </c>
      <c r="I142" s="91">
        <f>SUM(DataEx!FH346)</f>
        <v>885416.75</v>
      </c>
      <c r="J142" s="91">
        <f>SUM(DataEx!FI346)</f>
        <v>885416.75</v>
      </c>
      <c r="K142" s="91">
        <f>SUM(DataEx!FJ346)</f>
        <v>885416.75</v>
      </c>
      <c r="L142" s="91">
        <f>SUM(DataEx!FK346)</f>
        <v>885416.75</v>
      </c>
      <c r="M142" s="91">
        <f>SUM(DataEx!FL346)</f>
        <v>885416.75</v>
      </c>
      <c r="N142" s="91">
        <f>SUM(DataEx!FM346)</f>
        <v>885416.75</v>
      </c>
      <c r="O142" s="91">
        <f>SUM(DataEx!FN346)</f>
        <v>885416.75</v>
      </c>
      <c r="P142" s="91">
        <f>SUM(DataEx!FO346)</f>
        <v>885416.75</v>
      </c>
      <c r="Q142" s="91">
        <f>SUM(DataEx!FP346)</f>
        <v>885416.75</v>
      </c>
      <c r="R142" s="91">
        <f>SUM(DataEx!FQ346)</f>
        <v>885416.75</v>
      </c>
      <c r="S142" s="125">
        <f t="shared" si="20"/>
        <v>10625001</v>
      </c>
      <c r="T142" s="126">
        <f t="shared" si="21"/>
        <v>2.2188115524370382E-3</v>
      </c>
    </row>
    <row r="143" spans="1:20">
      <c r="A143" s="137" t="str">
        <f t="shared" si="17"/>
        <v>43p</v>
      </c>
      <c r="B143" s="518" t="str">
        <f>+VLOOKUP(LEFT($A143,LEN(A143)-1)*1,Master!$D$27:$G$225,4,FALSE)</f>
        <v xml:space="preserve">Transferi institucijama, pojedincima, nevladinom i javnom sektoru </v>
      </c>
      <c r="C143" s="519"/>
      <c r="D143" s="519"/>
      <c r="E143" s="519"/>
      <c r="F143" s="519"/>
      <c r="G143" s="85">
        <f>SUM(DataEx!FF350)</f>
        <v>20338750.958333332</v>
      </c>
      <c r="H143" s="85">
        <f>SUM(DataEx!FG350)</f>
        <v>22018439.158333331</v>
      </c>
      <c r="I143" s="85">
        <f>SUM(DataEx!FH350)</f>
        <v>17975691.918333333</v>
      </c>
      <c r="J143" s="85">
        <f>SUM(DataEx!FI350)</f>
        <v>15972358.598333333</v>
      </c>
      <c r="K143" s="85">
        <f>SUM(DataEx!FJ350)</f>
        <v>15993608.598333333</v>
      </c>
      <c r="L143" s="85">
        <f>SUM(DataEx!FK350)</f>
        <v>16020602.668333333</v>
      </c>
      <c r="M143" s="85">
        <f>SUM(DataEx!FL350)</f>
        <v>20840700.928333335</v>
      </c>
      <c r="N143" s="85">
        <f>SUM(DataEx!FM350)</f>
        <v>15963999.858333332</v>
      </c>
      <c r="O143" s="85">
        <f>SUM(DataEx!FN350)</f>
        <v>15983999.858333332</v>
      </c>
      <c r="P143" s="85">
        <f>SUM(DataEx!FO350)</f>
        <v>15915666.518333333</v>
      </c>
      <c r="Q143" s="85">
        <f>SUM(DataEx!FP350)</f>
        <v>15858166.538333332</v>
      </c>
      <c r="R143" s="85">
        <f>SUM(DataEx!FQ350)</f>
        <v>16016549.358333332</v>
      </c>
      <c r="S143" s="127">
        <f>+SUM(G143:R143)</f>
        <v>208898534.95999995</v>
      </c>
      <c r="T143" s="128">
        <f t="shared" si="21"/>
        <v>4.3624135438332698E-2</v>
      </c>
    </row>
    <row r="144" spans="1:20">
      <c r="A144" s="137" t="str">
        <f t="shared" si="17"/>
        <v>44p</v>
      </c>
      <c r="B144" s="518" t="str">
        <f>+VLOOKUP(LEFT($A144,LEN(A144)-1)*1,Master!$D$27:$G$225,4,FALSE)</f>
        <v>Kapitalni budžet</v>
      </c>
      <c r="C144" s="519"/>
      <c r="D144" s="519"/>
      <c r="E144" s="519"/>
      <c r="F144" s="519"/>
      <c r="G144" s="85">
        <f>SUM(DataEx!FF368)</f>
        <v>26743749.989999995</v>
      </c>
      <c r="H144" s="85">
        <f>SUM(DataEx!FG368)</f>
        <v>26743749.989999995</v>
      </c>
      <c r="I144" s="85">
        <f>SUM(DataEx!FH368)</f>
        <v>26743749.989999995</v>
      </c>
      <c r="J144" s="85">
        <f>SUM(DataEx!FI368)</f>
        <v>26743749.989999995</v>
      </c>
      <c r="K144" s="85">
        <f>SUM(DataEx!FJ368)</f>
        <v>26743749.989999995</v>
      </c>
      <c r="L144" s="85">
        <f>SUM(DataEx!FK368)</f>
        <v>26743749.989999995</v>
      </c>
      <c r="M144" s="85">
        <f>SUM(DataEx!FL368)</f>
        <v>26743749.989999995</v>
      </c>
      <c r="N144" s="85">
        <f>SUM(DataEx!FM368)</f>
        <v>26743749.989999995</v>
      </c>
      <c r="O144" s="85">
        <f>SUM(DataEx!FN368)</f>
        <v>26743749.989999995</v>
      </c>
      <c r="P144" s="85">
        <f>SUM(DataEx!FO368)</f>
        <v>26743749.989999995</v>
      </c>
      <c r="Q144" s="85">
        <f>SUM(DataEx!FP368)</f>
        <v>26743749.989999995</v>
      </c>
      <c r="R144" s="85">
        <f>SUM(DataEx!FQ368)</f>
        <v>26743750.109999999</v>
      </c>
      <c r="S144" s="127">
        <f t="shared" si="20"/>
        <v>320925000</v>
      </c>
      <c r="T144" s="128">
        <f t="shared" si="21"/>
        <v>6.7018544042099989E-2</v>
      </c>
    </row>
    <row r="145" spans="1:20">
      <c r="A145" s="137" t="str">
        <f t="shared" si="17"/>
        <v>451p</v>
      </c>
      <c r="B145" s="502" t="str">
        <f>+VLOOKUP(LEFT($A145,LEN(A145)-1)*1,Master!$D$27:$G$225,4,FALSE)</f>
        <v>Pozajmice i krediti</v>
      </c>
      <c r="C145" s="503"/>
      <c r="D145" s="503"/>
      <c r="E145" s="503"/>
      <c r="F145" s="503"/>
      <c r="G145" s="91">
        <f>SUM(DataEx!FF379)</f>
        <v>190000.08333333334</v>
      </c>
      <c r="H145" s="91">
        <f>SUM(DataEx!FG379)</f>
        <v>190000.08333333334</v>
      </c>
      <c r="I145" s="91">
        <f>SUM(DataEx!FH379)</f>
        <v>190000.08333333334</v>
      </c>
      <c r="J145" s="91">
        <f>SUM(DataEx!FI379)</f>
        <v>190000.08333333334</v>
      </c>
      <c r="K145" s="91">
        <f>SUM(DataEx!FJ379)</f>
        <v>190000.08333333334</v>
      </c>
      <c r="L145" s="91">
        <f>SUM(DataEx!FK379)</f>
        <v>190000.08333333334</v>
      </c>
      <c r="M145" s="91">
        <f>SUM(DataEx!FL379)</f>
        <v>190000.08333333334</v>
      </c>
      <c r="N145" s="91">
        <f>SUM(DataEx!FM379)</f>
        <v>190000.08333333334</v>
      </c>
      <c r="O145" s="91">
        <f>SUM(DataEx!FN379)</f>
        <v>190000.08333333334</v>
      </c>
      <c r="P145" s="91">
        <f>SUM(DataEx!FO379)</f>
        <v>190000.08333333334</v>
      </c>
      <c r="Q145" s="91">
        <f>SUM(DataEx!FP379)</f>
        <v>190000.08333333334</v>
      </c>
      <c r="R145" s="91">
        <f>SUM(DataEx!FQ379)</f>
        <v>190000.08333333334</v>
      </c>
      <c r="S145" s="125">
        <f t="shared" si="20"/>
        <v>2280000.9999999995</v>
      </c>
      <c r="T145" s="126">
        <f t="shared" si="21"/>
        <v>4.7613101950465681E-4</v>
      </c>
    </row>
    <row r="146" spans="1:20">
      <c r="A146" s="137" t="str">
        <f t="shared" si="17"/>
        <v>47p</v>
      </c>
      <c r="B146" s="502" t="str">
        <f>+VLOOKUP(LEFT($A146,LEN(A146)-1)*1,Master!$D$27:$G$225,4,FALSE)</f>
        <v>Rezerve</v>
      </c>
      <c r="C146" s="503"/>
      <c r="D146" s="503"/>
      <c r="E146" s="503"/>
      <c r="F146" s="503"/>
      <c r="G146" s="91">
        <f>SUM(DataEx!FF394)</f>
        <v>1650583.3333333333</v>
      </c>
      <c r="H146" s="91">
        <f>SUM(DataEx!FG394)</f>
        <v>1843583.3333333333</v>
      </c>
      <c r="I146" s="91">
        <f>SUM(DataEx!FH394)</f>
        <v>1650583.3333333333</v>
      </c>
      <c r="J146" s="91">
        <f>SUM(DataEx!FI394)</f>
        <v>1650583.3333333333</v>
      </c>
      <c r="K146" s="91">
        <f>SUM(DataEx!FJ394)</f>
        <v>1650583.3333333333</v>
      </c>
      <c r="L146" s="91">
        <f>SUM(DataEx!FK394)</f>
        <v>1650583.3333333333</v>
      </c>
      <c r="M146" s="91">
        <f>SUM(DataEx!FL394)</f>
        <v>1650583.3333333333</v>
      </c>
      <c r="N146" s="91">
        <f>SUM(DataEx!FM394)</f>
        <v>1650583.3333333333</v>
      </c>
      <c r="O146" s="91">
        <f>SUM(DataEx!FN394)</f>
        <v>1650583.3333333333</v>
      </c>
      <c r="P146" s="91">
        <f>SUM(DataEx!FO394)</f>
        <v>1650583.3333333333</v>
      </c>
      <c r="Q146" s="91">
        <f>SUM(DataEx!FP394)</f>
        <v>1650583.3333333333</v>
      </c>
      <c r="R146" s="91">
        <f>SUM(DataEx!FQ394)</f>
        <v>1650583.3333333333</v>
      </c>
      <c r="S146" s="125">
        <f t="shared" si="20"/>
        <v>20000000</v>
      </c>
      <c r="T146" s="126">
        <f t="shared" si="21"/>
        <v>4.1765860585557361E-3</v>
      </c>
    </row>
    <row r="147" spans="1:20">
      <c r="A147" s="137" t="str">
        <f t="shared" si="17"/>
        <v>462p</v>
      </c>
      <c r="B147" s="502" t="str">
        <f>+VLOOKUP(LEFT($A147,LEN(A147)-1)*1,Master!$D$27:$G$225,4,FALSE)</f>
        <v>Otplata garancija</v>
      </c>
      <c r="C147" s="503"/>
      <c r="D147" s="503"/>
      <c r="E147" s="503"/>
      <c r="F147" s="503"/>
      <c r="G147" s="91">
        <f>SUM(DataEx!FF381)</f>
        <v>0</v>
      </c>
      <c r="H147" s="91">
        <f>SUM(DataEx!FG381)</f>
        <v>0</v>
      </c>
      <c r="I147" s="91">
        <f>SUM(DataEx!FH381)</f>
        <v>0</v>
      </c>
      <c r="J147" s="91">
        <f>SUM(DataEx!FI381)</f>
        <v>0</v>
      </c>
      <c r="K147" s="91">
        <f>SUM(DataEx!FJ381)</f>
        <v>0</v>
      </c>
      <c r="L147" s="91">
        <f>SUM(DataEx!FK381)</f>
        <v>0</v>
      </c>
      <c r="M147" s="91">
        <f>SUM(DataEx!FL381)</f>
        <v>0</v>
      </c>
      <c r="N147" s="91">
        <f>SUM(DataEx!FM381)</f>
        <v>0</v>
      </c>
      <c r="O147" s="91">
        <f>SUM(DataEx!FN381)</f>
        <v>0</v>
      </c>
      <c r="P147" s="91">
        <f>SUM(DataEx!FO381)</f>
        <v>0</v>
      </c>
      <c r="Q147" s="91">
        <f>SUM(DataEx!FP381)</f>
        <v>0</v>
      </c>
      <c r="R147" s="91">
        <f>SUM(DataEx!FQ381)</f>
        <v>0</v>
      </c>
      <c r="S147" s="125">
        <f t="shared" si="20"/>
        <v>0</v>
      </c>
      <c r="T147" s="126">
        <f t="shared" si="21"/>
        <v>0</v>
      </c>
    </row>
    <row r="148" spans="1:20">
      <c r="A148" s="138" t="str">
        <f>+CONCATENATE(A53,"p")</f>
        <v>4630p</v>
      </c>
      <c r="B148" s="502" t="str">
        <f>+VLOOKUP(LEFT($A148,LEN(A148)-1)*1,Master!$D$27:$G$225,4,FALSE)</f>
        <v>Otplata obaveza iz prethodnih godina</v>
      </c>
      <c r="C148" s="503"/>
      <c r="D148" s="503"/>
      <c r="E148" s="503"/>
      <c r="F148" s="503"/>
      <c r="G148" s="100">
        <f>SUM(DataEx!FF393)</f>
        <v>1281814.4500000002</v>
      </c>
      <c r="H148" s="100">
        <f>SUM(DataEx!FG393)</f>
        <v>1266814.4500000002</v>
      </c>
      <c r="I148" s="100">
        <f>SUM(DataEx!FH393)</f>
        <v>1451704.4</v>
      </c>
      <c r="J148" s="100">
        <f>SUM(DataEx!FI393)</f>
        <v>1544149.3599999999</v>
      </c>
      <c r="K148" s="100">
        <f>SUM(DataEx!FJ393)</f>
        <v>1677270.12</v>
      </c>
      <c r="L148" s="100">
        <f>SUM(DataEx!FK393)</f>
        <v>1669874.52</v>
      </c>
      <c r="M148" s="100">
        <f>SUM(DataEx!FL393)</f>
        <v>1839973.2600000002</v>
      </c>
      <c r="N148" s="100">
        <f>SUM(DataEx!FM393)</f>
        <v>1832577.67</v>
      </c>
      <c r="O148" s="100">
        <f>SUM(DataEx!FN393)</f>
        <v>1610709.73</v>
      </c>
      <c r="P148" s="100">
        <f>SUM(DataEx!FO393)</f>
        <v>1374050.6099999999</v>
      </c>
      <c r="Q148" s="100">
        <f>SUM(DataEx!FP393)</f>
        <v>1448006.5899999999</v>
      </c>
      <c r="R148" s="100">
        <f>SUM(DataEx!FQ393)</f>
        <v>1533055.8399999999</v>
      </c>
      <c r="S148" s="107">
        <f>+SUM(G148:R148)</f>
        <v>18530001</v>
      </c>
      <c r="T148" s="108">
        <f>+S148/$T$7</f>
        <v>3.8696071920811927E-3</v>
      </c>
    </row>
    <row r="149" spans="1:20" ht="13.5" thickBot="1">
      <c r="A149" s="137"/>
      <c r="B149" s="502" t="s">
        <v>694</v>
      </c>
      <c r="C149" s="503"/>
      <c r="D149" s="503"/>
      <c r="E149" s="503"/>
      <c r="F149" s="503"/>
      <c r="G149" s="91">
        <f>SUM(DataEx!FF382)</f>
        <v>0</v>
      </c>
      <c r="H149" s="91">
        <f>SUM(DataEx!FG382)</f>
        <v>0</v>
      </c>
      <c r="I149" s="91">
        <f>SUM(DataEx!FH382)</f>
        <v>0</v>
      </c>
      <c r="J149" s="91">
        <f>SUM(DataEx!FI382)</f>
        <v>0</v>
      </c>
      <c r="K149" s="91">
        <f>SUM(DataEx!FJ382)</f>
        <v>0</v>
      </c>
      <c r="L149" s="91">
        <f>SUM(DataEx!FK382)</f>
        <v>0</v>
      </c>
      <c r="M149" s="91">
        <f>SUM(DataEx!FL382)</f>
        <v>0</v>
      </c>
      <c r="N149" s="91">
        <f>SUM(DataEx!FM382)</f>
        <v>0</v>
      </c>
      <c r="O149" s="91">
        <f>SUM(DataEx!FN382)</f>
        <v>0</v>
      </c>
      <c r="P149" s="91">
        <f>SUM(DataEx!FO382)</f>
        <v>0</v>
      </c>
      <c r="Q149" s="91">
        <f>SUM(DataEx!FP382)</f>
        <v>0</v>
      </c>
      <c r="R149" s="91">
        <f>SUM(DataEx!FQ382)</f>
        <v>0</v>
      </c>
      <c r="S149" s="135">
        <f>SUM(G149:R149)</f>
        <v>0</v>
      </c>
      <c r="T149" s="136">
        <f t="shared" si="21"/>
        <v>0</v>
      </c>
    </row>
    <row r="150" spans="1:20" ht="13.5" thickBot="1">
      <c r="A150" s="138" t="str">
        <f>+CONCATENATE(A55,"p")</f>
        <v>1000p</v>
      </c>
      <c r="B150" s="510" t="str">
        <f>+VLOOKUP(LEFT($A150,LEN(A150)-1)*1,Master!$D$27:$G$225,4,FALSE)</f>
        <v>Suficit / deficit</v>
      </c>
      <c r="C150" s="511"/>
      <c r="D150" s="511"/>
      <c r="E150" s="511"/>
      <c r="F150" s="511"/>
      <c r="G150" s="97">
        <f t="shared" ref="G150:R150" si="27">+G105-G124</f>
        <v>-67279544.971551239</v>
      </c>
      <c r="H150" s="97">
        <f t="shared" si="27"/>
        <v>-52914716.055624664</v>
      </c>
      <c r="I150" s="97">
        <f t="shared" si="27"/>
        <v>-44258214.206555516</v>
      </c>
      <c r="J150" s="97">
        <f t="shared" si="27"/>
        <v>-16163220.784077942</v>
      </c>
      <c r="K150" s="97">
        <f t="shared" si="27"/>
        <v>-22836050.737300813</v>
      </c>
      <c r="L150" s="97">
        <f t="shared" si="27"/>
        <v>-11410113.468270361</v>
      </c>
      <c r="M150" s="97">
        <f t="shared" si="27"/>
        <v>35685433.881916046</v>
      </c>
      <c r="N150" s="97">
        <f t="shared" si="27"/>
        <v>14284222.042717665</v>
      </c>
      <c r="O150" s="97">
        <f t="shared" si="27"/>
        <v>-3980574.7962235212</v>
      </c>
      <c r="P150" s="97">
        <f t="shared" si="27"/>
        <v>-1530170.9130620062</v>
      </c>
      <c r="Q150" s="97">
        <f t="shared" si="27"/>
        <v>-9733287.6952391863</v>
      </c>
      <c r="R150" s="97">
        <f t="shared" si="27"/>
        <v>37943441.808385491</v>
      </c>
      <c r="S150" s="113">
        <f t="shared" si="20"/>
        <v>-142192795.89488605</v>
      </c>
      <c r="T150" s="114">
        <f t="shared" si="21"/>
        <v>-2.969402244808212E-2</v>
      </c>
    </row>
    <row r="151" spans="1:20" ht="13.5" thickBot="1">
      <c r="A151" s="138" t="str">
        <f>+CONCATENATE(A56,"p")</f>
        <v>1001p</v>
      </c>
      <c r="B151" s="512" t="str">
        <f>+VLOOKUP(LEFT($A151,LEN(A151)-1)*1,Master!$D$27:$G$225,4,FALSE)</f>
        <v>Primarni bilans</v>
      </c>
      <c r="C151" s="513"/>
      <c r="D151" s="513"/>
      <c r="E151" s="513"/>
      <c r="F151" s="513"/>
      <c r="G151" s="98">
        <f t="shared" ref="G151:R151" si="28">+G150+G132</f>
        <v>-59298819.971551239</v>
      </c>
      <c r="H151" s="98">
        <f t="shared" si="28"/>
        <v>-51927996.095624663</v>
      </c>
      <c r="I151" s="98">
        <f t="shared" si="28"/>
        <v>-16156715.106555514</v>
      </c>
      <c r="J151" s="98">
        <f t="shared" si="28"/>
        <v>2336511.3159220591</v>
      </c>
      <c r="K151" s="98">
        <f t="shared" si="28"/>
        <v>-8790214.4673008118</v>
      </c>
      <c r="L151" s="98">
        <f t="shared" si="28"/>
        <v>-9436310.8082703613</v>
      </c>
      <c r="M151" s="98">
        <f t="shared" si="28"/>
        <v>44449909.671916045</v>
      </c>
      <c r="N151" s="98">
        <f t="shared" si="28"/>
        <v>15581428.182717666</v>
      </c>
      <c r="O151" s="98">
        <f t="shared" si="28"/>
        <v>-840248.99622352049</v>
      </c>
      <c r="P151" s="98">
        <f t="shared" si="28"/>
        <v>-208878.83306200546</v>
      </c>
      <c r="Q151" s="98">
        <f t="shared" si="28"/>
        <v>-1929550.3652391853</v>
      </c>
      <c r="R151" s="98">
        <f t="shared" si="28"/>
        <v>39780789.578385495</v>
      </c>
      <c r="S151" s="113">
        <f t="shared" si="20"/>
        <v>-46440095.894886054</v>
      </c>
      <c r="T151" s="114">
        <f t="shared" si="21"/>
        <v>-9.69805285362863E-3</v>
      </c>
    </row>
    <row r="152" spans="1:20">
      <c r="A152" s="138" t="str">
        <f>+CONCATENATE(A57,"p")</f>
        <v>46p</v>
      </c>
      <c r="B152" s="514" t="str">
        <f>+VLOOKUP(LEFT($A152,LEN(A152)-1)*1,Master!$D$27:$G$225,4,FALSE)</f>
        <v>Otplata dugova</v>
      </c>
      <c r="C152" s="515"/>
      <c r="D152" s="515"/>
      <c r="E152" s="515"/>
      <c r="F152" s="515"/>
      <c r="G152" s="87">
        <f t="shared" ref="G152:R152" si="29">+SUM(G153:G154)</f>
        <v>1718363.6600000001</v>
      </c>
      <c r="H152" s="87">
        <f t="shared" si="29"/>
        <v>3362692.9499999997</v>
      </c>
      <c r="I152" s="87">
        <f t="shared" si="29"/>
        <v>17620925.690000001</v>
      </c>
      <c r="J152" s="87">
        <f t="shared" si="29"/>
        <v>21217195.289999999</v>
      </c>
      <c r="K152" s="87">
        <f t="shared" si="29"/>
        <v>181489557.88</v>
      </c>
      <c r="L152" s="87">
        <f t="shared" si="29"/>
        <v>16844785.800000001</v>
      </c>
      <c r="M152" s="87">
        <f t="shared" si="29"/>
        <v>61721044.270000003</v>
      </c>
      <c r="N152" s="87">
        <f t="shared" si="29"/>
        <v>13754741.09</v>
      </c>
      <c r="O152" s="87">
        <f t="shared" si="29"/>
        <v>17831317.309999999</v>
      </c>
      <c r="P152" s="87">
        <f t="shared" si="29"/>
        <v>6151156.2299999995</v>
      </c>
      <c r="Q152" s="87">
        <f t="shared" si="29"/>
        <v>10176505.869999999</v>
      </c>
      <c r="R152" s="87">
        <f t="shared" si="29"/>
        <v>21711713.960000001</v>
      </c>
      <c r="S152" s="109">
        <f t="shared" si="20"/>
        <v>373600000</v>
      </c>
      <c r="T152" s="110">
        <f t="shared" si="21"/>
        <v>7.8018627573821164E-2</v>
      </c>
    </row>
    <row r="153" spans="1:20">
      <c r="A153" s="138" t="str">
        <f>+CONCATENATE(A58,"p")</f>
        <v>4611p</v>
      </c>
      <c r="B153" s="504" t="str">
        <f>+VLOOKUP(LEFT($A153,LEN(A153)-1)*1,Master!$D$27:$G$225,4,FALSE)</f>
        <v>Otplata hartija od vrijednosti i kredita rezidentima</v>
      </c>
      <c r="C153" s="505"/>
      <c r="D153" s="505"/>
      <c r="E153" s="505"/>
      <c r="F153" s="505"/>
      <c r="G153" s="100">
        <f>SUM(DataEx!FF388)</f>
        <v>84944.84</v>
      </c>
      <c r="H153" s="100">
        <f>SUM(DataEx!FG388)</f>
        <v>835385.84</v>
      </c>
      <c r="I153" s="100">
        <f>SUM(DataEx!FH388)</f>
        <v>1812259.88</v>
      </c>
      <c r="J153" s="100">
        <f>SUM(DataEx!FI388)</f>
        <v>4541832.53</v>
      </c>
      <c r="K153" s="100">
        <f>SUM(DataEx!FJ388)</f>
        <v>2836722.65</v>
      </c>
      <c r="L153" s="100">
        <f>SUM(DataEx!FK388)</f>
        <v>7054086.1200000001</v>
      </c>
      <c r="M153" s="100">
        <f>SUM(DataEx!FL388)</f>
        <v>87625.45</v>
      </c>
      <c r="N153" s="100">
        <f>SUM(DataEx!FM388)</f>
        <v>10838080.380000001</v>
      </c>
      <c r="O153" s="100">
        <f>SUM(DataEx!FN388)</f>
        <v>1831359.63</v>
      </c>
      <c r="P153" s="100">
        <f>SUM(DataEx!FO388)</f>
        <v>1571862.21</v>
      </c>
      <c r="Q153" s="100">
        <f>SUM(DataEx!FP388)</f>
        <v>839459.36</v>
      </c>
      <c r="R153" s="100">
        <f>SUM(DataEx!FQ388)</f>
        <v>11766381.15</v>
      </c>
      <c r="S153" s="107">
        <f t="shared" si="20"/>
        <v>44100000.039999999</v>
      </c>
      <c r="T153" s="108">
        <f t="shared" si="21"/>
        <v>9.2093722674685703E-3</v>
      </c>
    </row>
    <row r="154" spans="1:20" ht="13.5" thickBot="1">
      <c r="A154" s="138" t="str">
        <f>+CONCATENATE(A59,"p")</f>
        <v>4612p</v>
      </c>
      <c r="B154" s="502" t="str">
        <f>+VLOOKUP(LEFT($A154,LEN(A154)-1)*1,Master!$D$27:$G$225,4,FALSE)</f>
        <v>Otplata hartija od vrijednosti i kredita nerezidentima</v>
      </c>
      <c r="C154" s="503"/>
      <c r="D154" s="503"/>
      <c r="E154" s="503"/>
      <c r="F154" s="503"/>
      <c r="G154" s="100">
        <f>SUM(DataEx!FF389)</f>
        <v>1633418.82</v>
      </c>
      <c r="H154" s="100">
        <f>SUM(DataEx!FG389)</f>
        <v>2527307.11</v>
      </c>
      <c r="I154" s="100">
        <f>SUM(DataEx!FH389)</f>
        <v>15808665.810000001</v>
      </c>
      <c r="J154" s="100">
        <f>SUM(DataEx!FI389)</f>
        <v>16675362.76</v>
      </c>
      <c r="K154" s="100">
        <f>SUM(DataEx!FJ389)</f>
        <v>178652835.22999999</v>
      </c>
      <c r="L154" s="100">
        <f>SUM(DataEx!FK389)</f>
        <v>9790699.6799999997</v>
      </c>
      <c r="M154" s="100">
        <f>SUM(DataEx!FL389)</f>
        <v>61633418.82</v>
      </c>
      <c r="N154" s="100">
        <f>SUM(DataEx!FM389)</f>
        <v>2916660.71</v>
      </c>
      <c r="O154" s="100">
        <f>SUM(DataEx!FN389)</f>
        <v>15999957.68</v>
      </c>
      <c r="P154" s="100">
        <f>SUM(DataEx!FO389)</f>
        <v>4579294.0199999996</v>
      </c>
      <c r="Q154" s="100">
        <f>SUM(DataEx!FP389)</f>
        <v>9337046.5099999998</v>
      </c>
      <c r="R154" s="100">
        <f>SUM(DataEx!FQ389)</f>
        <v>9945332.8100000005</v>
      </c>
      <c r="S154" s="107">
        <f t="shared" si="20"/>
        <v>329499999.95999998</v>
      </c>
      <c r="T154" s="108">
        <f t="shared" si="21"/>
        <v>6.8809255306352582E-2</v>
      </c>
    </row>
    <row r="155" spans="1:20" ht="13.5" thickBot="1">
      <c r="A155" s="138"/>
      <c r="B155" s="512" t="s">
        <v>340</v>
      </c>
      <c r="C155" s="513"/>
      <c r="D155" s="513"/>
      <c r="E155" s="513"/>
      <c r="F155" s="513"/>
      <c r="G155" s="98">
        <f>+DataEx!FF377</f>
        <v>26666.67</v>
      </c>
      <c r="H155" s="98">
        <f>+DataEx!FG377</f>
        <v>26666.67</v>
      </c>
      <c r="I155" s="98">
        <f>+DataEx!FH377</f>
        <v>26666.67</v>
      </c>
      <c r="J155" s="98">
        <f>+DataEx!FI377</f>
        <v>39926666.670000002</v>
      </c>
      <c r="K155" s="98">
        <f>+DataEx!FJ377</f>
        <v>26666.67</v>
      </c>
      <c r="L155" s="98">
        <f>+DataEx!FK377</f>
        <v>26666.67</v>
      </c>
      <c r="M155" s="98">
        <f>+DataEx!FL377</f>
        <v>26666.67</v>
      </c>
      <c r="N155" s="98">
        <f>+DataEx!FM377</f>
        <v>26666.67</v>
      </c>
      <c r="O155" s="98">
        <f>+DataEx!FN377</f>
        <v>26666.67</v>
      </c>
      <c r="P155" s="98">
        <f>+DataEx!FO377</f>
        <v>26666.67</v>
      </c>
      <c r="Q155" s="98">
        <f>+DataEx!FP377</f>
        <v>26666.67</v>
      </c>
      <c r="R155" s="98">
        <f>+DataEx!FQ377</f>
        <v>26666.63</v>
      </c>
      <c r="S155" s="113">
        <f t="shared" si="20"/>
        <v>40220000.000000015</v>
      </c>
      <c r="T155" s="114">
        <f t="shared" si="21"/>
        <v>8.39911456375559E-3</v>
      </c>
    </row>
    <row r="156" spans="1:20" ht="13.5" thickBot="1">
      <c r="A156" s="138" t="str">
        <f t="shared" ref="A156:A161" si="30">+CONCATENATE(A61,"p")</f>
        <v>1002p</v>
      </c>
      <c r="B156" s="506" t="str">
        <f>+VLOOKUP(LEFT($A156,LEN(A156)-1)*1,Master!$D$27:$G$225,4,FALSE)</f>
        <v>Nedostajuća sredstva</v>
      </c>
      <c r="C156" s="507"/>
      <c r="D156" s="507"/>
      <c r="E156" s="507"/>
      <c r="F156" s="507"/>
      <c r="G156" s="79">
        <f t="shared" ref="G156:R156" si="31">+G150-G152-G155</f>
        <v>-69024575.301551238</v>
      </c>
      <c r="H156" s="79">
        <f t="shared" si="31"/>
        <v>-56304075.675624669</v>
      </c>
      <c r="I156" s="79">
        <f t="shared" si="31"/>
        <v>-61905806.566555515</v>
      </c>
      <c r="J156" s="79">
        <f t="shared" si="31"/>
        <v>-77307082.744077951</v>
      </c>
      <c r="K156" s="79">
        <f t="shared" si="31"/>
        <v>-204352275.2873008</v>
      </c>
      <c r="L156" s="79">
        <f t="shared" si="31"/>
        <v>-28281565.938270364</v>
      </c>
      <c r="M156" s="79">
        <f t="shared" si="31"/>
        <v>-26062277.058083959</v>
      </c>
      <c r="N156" s="79">
        <f t="shared" si="31"/>
        <v>502814.2827176656</v>
      </c>
      <c r="O156" s="79">
        <f t="shared" si="31"/>
        <v>-21838558.776223522</v>
      </c>
      <c r="P156" s="79">
        <f t="shared" si="31"/>
        <v>-7707993.8130620057</v>
      </c>
      <c r="Q156" s="79">
        <f t="shared" si="31"/>
        <v>-19936460.235239185</v>
      </c>
      <c r="R156" s="79">
        <f t="shared" si="31"/>
        <v>16205061.21838549</v>
      </c>
      <c r="S156" s="117">
        <f t="shared" si="20"/>
        <v>-556012795.89488602</v>
      </c>
      <c r="T156" s="118">
        <f t="shared" si="21"/>
        <v>-0.11611176458565886</v>
      </c>
    </row>
    <row r="157" spans="1:20" ht="13.5" thickBot="1">
      <c r="A157" s="138" t="str">
        <f t="shared" si="30"/>
        <v>1003p</v>
      </c>
      <c r="B157" s="508" t="str">
        <f>+VLOOKUP(LEFT($A157,LEN(A157)-1)*1,Master!$D$27:$G$225,4,FALSE)</f>
        <v>Finansiranje</v>
      </c>
      <c r="C157" s="509"/>
      <c r="D157" s="509"/>
      <c r="E157" s="509"/>
      <c r="F157" s="509"/>
      <c r="G157" s="97">
        <f t="shared" ref="G157:R157" si="32">+SUM(G158:G161)</f>
        <v>69024575.301551238</v>
      </c>
      <c r="H157" s="97">
        <f t="shared" si="32"/>
        <v>56304075.675624669</v>
      </c>
      <c r="I157" s="97">
        <f t="shared" si="32"/>
        <v>61905806.566555515</v>
      </c>
      <c r="J157" s="97">
        <f t="shared" si="32"/>
        <v>77307082.744077951</v>
      </c>
      <c r="K157" s="97">
        <f t="shared" si="32"/>
        <v>204352275.2873008</v>
      </c>
      <c r="L157" s="97">
        <f t="shared" si="32"/>
        <v>28281565.938270364</v>
      </c>
      <c r="M157" s="97">
        <f t="shared" si="32"/>
        <v>26062277.058083959</v>
      </c>
      <c r="N157" s="97">
        <f t="shared" si="32"/>
        <v>-502814.28271766566</v>
      </c>
      <c r="O157" s="97">
        <f t="shared" si="32"/>
        <v>21838558.776223522</v>
      </c>
      <c r="P157" s="97">
        <f t="shared" si="32"/>
        <v>7707993.8130620047</v>
      </c>
      <c r="Q157" s="97">
        <f t="shared" si="32"/>
        <v>19936460.235239185</v>
      </c>
      <c r="R157" s="97">
        <f t="shared" si="32"/>
        <v>-16205061.21838549</v>
      </c>
      <c r="S157" s="119">
        <f t="shared" si="20"/>
        <v>556012795.89488602</v>
      </c>
      <c r="T157" s="120">
        <f t="shared" si="21"/>
        <v>0.11611176458565886</v>
      </c>
    </row>
    <row r="158" spans="1:20">
      <c r="A158" s="138" t="str">
        <f t="shared" si="30"/>
        <v>7511p</v>
      </c>
      <c r="B158" s="504" t="str">
        <f>+VLOOKUP(LEFT($A158,LEN(A158)-1)*1,Master!$D$27:$G$225,4,FALSE)</f>
        <v>Pozajmice i krediti od domaćih izvora</v>
      </c>
      <c r="C158" s="505"/>
      <c r="D158" s="505"/>
      <c r="E158" s="505"/>
      <c r="F158" s="505"/>
      <c r="G158" s="100">
        <f>+DataEx!FF261</f>
        <v>0</v>
      </c>
      <c r="H158" s="100">
        <f>+DataEx!FG261</f>
        <v>0</v>
      </c>
      <c r="I158" s="100">
        <f>+DataEx!FH261</f>
        <v>95000000</v>
      </c>
      <c r="J158" s="100">
        <f>+DataEx!FI261</f>
        <v>0</v>
      </c>
      <c r="K158" s="100">
        <f>+DataEx!FJ261</f>
        <v>95000000</v>
      </c>
      <c r="L158" s="100">
        <f>+DataEx!FK261</f>
        <v>0</v>
      </c>
      <c r="M158" s="100">
        <f>+DataEx!FL261</f>
        <v>0</v>
      </c>
      <c r="N158" s="100">
        <f>+DataEx!FM261</f>
        <v>0</v>
      </c>
      <c r="O158" s="100">
        <f>+DataEx!FN261</f>
        <v>0</v>
      </c>
      <c r="P158" s="100">
        <f>+DataEx!FO261</f>
        <v>0</v>
      </c>
      <c r="Q158" s="100">
        <f>+DataEx!FP261</f>
        <v>0</v>
      </c>
      <c r="R158" s="100">
        <f>+DataEx!FQ261</f>
        <v>0</v>
      </c>
      <c r="S158" s="107">
        <f t="shared" si="20"/>
        <v>190000000</v>
      </c>
      <c r="T158" s="108">
        <f t="shared" si="21"/>
        <v>3.9677567556279499E-2</v>
      </c>
    </row>
    <row r="159" spans="1:20">
      <c r="A159" s="138" t="str">
        <f t="shared" si="30"/>
        <v>7512p</v>
      </c>
      <c r="B159" s="502" t="str">
        <f>+VLOOKUP(LEFT($A159,LEN(A159)-1)*1,Master!$D$27:$G$225,4,FALSE)</f>
        <v>Pozajmice i krediti od inostranih izvora</v>
      </c>
      <c r="C159" s="503"/>
      <c r="D159" s="503"/>
      <c r="E159" s="503"/>
      <c r="F159" s="503"/>
      <c r="G159" s="100">
        <f>+DataEx!FF262</f>
        <v>24022843.850000001</v>
      </c>
      <c r="H159" s="100">
        <f>+DataEx!FG262</f>
        <v>0</v>
      </c>
      <c r="I159" s="100">
        <f>+DataEx!FH262</f>
        <v>12399337.390000001</v>
      </c>
      <c r="J159" s="100">
        <f>+DataEx!FI262</f>
        <v>15000000</v>
      </c>
      <c r="K159" s="100">
        <f>+DataEx!FJ262</f>
        <v>17000000</v>
      </c>
      <c r="L159" s="100">
        <f>+DataEx!FK262</f>
        <v>17000000</v>
      </c>
      <c r="M159" s="100">
        <f>+DataEx!FL262</f>
        <v>17000000</v>
      </c>
      <c r="N159" s="100">
        <f>+DataEx!FM262</f>
        <v>15000000</v>
      </c>
      <c r="O159" s="100">
        <f>+DataEx!FN262</f>
        <v>17000000</v>
      </c>
      <c r="P159" s="100">
        <f>+DataEx!FO262</f>
        <v>17000000</v>
      </c>
      <c r="Q159" s="100">
        <f>+DataEx!FP262</f>
        <v>15000000</v>
      </c>
      <c r="R159" s="100">
        <f>+DataEx!FQ262</f>
        <v>13577818.76</v>
      </c>
      <c r="S159" s="107">
        <f t="shared" si="20"/>
        <v>180000000</v>
      </c>
      <c r="T159" s="108">
        <f t="shared" si="21"/>
        <v>3.7589274527001629E-2</v>
      </c>
    </row>
    <row r="160" spans="1:20">
      <c r="A160" s="138" t="str">
        <f t="shared" si="30"/>
        <v>72p</v>
      </c>
      <c r="B160" s="502" t="str">
        <f>+VLOOKUP(LEFT($A160,LEN(A160)-1)*1,Master!$D$27:$G$225,4,FALSE)</f>
        <v>Primici od prodaje imovine</v>
      </c>
      <c r="C160" s="503"/>
      <c r="D160" s="503"/>
      <c r="E160" s="503"/>
      <c r="F160" s="503"/>
      <c r="G160" s="100">
        <f>+DataEx!FF250</f>
        <v>500000</v>
      </c>
      <c r="H160" s="100">
        <f>+DataEx!FG250</f>
        <v>500000</v>
      </c>
      <c r="I160" s="100">
        <f>+DataEx!FH250</f>
        <v>500000</v>
      </c>
      <c r="J160" s="100">
        <f>+DataEx!FI250</f>
        <v>500000</v>
      </c>
      <c r="K160" s="100">
        <f>+DataEx!FJ250</f>
        <v>500000</v>
      </c>
      <c r="L160" s="100">
        <f>+DataEx!FK250</f>
        <v>500000</v>
      </c>
      <c r="M160" s="100">
        <f>+DataEx!FL250</f>
        <v>500000</v>
      </c>
      <c r="N160" s="100">
        <f>+DataEx!FM250</f>
        <v>500000</v>
      </c>
      <c r="O160" s="100">
        <f>+DataEx!FN250</f>
        <v>500000</v>
      </c>
      <c r="P160" s="100">
        <f>+DataEx!FO250</f>
        <v>500000</v>
      </c>
      <c r="Q160" s="100">
        <f>+DataEx!FP250</f>
        <v>500000</v>
      </c>
      <c r="R160" s="100">
        <f>+DataEx!FQ250</f>
        <v>500000</v>
      </c>
      <c r="S160" s="107">
        <f t="shared" si="20"/>
        <v>6000000</v>
      </c>
      <c r="T160" s="108">
        <f t="shared" si="21"/>
        <v>1.2529758175667211E-3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44501731.451551236</v>
      </c>
      <c r="H161" s="101">
        <f t="shared" si="33"/>
        <v>55804075.675624669</v>
      </c>
      <c r="I161" s="101">
        <f t="shared" si="33"/>
        <v>-45993530.823444486</v>
      </c>
      <c r="J161" s="101">
        <f t="shared" si="33"/>
        <v>61807082.744077951</v>
      </c>
      <c r="K161" s="101">
        <f t="shared" si="33"/>
        <v>91852275.287300795</v>
      </c>
      <c r="L161" s="101">
        <f t="shared" si="33"/>
        <v>10781565.938270364</v>
      </c>
      <c r="M161" s="101">
        <f t="shared" si="33"/>
        <v>8562277.0580839589</v>
      </c>
      <c r="N161" s="101">
        <f t="shared" si="33"/>
        <v>-16002814.282717666</v>
      </c>
      <c r="O161" s="101">
        <f t="shared" si="33"/>
        <v>4338558.7762235217</v>
      </c>
      <c r="P161" s="101">
        <f t="shared" si="33"/>
        <v>-9792006.1869379953</v>
      </c>
      <c r="Q161" s="101">
        <f t="shared" si="33"/>
        <v>4436460.2352391854</v>
      </c>
      <c r="R161" s="101">
        <f t="shared" si="33"/>
        <v>-30282879.978385489</v>
      </c>
      <c r="S161" s="111">
        <f t="shared" si="20"/>
        <v>180012795.89488602</v>
      </c>
      <c r="T161" s="112">
        <f t="shared" si="21"/>
        <v>3.7591946684811015E-2</v>
      </c>
    </row>
  </sheetData>
  <mergeCells count="118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9:F159"/>
    <mergeCell ref="B160:F160"/>
    <mergeCell ref="B153:F153"/>
    <mergeCell ref="B154:F154"/>
    <mergeCell ref="B148:F148"/>
    <mergeCell ref="B156:F156"/>
    <mergeCell ref="B157:F157"/>
    <mergeCell ref="B158:F158"/>
    <mergeCell ref="B145:F145"/>
    <mergeCell ref="B146:F146"/>
    <mergeCell ref="B147:F147"/>
    <mergeCell ref="B150:F150"/>
    <mergeCell ref="B151:F151"/>
    <mergeCell ref="B152:F152"/>
    <mergeCell ref="B149:F149"/>
    <mergeCell ref="B155:F155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1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755</v>
      </c>
      <c r="H6" s="259" t="s">
        <v>756</v>
      </c>
      <c r="I6" s="259" t="s">
        <v>757</v>
      </c>
      <c r="J6" s="259" t="s">
        <v>758</v>
      </c>
      <c r="K6" s="259" t="s">
        <v>759</v>
      </c>
      <c r="L6" s="259" t="s">
        <v>760</v>
      </c>
      <c r="M6" s="259" t="s">
        <v>761</v>
      </c>
      <c r="N6" s="259" t="s">
        <v>762</v>
      </c>
      <c r="O6" s="259" t="s">
        <v>763</v>
      </c>
      <c r="P6" s="259" t="s">
        <v>764</v>
      </c>
      <c r="Q6" s="259" t="s">
        <v>765</v>
      </c>
      <c r="R6" s="259" t="s">
        <v>766</v>
      </c>
      <c r="S6" s="258"/>
      <c r="T6" s="258"/>
    </row>
    <row r="7" spans="1:20" ht="15" customHeight="1" thickBot="1">
      <c r="A7" s="169"/>
      <c r="B7" s="555" t="str">
        <f>+Master!G251</f>
        <v>Ostvarenje budžeta</v>
      </c>
      <c r="C7" s="455"/>
      <c r="D7" s="455"/>
      <c r="E7" s="455"/>
      <c r="F7" s="455"/>
      <c r="G7" s="463">
        <v>2018</v>
      </c>
      <c r="H7" s="464"/>
      <c r="I7" s="464"/>
      <c r="J7" s="464"/>
      <c r="K7" s="464"/>
      <c r="L7" s="464"/>
      <c r="M7" s="464"/>
      <c r="N7" s="464"/>
      <c r="O7" s="464"/>
      <c r="P7" s="464"/>
      <c r="Q7" s="464"/>
      <c r="R7" s="467"/>
      <c r="S7" s="260" t="str">
        <f>+Master!G248</f>
        <v>BDP</v>
      </c>
      <c r="T7" s="261">
        <v>4604500000</v>
      </c>
    </row>
    <row r="8" spans="1:20" ht="16.5" customHeight="1">
      <c r="A8" s="169"/>
      <c r="B8" s="456"/>
      <c r="C8" s="457"/>
      <c r="D8" s="457"/>
      <c r="E8" s="457"/>
      <c r="F8" s="458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3" t="str">
        <f>+Master!G245</f>
        <v>Jan - Maj</v>
      </c>
      <c r="T8" s="467"/>
    </row>
    <row r="9" spans="1:20" ht="13.5" thickBot="1">
      <c r="A9" s="169"/>
      <c r="B9" s="459"/>
      <c r="C9" s="460"/>
      <c r="D9" s="460"/>
      <c r="E9" s="460"/>
      <c r="F9" s="461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96" t="str">
        <f>+VLOOKUP($A10,Master!$D$27:$G$225,4,FALSE)</f>
        <v>Prihodi budžeta</v>
      </c>
      <c r="C10" s="497"/>
      <c r="D10" s="497"/>
      <c r="E10" s="497"/>
      <c r="F10" s="497"/>
      <c r="G10" s="176">
        <f t="shared" ref="G10:R10" si="1">+G11+G19+SUM(G24:G28)</f>
        <v>81543733.760000005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156837966.73000002</v>
      </c>
      <c r="K10" s="176">
        <f t="shared" si="1"/>
        <v>138841162.98999998</v>
      </c>
      <c r="L10" s="176">
        <f t="shared" si="1"/>
        <v>140708376.15000001</v>
      </c>
      <c r="M10" s="176">
        <f t="shared" si="1"/>
        <v>160594614.84999999</v>
      </c>
      <c r="N10" s="176">
        <f t="shared" si="1"/>
        <v>161263780.17000002</v>
      </c>
      <c r="O10" s="176">
        <f t="shared" si="1"/>
        <v>187333306.05000001</v>
      </c>
      <c r="P10" s="176">
        <f t="shared" si="1"/>
        <v>145784954.45000002</v>
      </c>
      <c r="Q10" s="176">
        <f t="shared" si="1"/>
        <v>142821934.60999998</v>
      </c>
      <c r="R10" s="176">
        <f t="shared" si="1"/>
        <v>184473608.03</v>
      </c>
      <c r="S10" s="264">
        <f>+SUM(G10:R10)</f>
        <v>1746141901.48</v>
      </c>
      <c r="T10" s="265">
        <f>+S10/$T$7</f>
        <v>0.37922508447822784</v>
      </c>
    </row>
    <row r="11" spans="1:20">
      <c r="A11" s="175">
        <v>711</v>
      </c>
      <c r="B11" s="498" t="str">
        <f>+VLOOKUP($A11,Master!$D$27:$G$225,4,FALSE)</f>
        <v>Porezi</v>
      </c>
      <c r="C11" s="499"/>
      <c r="D11" s="499"/>
      <c r="E11" s="499"/>
      <c r="F11" s="499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89707200.510000005</v>
      </c>
      <c r="Q11" s="182">
        <f t="shared" si="2"/>
        <v>81788199.11999999</v>
      </c>
      <c r="R11" s="266">
        <f t="shared" si="2"/>
        <v>91433416.909999996</v>
      </c>
      <c r="S11" s="267">
        <f t="shared" ref="S11:S65" si="3">+SUM(G11:R11)</f>
        <v>1068947201.3</v>
      </c>
      <c r="T11" s="268">
        <f t="shared" ref="T11:T66" si="4">+S11/$T$7</f>
        <v>0.23215272044738841</v>
      </c>
    </row>
    <row r="12" spans="1:20">
      <c r="A12" s="175">
        <v>7111</v>
      </c>
      <c r="B12" s="484" t="str">
        <f>+VLOOKUP($A12,Master!$D$27:$G$225,4,FALSE)</f>
        <v>Porez na dohodak fizičkih lica</v>
      </c>
      <c r="C12" s="485"/>
      <c r="D12" s="485"/>
      <c r="E12" s="485"/>
      <c r="F12" s="485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10275884.26</v>
      </c>
      <c r="Q12" s="188">
        <f>+INDEX(DataEx!$1:$1048576,MATCH('2018'!$A12,DataEx!$D:$D,0),MATCH('2018'!Q$6,DataEx!$7:$7,0))</f>
        <v>10504970.310000001</v>
      </c>
      <c r="R12" s="188">
        <f>+INDEX(DataEx!$1:$1048576,MATCH('2018'!$A12,DataEx!$D:$D,0),MATCH('2018'!R$6,DataEx!$7:$7,0))</f>
        <v>18872459.579999998</v>
      </c>
      <c r="S12" s="269">
        <f t="shared" si="3"/>
        <v>124898382.06000002</v>
      </c>
      <c r="T12" s="270">
        <f t="shared" si="4"/>
        <v>2.7125286580519062E-2</v>
      </c>
    </row>
    <row r="13" spans="1:20">
      <c r="A13" s="175">
        <v>7112</v>
      </c>
      <c r="B13" s="484" t="str">
        <f>+VLOOKUP($A13,Master!$D$27:$G$225,4,FALSE)</f>
        <v>Porez na dobit pravnih lica</v>
      </c>
      <c r="C13" s="485"/>
      <c r="D13" s="485"/>
      <c r="E13" s="485"/>
      <c r="F13" s="485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1043872.54</v>
      </c>
      <c r="Q13" s="188">
        <f>+INDEX(DataEx!$1:$1048576,MATCH('2018'!$A13,DataEx!$D:$D,0),MATCH('2018'!Q$6,DataEx!$7:$7,0))</f>
        <v>802479.78</v>
      </c>
      <c r="R13" s="188">
        <f>+INDEX(DataEx!$1:$1048576,MATCH('2018'!$A13,DataEx!$D:$D,0),MATCH('2018'!R$6,DataEx!$7:$7,0))</f>
        <v>1812573.03</v>
      </c>
      <c r="S13" s="269">
        <f t="shared" si="3"/>
        <v>68172478.429999992</v>
      </c>
      <c r="T13" s="270">
        <f t="shared" si="4"/>
        <v>1.4805620247583884E-2</v>
      </c>
    </row>
    <row r="14" spans="1:20">
      <c r="A14" s="175">
        <v>7113</v>
      </c>
      <c r="B14" s="484" t="str">
        <f>+VLOOKUP($A14,Master!$D$27:$G$225,4,FALSE)</f>
        <v>Porez na promet nepokretnosti</v>
      </c>
      <c r="C14" s="485"/>
      <c r="D14" s="485"/>
      <c r="E14" s="485"/>
      <c r="F14" s="485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155540.06</v>
      </c>
      <c r="Q14" s="188">
        <f>+INDEX(DataEx!$1:$1048576,MATCH('2018'!$A14,DataEx!$D:$D,0),MATCH('2018'!Q$6,DataEx!$7:$7,0))</f>
        <v>193671.67</v>
      </c>
      <c r="R14" s="188">
        <f>+INDEX(DataEx!$1:$1048576,MATCH('2018'!$A14,DataEx!$D:$D,0),MATCH('2018'!R$6,DataEx!$7:$7,0))</f>
        <v>208954.63</v>
      </c>
      <c r="S14" s="269">
        <f t="shared" si="3"/>
        <v>1836094.52</v>
      </c>
      <c r="T14" s="270">
        <f t="shared" si="4"/>
        <v>3.9876089043327178E-4</v>
      </c>
    </row>
    <row r="15" spans="1:20">
      <c r="A15" s="175">
        <v>7114</v>
      </c>
      <c r="B15" s="484" t="str">
        <f>+VLOOKUP($A15,Master!$D$27:$G$225,4,FALSE)</f>
        <v>Porez na dodatu vrijednost</v>
      </c>
      <c r="C15" s="485"/>
      <c r="D15" s="485"/>
      <c r="E15" s="485"/>
      <c r="F15" s="485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56740213.189999998</v>
      </c>
      <c r="Q15" s="188">
        <f>+INDEX(DataEx!$1:$1048576,MATCH('2018'!$A15,DataEx!$D:$D,0),MATCH('2018'!Q$6,DataEx!$7:$7,0))</f>
        <v>47812481.689999998</v>
      </c>
      <c r="R15" s="188">
        <f>+INDEX(DataEx!$1:$1048576,MATCH('2018'!$A15,DataEx!$D:$D,0),MATCH('2018'!R$6,DataEx!$7:$7,0))</f>
        <v>50892268.439999998</v>
      </c>
      <c r="S15" s="269">
        <f t="shared" si="3"/>
        <v>616913678.91000009</v>
      </c>
      <c r="T15" s="270">
        <f t="shared" si="4"/>
        <v>0.13398060134868064</v>
      </c>
    </row>
    <row r="16" spans="1:20">
      <c r="A16" s="175">
        <v>7115</v>
      </c>
      <c r="B16" s="484" t="str">
        <f>+VLOOKUP($A16,Master!$D$27:$G$225,4,FALSE)</f>
        <v>Akcize</v>
      </c>
      <c r="C16" s="485"/>
      <c r="D16" s="485"/>
      <c r="E16" s="485"/>
      <c r="F16" s="485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18141856.039999999</v>
      </c>
      <c r="Q16" s="188">
        <f>+INDEX(DataEx!$1:$1048576,MATCH('2018'!$A16,DataEx!$D:$D,0),MATCH('2018'!Q$6,DataEx!$7:$7,0))</f>
        <v>19778303.699999999</v>
      </c>
      <c r="R16" s="188">
        <f>+INDEX(DataEx!$1:$1048576,MATCH('2018'!$A16,DataEx!$D:$D,0),MATCH('2018'!R$6,DataEx!$7:$7,0))</f>
        <v>16761286.810000001</v>
      </c>
      <c r="S16" s="269">
        <f t="shared" si="3"/>
        <v>221178044.41</v>
      </c>
      <c r="T16" s="270">
        <f t="shared" si="4"/>
        <v>4.8035192618090999E-2</v>
      </c>
    </row>
    <row r="17" spans="1:25">
      <c r="A17" s="175">
        <v>7116</v>
      </c>
      <c r="B17" s="484" t="str">
        <f>+VLOOKUP($A17,Master!$D$27:$G$225,4,FALSE)</f>
        <v>Porez na međunarodnu trgovinu i transakcije</v>
      </c>
      <c r="C17" s="485"/>
      <c r="D17" s="485"/>
      <c r="E17" s="485"/>
      <c r="F17" s="485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2570061.1800000002</v>
      </c>
      <c r="Q17" s="188">
        <f>+INDEX(DataEx!$1:$1048576,MATCH('2018'!$A17,DataEx!$D:$D,0),MATCH('2018'!Q$6,DataEx!$7:$7,0))</f>
        <v>1901910.24</v>
      </c>
      <c r="R17" s="188">
        <f>+INDEX(DataEx!$1:$1048576,MATCH('2018'!$A17,DataEx!$D:$D,0),MATCH('2018'!R$6,DataEx!$7:$7,0))</f>
        <v>2050376.81</v>
      </c>
      <c r="S17" s="269">
        <f t="shared" si="3"/>
        <v>26634891.989999998</v>
      </c>
      <c r="T17" s="270">
        <f t="shared" si="4"/>
        <v>5.7845351265066779E-3</v>
      </c>
    </row>
    <row r="18" spans="1:25">
      <c r="A18" s="175">
        <v>7118</v>
      </c>
      <c r="B18" s="484" t="str">
        <f>+VLOOKUP($A18,Master!$D$27:$G$225,4,FALSE)</f>
        <v>Ostali državni porezi</v>
      </c>
      <c r="C18" s="485"/>
      <c r="D18" s="485"/>
      <c r="E18" s="485"/>
      <c r="F18" s="485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779773.24</v>
      </c>
      <c r="Q18" s="188">
        <f>+INDEX(DataEx!$1:$1048576,MATCH('2018'!$A18,DataEx!$D:$D,0),MATCH('2018'!Q$6,DataEx!$7:$7,0))</f>
        <v>794381.73</v>
      </c>
      <c r="R18" s="188">
        <f>+INDEX(DataEx!$1:$1048576,MATCH('2018'!$A18,DataEx!$D:$D,0),MATCH('2018'!R$6,DataEx!$7:$7,0))</f>
        <v>835497.61</v>
      </c>
      <c r="S18" s="269">
        <f t="shared" si="3"/>
        <v>9313630.9799999986</v>
      </c>
      <c r="T18" s="270">
        <f t="shared" si="4"/>
        <v>2.0227236355738949E-3</v>
      </c>
    </row>
    <row r="19" spans="1:25">
      <c r="A19" s="175">
        <v>712</v>
      </c>
      <c r="B19" s="494" t="str">
        <f>+VLOOKUP($A19,Master!$D$27:$G$225,4,FALSE)</f>
        <v>Doprinosi</v>
      </c>
      <c r="C19" s="495"/>
      <c r="D19" s="495"/>
      <c r="E19" s="495"/>
      <c r="F19" s="495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47821348.07</v>
      </c>
      <c r="Q19" s="194">
        <f>+INDEX(DataEx!$1:$1048576,MATCH('2018'!$A19,DataEx!$D:$D,0),MATCH('2018'!Q$6,DataEx!$7:$7,0))</f>
        <v>44976968.909999996</v>
      </c>
      <c r="R19" s="194">
        <f>+INDEX(DataEx!$1:$1048576,MATCH('2018'!$A19,DataEx!$D:$D,0),MATCH('2018'!R$6,DataEx!$7:$7,0))</f>
        <v>80310407.909999996</v>
      </c>
      <c r="S19" s="272">
        <f t="shared" si="3"/>
        <v>524440114.39999998</v>
      </c>
      <c r="T19" s="273">
        <f t="shared" si="4"/>
        <v>0.11389729925073297</v>
      </c>
    </row>
    <row r="20" spans="1:25">
      <c r="A20" s="175">
        <v>7121</v>
      </c>
      <c r="B20" s="484" t="str">
        <f>+VLOOKUP($A20,Master!$D$27:$G$225,4,FALSE)</f>
        <v>Doprinosi za penzijsko i invalidsko osiguranje</v>
      </c>
      <c r="C20" s="485"/>
      <c r="D20" s="485"/>
      <c r="E20" s="485"/>
      <c r="F20" s="485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29472537.77</v>
      </c>
      <c r="Q20" s="188">
        <f>+INDEX(DataEx!$1:$1048576,MATCH('2018'!$A20,DataEx!$D:$D,0),MATCH('2018'!Q$6,DataEx!$7:$7,0))</f>
        <v>27715796.140000001</v>
      </c>
      <c r="R20" s="188">
        <f>+INDEX(DataEx!$1:$1048576,MATCH('2018'!$A20,DataEx!$D:$D,0),MATCH('2018'!R$6,DataEx!$7:$7,0))</f>
        <v>48261788.450000003</v>
      </c>
      <c r="S20" s="269">
        <f t="shared" si="3"/>
        <v>316982958.28000003</v>
      </c>
      <c r="T20" s="270">
        <f t="shared" si="4"/>
        <v>6.8841993328265835E-2</v>
      </c>
    </row>
    <row r="21" spans="1:25">
      <c r="A21" s="175">
        <v>7122</v>
      </c>
      <c r="B21" s="484" t="str">
        <f>+VLOOKUP($A21,Master!$D$27:$G$225,4,FALSE)</f>
        <v>Doprinosi za zdravstveno osiguranje</v>
      </c>
      <c r="C21" s="485"/>
      <c r="D21" s="485"/>
      <c r="E21" s="485"/>
      <c r="F21" s="485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16132677.16</v>
      </c>
      <c r="Q21" s="188">
        <f>+INDEX(DataEx!$1:$1048576,MATCH('2018'!$A21,DataEx!$D:$D,0),MATCH('2018'!Q$6,DataEx!$7:$7,0))</f>
        <v>15297077.039999999</v>
      </c>
      <c r="R21" s="188">
        <f>+INDEX(DataEx!$1:$1048576,MATCH('2018'!$A21,DataEx!$D:$D,0),MATCH('2018'!R$6,DataEx!$7:$7,0))</f>
        <v>28352941.690000001</v>
      </c>
      <c r="S21" s="269">
        <f t="shared" si="3"/>
        <v>182045765.34999999</v>
      </c>
      <c r="T21" s="270">
        <f t="shared" si="4"/>
        <v>3.9536489379954388E-2</v>
      </c>
    </row>
    <row r="22" spans="1:25">
      <c r="A22" s="175">
        <v>7123</v>
      </c>
      <c r="B22" s="484" t="str">
        <f>+VLOOKUP($A22,Master!$D$27:$G$225,4,FALSE)</f>
        <v>Doprinosi za osiguranje od nezaposlenosti</v>
      </c>
      <c r="C22" s="485"/>
      <c r="D22" s="485"/>
      <c r="E22" s="485"/>
      <c r="F22" s="485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1217359.6499999999</v>
      </c>
      <c r="Q22" s="188">
        <f>+INDEX(DataEx!$1:$1048576,MATCH('2018'!$A22,DataEx!$D:$D,0),MATCH('2018'!Q$6,DataEx!$7:$7,0))</f>
        <v>1157240.48</v>
      </c>
      <c r="R22" s="188">
        <f>+INDEX(DataEx!$1:$1048576,MATCH('2018'!$A22,DataEx!$D:$D,0),MATCH('2018'!R$6,DataEx!$7:$7,0))</f>
        <v>2149158.34</v>
      </c>
      <c r="S22" s="269">
        <f t="shared" si="3"/>
        <v>13590597.370000001</v>
      </c>
      <c r="T22" s="270">
        <f t="shared" si="4"/>
        <v>2.951590263872299E-3</v>
      </c>
    </row>
    <row r="23" spans="1:25">
      <c r="A23" s="175">
        <v>7124</v>
      </c>
      <c r="B23" s="484" t="str">
        <f>+VLOOKUP($A23,Master!$D$27:$G$225,4,FALSE)</f>
        <v>Ostali doprinosi</v>
      </c>
      <c r="C23" s="485"/>
      <c r="D23" s="485"/>
      <c r="E23" s="485"/>
      <c r="F23" s="485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998773.49</v>
      </c>
      <c r="Q23" s="188">
        <f>+INDEX(DataEx!$1:$1048576,MATCH('2018'!$A23,DataEx!$D:$D,0),MATCH('2018'!Q$6,DataEx!$7:$7,0))</f>
        <v>806855.25</v>
      </c>
      <c r="R23" s="188">
        <f>+INDEX(DataEx!$1:$1048576,MATCH('2018'!$A23,DataEx!$D:$D,0),MATCH('2018'!R$6,DataEx!$7:$7,0))</f>
        <v>1546519.43</v>
      </c>
      <c r="S23" s="269">
        <f t="shared" si="3"/>
        <v>11820793.4</v>
      </c>
      <c r="T23" s="270">
        <f t="shared" si="4"/>
        <v>2.5672262786404607E-3</v>
      </c>
      <c r="Y23" s="379"/>
    </row>
    <row r="24" spans="1:25">
      <c r="A24" s="175">
        <v>713</v>
      </c>
      <c r="B24" s="486" t="str">
        <f>+VLOOKUP($A24,Master!$D$27:$G$225,4,FALSE)</f>
        <v>Takse</v>
      </c>
      <c r="C24" s="487"/>
      <c r="D24" s="487"/>
      <c r="E24" s="487"/>
      <c r="F24" s="487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1616613.69</v>
      </c>
      <c r="M24" s="200">
        <f>+INDEX(DataEx!$1:$1048576,MATCH('2018'!$A24,DataEx!$D:$D,0),MATCH('2018'!M$6,DataEx!$7:$7,0))</f>
        <v>2005610.72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1510208.2</v>
      </c>
      <c r="Q24" s="200">
        <f>+INDEX(DataEx!$1:$1048576,MATCH('2018'!$A24,DataEx!$D:$D,0),MATCH('2018'!Q$6,DataEx!$7:$7,0))</f>
        <v>1331866.75</v>
      </c>
      <c r="R24" s="274">
        <f>+INDEX(DataEx!$1:$1048576,MATCH('2018'!$A24,DataEx!$D:$D,0),MATCH('2018'!R$6,DataEx!$7:$7,0))</f>
        <v>1403288.34</v>
      </c>
      <c r="S24" s="272">
        <f t="shared" si="3"/>
        <v>16743992.319999998</v>
      </c>
      <c r="T24" s="273">
        <f t="shared" si="4"/>
        <v>3.6364409425561949E-3</v>
      </c>
      <c r="Y24" s="379"/>
    </row>
    <row r="25" spans="1:25">
      <c r="A25" s="175">
        <v>714</v>
      </c>
      <c r="B25" s="486" t="str">
        <f>+VLOOKUP($A25,Master!$D$27:$G$225,4,FALSE)</f>
        <v>Naknade</v>
      </c>
      <c r="C25" s="487"/>
      <c r="D25" s="487"/>
      <c r="E25" s="487"/>
      <c r="F25" s="487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2347083.83</v>
      </c>
      <c r="Q25" s="200">
        <f>+INDEX(DataEx!$1:$1048576,MATCH('2018'!$A25,DataEx!$D:$D,0),MATCH('2018'!Q$6,DataEx!$7:$7,0))</f>
        <v>2034357.41</v>
      </c>
      <c r="R25" s="274">
        <f>+INDEX(DataEx!$1:$1048576,MATCH('2018'!$A25,DataEx!$D:$D,0),MATCH('2018'!R$6,DataEx!$7:$7,0))</f>
        <v>2685804.61</v>
      </c>
      <c r="S25" s="272">
        <f t="shared" si="3"/>
        <v>26419539.080000002</v>
      </c>
      <c r="T25" s="273">
        <f t="shared" si="4"/>
        <v>5.7377650298620917E-3</v>
      </c>
      <c r="W25" s="366"/>
    </row>
    <row r="26" spans="1:25">
      <c r="A26" s="175">
        <v>715</v>
      </c>
      <c r="B26" s="486" t="str">
        <f>+VLOOKUP($A26,Master!$D$27:$G$225,4,FALSE)</f>
        <v>Ostali prihodi</v>
      </c>
      <c r="C26" s="487"/>
      <c r="D26" s="487"/>
      <c r="E26" s="487"/>
      <c r="F26" s="487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2742239.31</v>
      </c>
      <c r="M26" s="200">
        <f>+INDEX(DataEx!$1:$1048576,MATCH('2018'!$A26,DataEx!$D:$D,0),MATCH('2018'!M$6,DataEx!$7:$7,0))</f>
        <v>3903791.18</v>
      </c>
      <c r="N26" s="200">
        <f>+INDEX(DataEx!$1:$1048576,MATCH('2018'!$A26,DataEx!$D:$D,0),MATCH('2018'!N$6,DataEx!$7:$7,0))</f>
        <v>3453341.6</v>
      </c>
      <c r="O26" s="200">
        <f>+INDEX(DataEx!$1:$1048576,MATCH('2018'!$A26,DataEx!$D:$D,0),MATCH('2018'!O$6,DataEx!$7:$7,0))</f>
        <v>37485113.789999999</v>
      </c>
      <c r="P26" s="200">
        <f>+INDEX(DataEx!$1:$1048576,MATCH('2018'!$A26,DataEx!$D:$D,0),MATCH('2018'!P$6,DataEx!$7:$7,0))</f>
        <v>2347445.85</v>
      </c>
      <c r="Q26" s="200">
        <f>+INDEX(DataEx!$1:$1048576,MATCH('2018'!$A26,DataEx!$D:$D,0),MATCH('2018'!Q$6,DataEx!$7:$7,0))</f>
        <v>3454247.32</v>
      </c>
      <c r="R26" s="274">
        <f>+INDEX(DataEx!$1:$1048576,MATCH('2018'!$A26,DataEx!$D:$D,0),MATCH('2018'!R$6,DataEx!$7:$7,0))</f>
        <v>4014664.14</v>
      </c>
      <c r="S26" s="272">
        <f t="shared" si="3"/>
        <v>71114889.350000009</v>
      </c>
      <c r="T26" s="273">
        <f t="shared" si="4"/>
        <v>1.5444649657943317E-2</v>
      </c>
    </row>
    <row r="27" spans="1:25">
      <c r="A27" s="175">
        <v>73</v>
      </c>
      <c r="B27" s="486" t="str">
        <f>+VLOOKUP($A27,Master!$D$27:$G$225,4,FALSE)</f>
        <v>Primici od otplate kredita i sredstva prenesena iz prethodne godine</v>
      </c>
      <c r="C27" s="487"/>
      <c r="D27" s="487"/>
      <c r="E27" s="487"/>
      <c r="F27" s="487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443978.03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525509.51</v>
      </c>
      <c r="Q27" s="200">
        <f>+INDEX(DataEx!$1:$1048576,MATCH('2018'!$A27,DataEx!$D:$D,0),MATCH('2018'!Q$6,DataEx!$7:$7,0))</f>
        <v>4230114.6399999997</v>
      </c>
      <c r="R27" s="274">
        <f>+INDEX(DataEx!$1:$1048576,MATCH('2018'!$A27,DataEx!$D:$D,0),MATCH('2018'!R$6,DataEx!$7:$7,0))</f>
        <v>780987.28</v>
      </c>
      <c r="S27" s="272">
        <f t="shared" si="3"/>
        <v>11124362.879999999</v>
      </c>
      <c r="T27" s="273">
        <f t="shared" si="4"/>
        <v>2.4159763014442392E-3</v>
      </c>
    </row>
    <row r="28" spans="1:25" ht="13.5" thickBot="1">
      <c r="A28" s="175">
        <v>74</v>
      </c>
      <c r="B28" s="488" t="str">
        <f>+VLOOKUP($A28,Master!$D$27:$G$225,4,FALSE)</f>
        <v>Donacije i transferi</v>
      </c>
      <c r="C28" s="489"/>
      <c r="D28" s="489"/>
      <c r="E28" s="489"/>
      <c r="F28" s="489"/>
      <c r="G28" s="200">
        <f>+INDEX(DataEx!$1:$1048576,MATCH('2018'!$A28,DataEx!$D:$D,0),MATCH('2018'!G$6,DataEx!$7:$7,0))</f>
        <v>1517510.59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778731.38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1526158.48</v>
      </c>
      <c r="Q28" s="200">
        <f>+INDEX(DataEx!$1:$1048576,MATCH('2018'!$A28,DataEx!$D:$D,0),MATCH('2018'!Q$6,DataEx!$7:$7,0))</f>
        <v>5006180.46</v>
      </c>
      <c r="R28" s="274">
        <f>+INDEX(DataEx!$1:$1048576,MATCH('2018'!$A28,DataEx!$D:$D,0),MATCH('2018'!R$6,DataEx!$7:$7,0))</f>
        <v>3845038.84</v>
      </c>
      <c r="S28" s="272">
        <f t="shared" si="3"/>
        <v>27351802.150000002</v>
      </c>
      <c r="T28" s="276">
        <f t="shared" si="4"/>
        <v>5.9402328483005758E-3</v>
      </c>
    </row>
    <row r="29" spans="1:25" ht="13.5" thickBot="1">
      <c r="A29" s="175">
        <v>4</v>
      </c>
      <c r="B29" s="474" t="str">
        <f>+VLOOKUP($A29,Master!$D$27:$G$225,4,FALSE)</f>
        <v>Budžetski izdaci</v>
      </c>
      <c r="C29" s="475"/>
      <c r="D29" s="475"/>
      <c r="E29" s="475"/>
      <c r="F29" s="475"/>
      <c r="G29" s="176">
        <f>+G31+G42+G48+SUM(G49:G53)</f>
        <v>106126161.81999999</v>
      </c>
      <c r="H29" s="176">
        <f t="shared" ref="H29:R29" si="5">+H31+H42+H48+SUM(H49:H53)</f>
        <v>119008839.22</v>
      </c>
      <c r="I29" s="176">
        <f t="shared" si="5"/>
        <v>172442993.90000001</v>
      </c>
      <c r="J29" s="176">
        <f t="shared" si="5"/>
        <v>154233924.36999997</v>
      </c>
      <c r="K29" s="176">
        <f t="shared" si="5"/>
        <v>141761088.21000001</v>
      </c>
      <c r="L29" s="176">
        <f t="shared" si="5"/>
        <v>162103437.13</v>
      </c>
      <c r="M29" s="176">
        <f t="shared" si="5"/>
        <v>155878289.95999998</v>
      </c>
      <c r="N29" s="176">
        <f t="shared" si="5"/>
        <v>127201691.78999998</v>
      </c>
      <c r="O29" s="176">
        <f t="shared" si="5"/>
        <v>166137229.88999999</v>
      </c>
      <c r="P29" s="176">
        <f t="shared" si="5"/>
        <v>158417300.96000001</v>
      </c>
      <c r="Q29" s="176">
        <f t="shared" si="5"/>
        <v>187143079.56</v>
      </c>
      <c r="R29" s="176">
        <f t="shared" si="5"/>
        <v>255132199.85000002</v>
      </c>
      <c r="S29" s="277">
        <f t="shared" si="3"/>
        <v>1905586236.6599998</v>
      </c>
      <c r="T29" s="278">
        <f t="shared" si="4"/>
        <v>0.41385302131827556</v>
      </c>
    </row>
    <row r="30" spans="1:25" ht="13.5" thickBot="1">
      <c r="A30" s="175">
        <v>41</v>
      </c>
      <c r="B30" s="490" t="str">
        <f>+VLOOKUP($A30,Master!$D$27:$G$225,4,FALSE)</f>
        <v>Tekuća budžetska potrošnja</v>
      </c>
      <c r="C30" s="491"/>
      <c r="D30" s="491"/>
      <c r="E30" s="491"/>
      <c r="F30" s="491"/>
      <c r="G30" s="206">
        <f>+G29-G49</f>
        <v>103962901.73999999</v>
      </c>
      <c r="H30" s="206">
        <f t="shared" ref="H30:R30" si="6">+H29-H49</f>
        <v>115671668.83</v>
      </c>
      <c r="I30" s="206">
        <f t="shared" si="6"/>
        <v>160623703.16</v>
      </c>
      <c r="J30" s="206">
        <f t="shared" si="6"/>
        <v>124663770.59999998</v>
      </c>
      <c r="K30" s="206">
        <f t="shared" si="6"/>
        <v>128717553.92000002</v>
      </c>
      <c r="L30" s="206">
        <f t="shared" si="6"/>
        <v>138339397.85999998</v>
      </c>
      <c r="M30" s="206">
        <f t="shared" si="6"/>
        <v>132376230.81999998</v>
      </c>
      <c r="N30" s="206">
        <f t="shared" si="6"/>
        <v>119232633.09999998</v>
      </c>
      <c r="O30" s="206">
        <f t="shared" si="6"/>
        <v>126291283.53999999</v>
      </c>
      <c r="P30" s="206">
        <f t="shared" si="6"/>
        <v>129866107.57000001</v>
      </c>
      <c r="Q30" s="206">
        <f t="shared" si="6"/>
        <v>161320542.37</v>
      </c>
      <c r="R30" s="206">
        <f t="shared" si="6"/>
        <v>199821015.85000002</v>
      </c>
      <c r="S30" s="431">
        <f t="shared" si="3"/>
        <v>1640886809.3599997</v>
      </c>
      <c r="T30" s="280">
        <f t="shared" si="4"/>
        <v>0.3563659049538494</v>
      </c>
    </row>
    <row r="31" spans="1:25">
      <c r="A31" s="175">
        <v>40</v>
      </c>
      <c r="B31" s="492" t="str">
        <f>+VLOOKUP($A31,Master!$D$27:$G$225,4,FALSE)</f>
        <v>Tekući izdaci</v>
      </c>
      <c r="C31" s="493"/>
      <c r="D31" s="493"/>
      <c r="E31" s="493"/>
      <c r="F31" s="493"/>
      <c r="G31" s="212">
        <f>+SUM(G32:G41)</f>
        <v>48787422.890000001</v>
      </c>
      <c r="H31" s="212">
        <f t="shared" ref="H31:R31" si="7">+SUM(H32:H41)</f>
        <v>54360657.889999993</v>
      </c>
      <c r="I31" s="212">
        <f t="shared" si="7"/>
        <v>94694994.250000015</v>
      </c>
      <c r="J31" s="212">
        <f t="shared" si="7"/>
        <v>62718552.04999999</v>
      </c>
      <c r="K31" s="212">
        <f t="shared" si="7"/>
        <v>66171008.000000007</v>
      </c>
      <c r="L31" s="212">
        <f t="shared" si="7"/>
        <v>70651416.859999999</v>
      </c>
      <c r="M31" s="212">
        <f t="shared" si="7"/>
        <v>61595859.939999998</v>
      </c>
      <c r="N31" s="212">
        <f t="shared" si="7"/>
        <v>53673085.449999981</v>
      </c>
      <c r="O31" s="212">
        <f t="shared" si="7"/>
        <v>61987012.159999996</v>
      </c>
      <c r="P31" s="212">
        <f t="shared" si="7"/>
        <v>64904767.019999996</v>
      </c>
      <c r="Q31" s="212">
        <f t="shared" si="7"/>
        <v>93889916.039999992</v>
      </c>
      <c r="R31" s="281">
        <f t="shared" si="7"/>
        <v>102865728.83</v>
      </c>
      <c r="S31" s="432">
        <f t="shared" si="3"/>
        <v>836300421.38</v>
      </c>
      <c r="T31" s="268">
        <f t="shared" si="4"/>
        <v>0.18162676107720707</v>
      </c>
    </row>
    <row r="32" spans="1:25">
      <c r="A32" s="175">
        <v>411</v>
      </c>
      <c r="B32" s="484" t="str">
        <f>+VLOOKUP($A32,Master!$D$27:$G$225,4,FALSE)</f>
        <v>Bruto zarade i doprinosi na teret poslodavca</v>
      </c>
      <c r="C32" s="485"/>
      <c r="D32" s="485"/>
      <c r="E32" s="485"/>
      <c r="F32" s="485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38350898.119999997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38983266.57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38163535.509999998</v>
      </c>
      <c r="P32" s="188">
        <f>+INDEX(DataEx!$1:$1048576,MATCH('2018'!$A32,DataEx!$D:$D,0),MATCH('2018'!P$6,DataEx!$7:$7,0))</f>
        <v>39555048.049999997</v>
      </c>
      <c r="Q32" s="188">
        <f>+INDEX(DataEx!$1:$1048576,MATCH('2018'!$A32,DataEx!$D:$D,0),MATCH('2018'!Q$6,DataEx!$7:$7,0))</f>
        <v>45304980.549999997</v>
      </c>
      <c r="R32" s="188">
        <f>+INDEX(DataEx!$1:$1048576,MATCH('2018'!$A32,DataEx!$D:$D,0),MATCH('2018'!R$6,DataEx!$7:$7,0))</f>
        <v>34820487.009999998</v>
      </c>
      <c r="S32" s="269">
        <f t="shared" si="3"/>
        <v>459796234.55000001</v>
      </c>
      <c r="T32" s="270">
        <f t="shared" si="4"/>
        <v>9.9858015973504188E-2</v>
      </c>
    </row>
    <row r="33" spans="1:22">
      <c r="A33" s="175">
        <v>412</v>
      </c>
      <c r="B33" s="484" t="str">
        <f>+VLOOKUP($A33,Master!$D$27:$G$225,4,FALSE)</f>
        <v>Ostala lična primanja</v>
      </c>
      <c r="C33" s="485"/>
      <c r="D33" s="485"/>
      <c r="E33" s="485"/>
      <c r="F33" s="485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1011368.26</v>
      </c>
      <c r="Q33" s="188">
        <f>+INDEX(DataEx!$1:$1048576,MATCH('2018'!$A33,DataEx!$D:$D,0),MATCH('2018'!Q$6,DataEx!$7:$7,0))</f>
        <v>1172083.78</v>
      </c>
      <c r="R33" s="188">
        <f>+INDEX(DataEx!$1:$1048576,MATCH('2018'!$A33,DataEx!$D:$D,0),MATCH('2018'!R$6,DataEx!$7:$7,0))</f>
        <v>3278096.68</v>
      </c>
      <c r="S33" s="269">
        <f t="shared" si="3"/>
        <v>13212940.209999999</v>
      </c>
      <c r="T33" s="270">
        <f t="shared" si="4"/>
        <v>2.8695711173851663E-3</v>
      </c>
      <c r="U33" s="367"/>
    </row>
    <row r="34" spans="1:22">
      <c r="A34" s="175">
        <v>413</v>
      </c>
      <c r="B34" s="484" t="str">
        <f>+VLOOKUP($A34,Master!$D$27:$G$225,4,FALSE)</f>
        <v>Rashodi za materijal</v>
      </c>
      <c r="C34" s="485"/>
      <c r="D34" s="485"/>
      <c r="E34" s="485"/>
      <c r="F34" s="485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2451684.9300000002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2861487.4</v>
      </c>
      <c r="N34" s="188">
        <f>+INDEX(DataEx!$1:$1048576,MATCH('2018'!$A34,DataEx!$D:$D,0),MATCH('2018'!N$6,DataEx!$7:$7,0))</f>
        <v>2382536.89</v>
      </c>
      <c r="O34" s="188">
        <f>+INDEX(DataEx!$1:$1048576,MATCH('2018'!$A34,DataEx!$D:$D,0),MATCH('2018'!O$6,DataEx!$7:$7,0))</f>
        <v>1934822.17</v>
      </c>
      <c r="P34" s="188">
        <f>+INDEX(DataEx!$1:$1048576,MATCH('2018'!$A34,DataEx!$D:$D,0),MATCH('2018'!P$6,DataEx!$7:$7,0))</f>
        <v>3004874.41</v>
      </c>
      <c r="Q34" s="188">
        <f>+INDEX(DataEx!$1:$1048576,MATCH('2018'!$A34,DataEx!$D:$D,0),MATCH('2018'!Q$6,DataEx!$7:$7,0))</f>
        <v>3035158.15</v>
      </c>
      <c r="R34" s="188">
        <f>+INDEX(DataEx!$1:$1048576,MATCH('2018'!$A34,DataEx!$D:$D,0),MATCH('2018'!R$6,DataEx!$7:$7,0))</f>
        <v>8916158.6899999995</v>
      </c>
      <c r="S34" s="269">
        <f t="shared" si="3"/>
        <v>36800964.899999999</v>
      </c>
      <c r="T34" s="270">
        <f t="shared" si="4"/>
        <v>7.9923911173851656E-3</v>
      </c>
      <c r="U34" s="385"/>
      <c r="V34" s="365"/>
    </row>
    <row r="35" spans="1:22">
      <c r="A35" s="175">
        <v>414</v>
      </c>
      <c r="B35" s="484" t="str">
        <f>+VLOOKUP($A35,Master!$D$27:$G$225,4,FALSE)</f>
        <v>Rashodi za usluge</v>
      </c>
      <c r="C35" s="485"/>
      <c r="D35" s="485"/>
      <c r="E35" s="485"/>
      <c r="F35" s="485"/>
      <c r="G35" s="188">
        <f>+INDEX(DataEx!$1:$1048576,MATCH('2018'!$A35,DataEx!$D:$D,0),MATCH('2018'!G$6,DataEx!$7:$7,0))</f>
        <v>1695715.73</v>
      </c>
      <c r="H35" s="188">
        <f>+INDEX(DataEx!$1:$1048576,MATCH('2018'!$A35,DataEx!$D:$D,0),MATCH('2018'!H$6,DataEx!$7:$7,0))</f>
        <v>3144208.56</v>
      </c>
      <c r="I35" s="188">
        <f>+INDEX(DataEx!$1:$1048576,MATCH('2018'!$A35,DataEx!$D:$D,0),MATCH('2018'!I$6,DataEx!$7:$7,0))</f>
        <v>4225810.8600000003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14378909.140000001</v>
      </c>
      <c r="M35" s="188">
        <f>+INDEX(DataEx!$1:$1048576,MATCH('2018'!$A35,DataEx!$D:$D,0),MATCH('2018'!M$6,DataEx!$7:$7,0))</f>
        <v>4958236.41</v>
      </c>
      <c r="N35" s="188">
        <f>+INDEX(DataEx!$1:$1048576,MATCH('2018'!$A35,DataEx!$D:$D,0),MATCH('2018'!N$6,DataEx!$7:$7,0))</f>
        <v>3624827.41</v>
      </c>
      <c r="O35" s="188">
        <f>+INDEX(DataEx!$1:$1048576,MATCH('2018'!$A35,DataEx!$D:$D,0),MATCH('2018'!O$6,DataEx!$7:$7,0))</f>
        <v>5520757.9299999997</v>
      </c>
      <c r="P35" s="188">
        <f>+INDEX(DataEx!$1:$1048576,MATCH('2018'!$A35,DataEx!$D:$D,0),MATCH('2018'!P$6,DataEx!$7:$7,0))</f>
        <v>5612259.6799999997</v>
      </c>
      <c r="Q35" s="188">
        <f>+INDEX(DataEx!$1:$1048576,MATCH('2018'!$A35,DataEx!$D:$D,0),MATCH('2018'!Q$6,DataEx!$7:$7,0))</f>
        <v>5170200.84</v>
      </c>
      <c r="R35" s="188">
        <f>+INDEX(DataEx!$1:$1048576,MATCH('2018'!$A35,DataEx!$D:$D,0),MATCH('2018'!R$6,DataEx!$7:$7,0))</f>
        <v>17427573.32</v>
      </c>
      <c r="S35" s="269">
        <f t="shared" si="3"/>
        <v>75237984.979999989</v>
      </c>
      <c r="T35" s="270">
        <f t="shared" si="4"/>
        <v>1.6340098812031707E-2</v>
      </c>
    </row>
    <row r="36" spans="1:22">
      <c r="A36" s="175">
        <v>415</v>
      </c>
      <c r="B36" s="484" t="str">
        <f>+VLOOKUP($A36,Master!$D$27:$G$225,4,FALSE)</f>
        <v>Rashodi za tekuće održavanje</v>
      </c>
      <c r="C36" s="485"/>
      <c r="D36" s="485"/>
      <c r="E36" s="485"/>
      <c r="F36" s="485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1702193.19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1765491.98</v>
      </c>
      <c r="N36" s="188">
        <f>+INDEX(DataEx!$1:$1048576,MATCH('2018'!$A36,DataEx!$D:$D,0),MATCH('2018'!N$6,DataEx!$7:$7,0))</f>
        <v>823314.3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1827701.36</v>
      </c>
      <c r="Q36" s="188">
        <f>+INDEX(DataEx!$1:$1048576,MATCH('2018'!$A36,DataEx!$D:$D,0),MATCH('2018'!Q$6,DataEx!$7:$7,0))</f>
        <v>1127698.73</v>
      </c>
      <c r="R36" s="188">
        <f>+INDEX(DataEx!$1:$1048576,MATCH('2018'!$A36,DataEx!$D:$D,0),MATCH('2018'!R$6,DataEx!$7:$7,0))</f>
        <v>4873366.55</v>
      </c>
      <c r="S36" s="269">
        <f t="shared" si="3"/>
        <v>20991789.91</v>
      </c>
      <c r="T36" s="270">
        <f t="shared" si="4"/>
        <v>4.5589727245086333E-3</v>
      </c>
    </row>
    <row r="37" spans="1:22">
      <c r="A37" s="175">
        <v>416</v>
      </c>
      <c r="B37" s="484" t="str">
        <f>+VLOOKUP($A37,Master!$D$27:$G$225,4,FALSE)</f>
        <v>Kamate</v>
      </c>
      <c r="C37" s="485"/>
      <c r="D37" s="485"/>
      <c r="E37" s="485"/>
      <c r="F37" s="485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8129668.5499999998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7493936.0099999998</v>
      </c>
      <c r="N37" s="188">
        <f>+INDEX(DataEx!$1:$1048576,MATCH('2018'!$A37,DataEx!$D:$D,0),MATCH('2018'!N$6,DataEx!$7:$7,0))</f>
        <v>1134154.94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1538688.3</v>
      </c>
      <c r="Q37" s="188">
        <f>+INDEX(DataEx!$1:$1048576,MATCH('2018'!$A37,DataEx!$D:$D,0),MATCH('2018'!Q$6,DataEx!$7:$7,0))</f>
        <v>4283049.2</v>
      </c>
      <c r="R37" s="188">
        <f>+INDEX(DataEx!$1:$1048576,MATCH('2018'!$A37,DataEx!$D:$D,0),MATCH('2018'!R$6,DataEx!$7:$7,0))</f>
        <v>5656669.4199999999</v>
      </c>
      <c r="S37" s="269">
        <f>+SUM(G37:R37)</f>
        <v>88646607.200000003</v>
      </c>
      <c r="T37" s="270">
        <f t="shared" si="4"/>
        <v>1.9252167922684332E-2</v>
      </c>
    </row>
    <row r="38" spans="1:22">
      <c r="A38" s="175">
        <v>417</v>
      </c>
      <c r="B38" s="484" t="str">
        <f>+VLOOKUP($A38,Master!$D$27:$G$225,4,FALSE)</f>
        <v>Renta</v>
      </c>
      <c r="C38" s="485"/>
      <c r="D38" s="485"/>
      <c r="E38" s="485"/>
      <c r="F38" s="485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824933.88</v>
      </c>
      <c r="N38" s="188">
        <f>+INDEX(DataEx!$1:$1048576,MATCH('2018'!$A38,DataEx!$D:$D,0),MATCH('2018'!N$6,DataEx!$7:$7,0))</f>
        <v>556574.75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1043096.71</v>
      </c>
      <c r="Q38" s="188">
        <f>+INDEX(DataEx!$1:$1048576,MATCH('2018'!$A38,DataEx!$D:$D,0),MATCH('2018'!Q$6,DataEx!$7:$7,0))</f>
        <v>584262.68000000005</v>
      </c>
      <c r="R38" s="188">
        <f>+INDEX(DataEx!$1:$1048576,MATCH('2018'!$A38,DataEx!$D:$D,0),MATCH('2018'!R$6,DataEx!$7:$7,0))</f>
        <v>2920206.78</v>
      </c>
      <c r="S38" s="269">
        <f t="shared" si="3"/>
        <v>11119206.969999999</v>
      </c>
      <c r="T38" s="270">
        <f t="shared" si="4"/>
        <v>2.4148565468563358E-3</v>
      </c>
    </row>
    <row r="39" spans="1:22">
      <c r="A39" s="175">
        <v>418</v>
      </c>
      <c r="B39" s="484" t="str">
        <f>+VLOOKUP($A39,Master!$D$27:$G$225,4,FALSE)</f>
        <v>Subvencije</v>
      </c>
      <c r="C39" s="485"/>
      <c r="D39" s="485"/>
      <c r="E39" s="485"/>
      <c r="F39" s="485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3547724.18</v>
      </c>
      <c r="Q39" s="188">
        <f>+INDEX(DataEx!$1:$1048576,MATCH('2018'!$A39,DataEx!$D:$D,0),MATCH('2018'!Q$6,DataEx!$7:$7,0))</f>
        <v>2265915.5499999998</v>
      </c>
      <c r="R39" s="188">
        <f>+INDEX(DataEx!$1:$1048576,MATCH('2018'!$A39,DataEx!$D:$D,0),MATCH('2018'!R$6,DataEx!$7:$7,0))</f>
        <v>6761395.8499999996</v>
      </c>
      <c r="S39" s="269">
        <f t="shared" si="3"/>
        <v>30560884.969999999</v>
      </c>
      <c r="T39" s="270">
        <f t="shared" si="4"/>
        <v>6.6371777543707241E-3</v>
      </c>
    </row>
    <row r="40" spans="1:22">
      <c r="A40" s="175">
        <v>419</v>
      </c>
      <c r="B40" s="484" t="str">
        <f>+VLOOKUP($A40,Master!$D$27:$G$225,4,FALSE)</f>
        <v>Ostali izdaci</v>
      </c>
      <c r="C40" s="485"/>
      <c r="D40" s="485"/>
      <c r="E40" s="485"/>
      <c r="F40" s="485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2890777.66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3638653.72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3201235.33</v>
      </c>
      <c r="P40" s="188">
        <f>+INDEX(DataEx!$1:$1048576,MATCH('2018'!$A40,DataEx!$D:$D,0),MATCH('2018'!P$6,DataEx!$7:$7,0))</f>
        <v>3108711.17</v>
      </c>
      <c r="Q40" s="188">
        <f>+INDEX(DataEx!$1:$1048576,MATCH('2018'!$A40,DataEx!$D:$D,0),MATCH('2018'!Q$6,DataEx!$7:$7,0))</f>
        <v>3357388.61</v>
      </c>
      <c r="R40" s="188">
        <f>+INDEX(DataEx!$1:$1048576,MATCH('2018'!$A40,DataEx!$D:$D,0),MATCH('2018'!R$6,DataEx!$7:$7,0))</f>
        <v>12270930.109999999</v>
      </c>
      <c r="S40" s="269">
        <f t="shared" si="3"/>
        <v>43611596.07</v>
      </c>
      <c r="T40" s="270">
        <f t="shared" si="4"/>
        <v>9.4715161407318924E-3</v>
      </c>
    </row>
    <row r="41" spans="1:22">
      <c r="A41" s="175">
        <v>440</v>
      </c>
      <c r="B41" s="484" t="str">
        <f>+VLOOKUP($A41,Master!$D$27:$G$225,4,FALSE)</f>
        <v>Kapitalni izdaci u tekućem budžetu</v>
      </c>
      <c r="C41" s="485"/>
      <c r="D41" s="485"/>
      <c r="E41" s="485"/>
      <c r="F41" s="485"/>
      <c r="G41" s="188">
        <f>+INDEX(DataEx!$1:$1048576,MATCH('2018'!$A41,DataEx!$D:$D,0),MATCH('2018'!G$6,DataEx!$7:$7,0))</f>
        <v>3164306.35</v>
      </c>
      <c r="H41" s="188">
        <f>+INDEX(DataEx!$1:$1048576,MATCH('2018'!$A41,DataEx!$D:$D,0),MATCH('2018'!H$6,DataEx!$7:$7,0))</f>
        <v>874187.86</v>
      </c>
      <c r="I41" s="188">
        <f>+INDEX(DataEx!$1:$1048576,MATCH('2018'!$A41,DataEx!$D:$D,0),MATCH('2018'!I$6,DataEx!$7:$7,0))</f>
        <v>1385420.74</v>
      </c>
      <c r="J41" s="188">
        <f>+INDEX(DataEx!$1:$1048576,MATCH('2018'!$A41,DataEx!$D:$D,0),MATCH('2018'!J$6,DataEx!$7:$7,0))</f>
        <v>1772827.43</v>
      </c>
      <c r="K41" s="188">
        <f>+INDEX(DataEx!$1:$1048576,MATCH('2018'!$A41,DataEx!$D:$D,0),MATCH('2018'!K$6,DataEx!$7:$7,0))</f>
        <v>2361781.61</v>
      </c>
      <c r="L41" s="188">
        <f>+INDEX(DataEx!$1:$1048576,MATCH('2018'!$A41,DataEx!$D:$D,0),MATCH('2018'!L$6,DataEx!$7:$7,0))</f>
        <v>3518258.03</v>
      </c>
      <c r="M41" s="188">
        <f>+INDEX(DataEx!$1:$1048576,MATCH('2018'!$A41,DataEx!$D:$D,0),MATCH('2018'!M$6,DataEx!$7:$7,0))</f>
        <v>1333103.1100000001</v>
      </c>
      <c r="N41" s="188">
        <f>+INDEX(DataEx!$1:$1048576,MATCH('2018'!$A41,DataEx!$D:$D,0),MATCH('2018'!N$6,DataEx!$7:$7,0))</f>
        <v>1880172.05</v>
      </c>
      <c r="O41" s="188">
        <f>+INDEX(DataEx!$1:$1048576,MATCH('2018'!$A41,DataEx!$D:$D,0),MATCH('2018'!O$6,DataEx!$7:$7,0))</f>
        <v>1846837.17</v>
      </c>
      <c r="P41" s="188">
        <f>+INDEX(DataEx!$1:$1048576,MATCH('2018'!$A41,DataEx!$D:$D,0),MATCH('2018'!P$6,DataEx!$7:$7,0))</f>
        <v>4655294.9000000004</v>
      </c>
      <c r="Q41" s="188">
        <f>+INDEX(DataEx!$1:$1048576,MATCH('2018'!$A41,DataEx!$D:$D,0),MATCH('2018'!Q$6,DataEx!$7:$7,0))</f>
        <v>27589177.949999999</v>
      </c>
      <c r="R41" s="188">
        <f>+INDEX(DataEx!$1:$1048576,MATCH('2018'!$A41,DataEx!$D:$D,0),MATCH('2018'!R$6,DataEx!$7:$7,0))</f>
        <v>5940844.4199999999</v>
      </c>
      <c r="S41" s="269">
        <f t="shared" si="3"/>
        <v>56322211.620000005</v>
      </c>
      <c r="T41" s="270">
        <f t="shared" si="4"/>
        <v>1.2231992967748942E-2</v>
      </c>
    </row>
    <row r="42" spans="1:22">
      <c r="A42" s="175">
        <v>42</v>
      </c>
      <c r="B42" s="480" t="str">
        <f>+VLOOKUP($A42,Master!$D$27:$G$225,4,FALSE)</f>
        <v>Transferi za socijalnu zaštitu</v>
      </c>
      <c r="C42" s="481"/>
      <c r="D42" s="481"/>
      <c r="E42" s="481"/>
      <c r="F42" s="481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47054124.259999998</v>
      </c>
      <c r="O42" s="218">
        <f t="shared" si="8"/>
        <v>45439390.599999994</v>
      </c>
      <c r="P42" s="218">
        <f t="shared" si="8"/>
        <v>45490648.009999998</v>
      </c>
      <c r="Q42" s="218">
        <f t="shared" si="8"/>
        <v>45937393.469999991</v>
      </c>
      <c r="R42" s="282">
        <f t="shared" si="8"/>
        <v>51388669.280000001</v>
      </c>
      <c r="S42" s="272">
        <f t="shared" si="3"/>
        <v>544485571.48000002</v>
      </c>
      <c r="T42" s="273">
        <f t="shared" si="4"/>
        <v>0.11825074850255185</v>
      </c>
    </row>
    <row r="43" spans="1:22">
      <c r="A43" s="175">
        <v>421</v>
      </c>
      <c r="B43" s="484" t="str">
        <f>+VLOOKUP($A43,Master!$D$27:$G$225,4,FALSE)</f>
        <v>Prava iz oblasti socijalne zaštite</v>
      </c>
      <c r="C43" s="485"/>
      <c r="D43" s="485"/>
      <c r="E43" s="485"/>
      <c r="F43" s="485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7143348.9900000002</v>
      </c>
      <c r="Q43" s="188">
        <f>+INDEX(DataEx!$1:$1048576,MATCH('2018'!$A43,DataEx!$D:$D,0),MATCH('2018'!Q$6,DataEx!$7:$7,0))</f>
        <v>7029331</v>
      </c>
      <c r="R43" s="188">
        <f>+INDEX(DataEx!$1:$1048576,MATCH('2018'!$A43,DataEx!$D:$D,0),MATCH('2018'!R$6,DataEx!$7:$7,0))</f>
        <v>10456885.15</v>
      </c>
      <c r="S43" s="269">
        <f t="shared" si="3"/>
        <v>82294784.480000004</v>
      </c>
      <c r="T43" s="270">
        <f t="shared" si="4"/>
        <v>1.7872686389401673E-2</v>
      </c>
    </row>
    <row r="44" spans="1:22">
      <c r="A44" s="175">
        <v>422</v>
      </c>
      <c r="B44" s="484" t="str">
        <f>+VLOOKUP($A44,Master!$D$27:$G$225,4,FALSE)</f>
        <v>Sredstva za tehnološke viškove</v>
      </c>
      <c r="C44" s="485"/>
      <c r="D44" s="485"/>
      <c r="E44" s="485"/>
      <c r="F44" s="485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1282662.6599999999</v>
      </c>
      <c r="Q44" s="188">
        <f>+INDEX(DataEx!$1:$1048576,MATCH('2018'!$A44,DataEx!$D:$D,0),MATCH('2018'!Q$6,DataEx!$7:$7,0))</f>
        <v>1131669.69</v>
      </c>
      <c r="R44" s="188">
        <f>+INDEX(DataEx!$1:$1048576,MATCH('2018'!$A44,DataEx!$D:$D,0),MATCH('2018'!R$6,DataEx!$7:$7,0))</f>
        <v>2795677.95</v>
      </c>
      <c r="S44" s="269">
        <f t="shared" si="3"/>
        <v>14196791.939999998</v>
      </c>
      <c r="T44" s="270">
        <f t="shared" si="4"/>
        <v>3.0832429015093927E-3</v>
      </c>
    </row>
    <row r="45" spans="1:22">
      <c r="A45" s="175">
        <v>423</v>
      </c>
      <c r="B45" s="484" t="str">
        <f>+VLOOKUP($A45,Master!$D$27:$G$225,4,FALSE)</f>
        <v>Prava iz oblasti penzijskog i invalidskog osiguranja</v>
      </c>
      <c r="C45" s="485"/>
      <c r="D45" s="485"/>
      <c r="E45" s="485"/>
      <c r="F45" s="485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34511618.530000001</v>
      </c>
      <c r="Q45" s="188">
        <f>+INDEX(DataEx!$1:$1048576,MATCH('2018'!$A45,DataEx!$D:$D,0),MATCH('2018'!Q$6,DataEx!$7:$7,0))</f>
        <v>34549297.82</v>
      </c>
      <c r="R45" s="188">
        <f>+INDEX(DataEx!$1:$1048576,MATCH('2018'!$A45,DataEx!$D:$D,0),MATCH('2018'!R$6,DataEx!$7:$7,0))</f>
        <v>34625437.600000001</v>
      </c>
      <c r="S45" s="269">
        <f t="shared" si="3"/>
        <v>414750265.80000001</v>
      </c>
      <c r="T45" s="270">
        <f t="shared" si="4"/>
        <v>9.0074984428276689E-2</v>
      </c>
    </row>
    <row r="46" spans="1:22">
      <c r="A46" s="175">
        <v>424</v>
      </c>
      <c r="B46" s="484" t="str">
        <f>+VLOOKUP($A46,Master!$D$27:$G$225,4,FALSE)</f>
        <v>Ostala prava iz oblasti zdravstvene zaštite</v>
      </c>
      <c r="C46" s="485"/>
      <c r="D46" s="485"/>
      <c r="E46" s="485"/>
      <c r="F46" s="485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1661059.04</v>
      </c>
      <c r="Q46" s="188">
        <f>+INDEX(DataEx!$1:$1048576,MATCH('2018'!$A46,DataEx!$D:$D,0),MATCH('2018'!Q$6,DataEx!$7:$7,0))</f>
        <v>2052677.16</v>
      </c>
      <c r="R46" s="188">
        <f>+INDEX(DataEx!$1:$1048576,MATCH('2018'!$A46,DataEx!$D:$D,0),MATCH('2018'!R$6,DataEx!$7:$7,0))</f>
        <v>2337551.12</v>
      </c>
      <c r="S46" s="269">
        <f t="shared" si="3"/>
        <v>20004829.280000001</v>
      </c>
      <c r="T46" s="270">
        <f t="shared" si="4"/>
        <v>4.3446257530676512E-3</v>
      </c>
    </row>
    <row r="47" spans="1:22">
      <c r="A47" s="175">
        <v>425</v>
      </c>
      <c r="B47" s="553" t="str">
        <f>+VLOOKUP($A47,Master!$D$27:$G$225,4,FALSE)</f>
        <v>Ostala prava iz zdravstvenog osiguranja</v>
      </c>
      <c r="C47" s="554"/>
      <c r="D47" s="554"/>
      <c r="E47" s="554"/>
      <c r="F47" s="554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3554670.62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891958.79</v>
      </c>
      <c r="Q47" s="188">
        <f>+INDEX(DataEx!$1:$1048576,MATCH('2018'!$A47,DataEx!$D:$D,0),MATCH('2018'!Q$6,DataEx!$7:$7,0))</f>
        <v>1174417.8</v>
      </c>
      <c r="R47" s="188">
        <f>+INDEX(DataEx!$1:$1048576,MATCH('2018'!$A47,DataEx!$D:$D,0),MATCH('2018'!R$6,DataEx!$7:$7,0))</f>
        <v>1173117.46</v>
      </c>
      <c r="S47" s="269">
        <f t="shared" si="3"/>
        <v>13238899.98</v>
      </c>
      <c r="T47" s="270">
        <f t="shared" si="4"/>
        <v>2.875209030296449E-3</v>
      </c>
    </row>
    <row r="48" spans="1:22">
      <c r="A48" s="175">
        <v>43</v>
      </c>
      <c r="B48" s="482" t="str">
        <f>+VLOOKUP($A48,Master!$D$27:$G$225,4,FALSE)</f>
        <v xml:space="preserve">Transferi institucijama, pojedincima, nevladinom i javnom sektoru </v>
      </c>
      <c r="C48" s="483"/>
      <c r="D48" s="483"/>
      <c r="E48" s="483"/>
      <c r="F48" s="483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15698178.050000001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16865431.859999999</v>
      </c>
      <c r="Q48" s="200">
        <f>+INDEX(DataEx!$1:$1048576,MATCH('2018'!$A48,DataEx!$D:$D,0),MATCH('2018'!Q$6,DataEx!$7:$7,0))</f>
        <v>17575098.66</v>
      </c>
      <c r="R48" s="274">
        <f>+INDEX(DataEx!$1:$1048576,MATCH('2018'!$A48,DataEx!$D:$D,0),MATCH('2018'!R$6,DataEx!$7:$7,0))</f>
        <v>33426737.670000002</v>
      </c>
      <c r="S48" s="272">
        <f t="shared" si="3"/>
        <v>208729620.21999997</v>
      </c>
      <c r="T48" s="273">
        <f t="shared" si="4"/>
        <v>4.5331658208274506E-2</v>
      </c>
    </row>
    <row r="49" spans="1:22">
      <c r="A49" s="175">
        <v>44</v>
      </c>
      <c r="B49" s="482" t="str">
        <f>+VLOOKUP($A49,Master!$D$27:$G$225,4,FALSE)</f>
        <v>Kapitalni budžet</v>
      </c>
      <c r="C49" s="483"/>
      <c r="D49" s="483"/>
      <c r="E49" s="483"/>
      <c r="F49" s="483"/>
      <c r="G49" s="200">
        <f>+INDEX(DataEx!$1:$1048576,MATCH('2018'!$A49,DataEx!$D:$D,0),MATCH('2018'!G$6,DataEx!$7:$7,0))</f>
        <v>2163260.08</v>
      </c>
      <c r="H49" s="200">
        <f>+INDEX(DataEx!$1:$1048576,MATCH('2018'!$A49,DataEx!$D:$D,0),MATCH('2018'!H$6,DataEx!$7:$7,0))</f>
        <v>3337170.39</v>
      </c>
      <c r="I49" s="200">
        <f>+INDEX(DataEx!$1:$1048576,MATCH('2018'!$A49,DataEx!$D:$D,0),MATCH('2018'!I$6,DataEx!$7:$7,0))</f>
        <v>11819290.74</v>
      </c>
      <c r="J49" s="200">
        <f>+INDEX(DataEx!$1:$1048576,MATCH('2018'!$A49,DataEx!$D:$D,0),MATCH('2018'!J$6,DataEx!$7:$7,0))</f>
        <v>29570153.77</v>
      </c>
      <c r="K49" s="200">
        <f>+INDEX(DataEx!$1:$1048576,MATCH('2018'!$A49,DataEx!$D:$D,0),MATCH('2018'!K$6,DataEx!$7:$7,0))</f>
        <v>13043534.289999999</v>
      </c>
      <c r="L49" s="200">
        <f>+INDEX(DataEx!$1:$1048576,MATCH('2018'!$A49,DataEx!$D:$D,0),MATCH('2018'!L$6,DataEx!$7:$7,0))</f>
        <v>23764039.27</v>
      </c>
      <c r="M49" s="200">
        <f>+INDEX(DataEx!$1:$1048576,MATCH('2018'!$A49,DataEx!$D:$D,0),MATCH('2018'!M$6,DataEx!$7:$7,0))</f>
        <v>23502059.140000001</v>
      </c>
      <c r="N49" s="200">
        <f>+INDEX(DataEx!$1:$1048576,MATCH('2018'!$A49,DataEx!$D:$D,0),MATCH('2018'!N$6,DataEx!$7:$7,0))</f>
        <v>7969058.6900000004</v>
      </c>
      <c r="O49" s="200">
        <f>+INDEX(DataEx!$1:$1048576,MATCH('2018'!$A49,DataEx!$D:$D,0),MATCH('2018'!O$6,DataEx!$7:$7,0))</f>
        <v>39845946.350000001</v>
      </c>
      <c r="P49" s="200">
        <f>+INDEX(DataEx!$1:$1048576,MATCH('2018'!$A49,DataEx!$D:$D,0),MATCH('2018'!P$6,DataEx!$7:$7,0))</f>
        <v>28551193.390000001</v>
      </c>
      <c r="Q49" s="200">
        <f>+INDEX(DataEx!$1:$1048576,MATCH('2018'!$A49,DataEx!$D:$D,0),MATCH('2018'!Q$6,DataEx!$7:$7,0))</f>
        <v>25822537.190000001</v>
      </c>
      <c r="R49" s="200">
        <f>+INDEX(DataEx!$1:$1048576,MATCH('2018'!$A49,DataEx!$D:$D,0),MATCH('2018'!R$6,DataEx!$7:$7,0))</f>
        <v>55311184</v>
      </c>
      <c r="S49" s="272">
        <f t="shared" si="3"/>
        <v>264699427.30000001</v>
      </c>
      <c r="T49" s="273">
        <f t="shared" si="4"/>
        <v>5.7487116364426105E-2</v>
      </c>
    </row>
    <row r="50" spans="1:22">
      <c r="A50" s="175">
        <v>451</v>
      </c>
      <c r="B50" s="547" t="str">
        <f>+VLOOKUP($A50,Master!$D$27:$G$225,4,FALSE)</f>
        <v>Pozajmice i krediti</v>
      </c>
      <c r="C50" s="548"/>
      <c r="D50" s="548"/>
      <c r="E50" s="548"/>
      <c r="F50" s="548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80000</v>
      </c>
      <c r="Q50" s="188">
        <f>+INDEX(DataEx!$1:$1048576,MATCH('2018'!$A50,DataEx!$D:$D,0),MATCH('2018'!Q$6,DataEx!$7:$7,0))</f>
        <v>305000</v>
      </c>
      <c r="R50" s="188">
        <f>+INDEX(DataEx!$1:$1048576,MATCH('2018'!$A50,DataEx!$D:$D,0),MATCH('2018'!R$6,DataEx!$7:$7,0))</f>
        <v>2267088</v>
      </c>
      <c r="S50" s="269">
        <f t="shared" si="3"/>
        <v>4596369</v>
      </c>
      <c r="T50" s="270">
        <f t="shared" si="4"/>
        <v>9.9823411879682911E-4</v>
      </c>
    </row>
    <row r="51" spans="1:22">
      <c r="A51" s="175">
        <v>47</v>
      </c>
      <c r="B51" s="452" t="str">
        <f>+VLOOKUP($A51,Master!$D$27:$G$225,4,FALSE)</f>
        <v>Rezerve</v>
      </c>
      <c r="C51" s="453"/>
      <c r="D51" s="453"/>
      <c r="E51" s="453"/>
      <c r="F51" s="453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1798952.01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559184.78</v>
      </c>
      <c r="Q51" s="188">
        <f>+INDEX(DataEx!$1:$1048576,MATCH('2018'!$A51,DataEx!$D:$D,0),MATCH('2018'!Q$6,DataEx!$7:$7,0))</f>
        <v>1953551.9</v>
      </c>
      <c r="R51" s="188">
        <f>+INDEX(DataEx!$1:$1048576,MATCH('2018'!$A51,DataEx!$D:$D,0),MATCH('2018'!R$6,DataEx!$7:$7,0))</f>
        <v>8699001.4000000004</v>
      </c>
      <c r="S51" s="269">
        <f t="shared" si="3"/>
        <v>23887500.050000001</v>
      </c>
      <c r="T51" s="270">
        <f t="shared" si="4"/>
        <v>5.187859713323922E-3</v>
      </c>
    </row>
    <row r="52" spans="1:22" ht="13.5" thickBot="1">
      <c r="A52" s="175">
        <v>462</v>
      </c>
      <c r="B52" s="470" t="str">
        <f>+VLOOKUP($A52,Master!$D$27:$G$225,4,FALSE)</f>
        <v>Otplata garancija</v>
      </c>
      <c r="C52" s="471"/>
      <c r="D52" s="471"/>
      <c r="E52" s="471"/>
      <c r="F52" s="471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49" t="str">
        <f>+VLOOKUP($A53,Master!$D$27:$G$225,4,TRUE)</f>
        <v>Otplata obaveza iz prethodnih godina</v>
      </c>
      <c r="C53" s="550"/>
      <c r="D53" s="550"/>
      <c r="E53" s="550"/>
      <c r="F53" s="550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2489375.33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4566064.25</v>
      </c>
      <c r="N53" s="224">
        <f>+INDEX(DataEx!$1:$1048576,MATCH('2018'!$A53,DataEx!$D:$D,0),MATCH('2018'!N$6,DataEx!$7:$7,0))</f>
        <v>962361.47</v>
      </c>
      <c r="O53" s="224">
        <f>+INDEX(DataEx!$1:$1048576,MATCH('2018'!$A53,DataEx!$D:$D,0),MATCH('2018'!O$6,DataEx!$7:$7,0))</f>
        <v>895331.03</v>
      </c>
      <c r="P53" s="224">
        <f>+INDEX(DataEx!$1:$1048576,MATCH('2018'!$A53,DataEx!$D:$D,0),MATCH('2018'!P$6,DataEx!$7:$7,0))</f>
        <v>1966075.9</v>
      </c>
      <c r="Q53" s="224">
        <f>+INDEX(DataEx!$1:$1048576,MATCH('2018'!$A53,DataEx!$D:$D,0),MATCH('2018'!Q$6,DataEx!$7:$7,0))</f>
        <v>1659582.3</v>
      </c>
      <c r="R53" s="224">
        <f>+INDEX(DataEx!$1:$1048576,MATCH('2018'!$A53,DataEx!$D:$D,0),MATCH('2018'!R$6,DataEx!$7:$7,0))</f>
        <v>1173790.67</v>
      </c>
      <c r="S53" s="433">
        <f>+SUM(G53:R53)</f>
        <v>22887327.229999997</v>
      </c>
      <c r="T53" s="284">
        <f>+S53/$T$7</f>
        <v>4.9706433336952974E-3</v>
      </c>
    </row>
    <row r="54" spans="1:22" ht="13.5" thickBot="1">
      <c r="A54" s="71">
        <v>1005</v>
      </c>
      <c r="B54" s="551" t="str">
        <f>+VLOOKUP($A54,Master!$D$27:$G$227,4,FALSE)</f>
        <v>Neto povećanje obaveza</v>
      </c>
      <c r="C54" s="552"/>
      <c r="D54" s="552"/>
      <c r="E54" s="552"/>
      <c r="F54" s="552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6" t="str">
        <f>+VLOOKUP($A55,Master!$D$27:$G$225,4,FALSE)</f>
        <v>Suficit / deficit</v>
      </c>
      <c r="C55" s="477"/>
      <c r="D55" s="477"/>
      <c r="E55" s="477"/>
      <c r="F55" s="477"/>
      <c r="G55" s="176">
        <f t="shared" ref="G55:R55" si="9">+G10-G29</f>
        <v>-24582428.059999987</v>
      </c>
      <c r="H55" s="176">
        <f t="shared" si="9"/>
        <v>-11928731.069999993</v>
      </c>
      <c r="I55" s="176">
        <f t="shared" si="9"/>
        <v>-33584638.360000014</v>
      </c>
      <c r="J55" s="176">
        <f t="shared" si="9"/>
        <v>2604042.3600000441</v>
      </c>
      <c r="K55" s="176">
        <f t="shared" si="9"/>
        <v>-2919925.2200000286</v>
      </c>
      <c r="L55" s="176">
        <f t="shared" si="9"/>
        <v>-21395060.979999989</v>
      </c>
      <c r="M55" s="176">
        <f t="shared" si="9"/>
        <v>4716324.8900000155</v>
      </c>
      <c r="N55" s="176">
        <f t="shared" si="9"/>
        <v>34062088.38000004</v>
      </c>
      <c r="O55" s="176">
        <f t="shared" si="9"/>
        <v>21196076.160000026</v>
      </c>
      <c r="P55" s="176">
        <f t="shared" si="9"/>
        <v>-12632346.50999999</v>
      </c>
      <c r="Q55" s="176">
        <f t="shared" si="9"/>
        <v>-44321144.950000018</v>
      </c>
      <c r="R55" s="176">
        <f t="shared" si="9"/>
        <v>-70658591.820000023</v>
      </c>
      <c r="S55" s="285">
        <f t="shared" si="3"/>
        <v>-159444335.17999992</v>
      </c>
      <c r="T55" s="286">
        <f t="shared" si="4"/>
        <v>-3.4627936840047759E-2</v>
      </c>
    </row>
    <row r="56" spans="1:22" ht="13.5" thickBot="1">
      <c r="A56" s="169">
        <v>1001</v>
      </c>
      <c r="B56" s="478" t="str">
        <f>+VLOOKUP($A56,Master!$D$27:$G$225,4,FALSE)</f>
        <v>Primarni bilans</v>
      </c>
      <c r="C56" s="479"/>
      <c r="D56" s="479"/>
      <c r="E56" s="479"/>
      <c r="F56" s="479"/>
      <c r="G56" s="230">
        <f>+G55+G37</f>
        <v>-20258350.509999987</v>
      </c>
      <c r="H56" s="230">
        <f t="shared" ref="H56:R56" si="10">+H55+H37</f>
        <v>-10877929.839999992</v>
      </c>
      <c r="I56" s="230">
        <f t="shared" si="10"/>
        <v>5930038.3499999866</v>
      </c>
      <c r="J56" s="230">
        <f t="shared" si="10"/>
        <v>10733710.910000045</v>
      </c>
      <c r="K56" s="230">
        <f t="shared" si="10"/>
        <v>7144883.8399999719</v>
      </c>
      <c r="L56" s="230">
        <f t="shared" si="10"/>
        <v>-19556340.34999999</v>
      </c>
      <c r="M56" s="230">
        <f t="shared" si="10"/>
        <v>12210260.900000015</v>
      </c>
      <c r="N56" s="230">
        <f t="shared" si="10"/>
        <v>35196243.320000038</v>
      </c>
      <c r="O56" s="230">
        <f t="shared" si="10"/>
        <v>24813431.760000028</v>
      </c>
      <c r="P56" s="230">
        <f t="shared" si="10"/>
        <v>-11093658.20999999</v>
      </c>
      <c r="Q56" s="230">
        <f t="shared" si="10"/>
        <v>-40038095.750000015</v>
      </c>
      <c r="R56" s="230">
        <f t="shared" si="10"/>
        <v>-65001922.400000021</v>
      </c>
      <c r="S56" s="285">
        <f t="shared" si="3"/>
        <v>-70797727.979999915</v>
      </c>
      <c r="T56" s="286">
        <f t="shared" si="4"/>
        <v>-1.537576891736343E-2</v>
      </c>
    </row>
    <row r="57" spans="1:22">
      <c r="A57" s="169">
        <v>46</v>
      </c>
      <c r="B57" s="545" t="str">
        <f>+VLOOKUP($A57,Master!$D$27:$G$225,4,FALSE)</f>
        <v>Otplata dugova</v>
      </c>
      <c r="C57" s="546"/>
      <c r="D57" s="546"/>
      <c r="E57" s="546"/>
      <c r="F57" s="546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382332471.99000001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98580105.140000001</v>
      </c>
      <c r="O57" s="218">
        <f t="shared" si="11"/>
        <v>17423705.899999999</v>
      </c>
      <c r="P57" s="218">
        <f t="shared" si="11"/>
        <v>6031992.4700000007</v>
      </c>
      <c r="Q57" s="218">
        <f t="shared" si="11"/>
        <v>9590322.8100000005</v>
      </c>
      <c r="R57" s="218">
        <f t="shared" si="11"/>
        <v>10911687.780000001</v>
      </c>
      <c r="S57" s="287">
        <f t="shared" si="3"/>
        <v>696281459.90999997</v>
      </c>
      <c r="T57" s="288">
        <f t="shared" si="4"/>
        <v>0.15121760449777391</v>
      </c>
      <c r="V57" s="383"/>
    </row>
    <row r="58" spans="1:22">
      <c r="A58" s="169">
        <v>4611</v>
      </c>
      <c r="B58" s="468" t="str">
        <f>+VLOOKUP($A58,Master!$D$27:$G$225,4,FALSE)</f>
        <v>Otplata hartija od vrijednosti i kredita rezidentima</v>
      </c>
      <c r="C58" s="469"/>
      <c r="D58" s="469"/>
      <c r="E58" s="469"/>
      <c r="F58" s="469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95932773.739999995</v>
      </c>
      <c r="O58" s="236">
        <f>+INDEX(DataEx!$1:$1048576,MATCH('2018'!$A58,DataEx!$D:$D,0),MATCH('2018'!O$6,DataEx!$7:$7,0))</f>
        <v>1208382.96</v>
      </c>
      <c r="P58" s="236">
        <f>+INDEX(DataEx!$1:$1048576,MATCH('2018'!$A58,DataEx!$D:$D,0),MATCH('2018'!P$6,DataEx!$7:$7,0))</f>
        <v>2260146.02</v>
      </c>
      <c r="Q58" s="236">
        <f>+INDEX(DataEx!$1:$1048576,MATCH('2018'!$A58,DataEx!$D:$D,0),MATCH('2018'!Q$6,DataEx!$7:$7,0))</f>
        <v>834069.65</v>
      </c>
      <c r="R58" s="236">
        <f>+INDEX(DataEx!$1:$1048576,MATCH('2018'!$A58,DataEx!$D:$D,0),MATCH('2018'!R$6,DataEx!$7:$7,0))</f>
        <v>2202164.71</v>
      </c>
      <c r="S58" s="289">
        <f t="shared" si="3"/>
        <v>234823593.10000002</v>
      </c>
      <c r="T58" s="290">
        <f t="shared" si="4"/>
        <v>5.099871714626996E-2</v>
      </c>
    </row>
    <row r="59" spans="1:22" ht="13.5" thickBot="1">
      <c r="A59" s="169">
        <v>4612</v>
      </c>
      <c r="B59" s="452" t="str">
        <f>+VLOOKUP($A59,Master!$D$27:$G$225,4,FALSE)</f>
        <v>Otplata hartija od vrijednosti i kredita nerezidentima</v>
      </c>
      <c r="C59" s="453"/>
      <c r="D59" s="453"/>
      <c r="E59" s="453"/>
      <c r="F59" s="453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380100813.48000002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2647331.4</v>
      </c>
      <c r="O59" s="236">
        <f>+INDEX(DataEx!$1:$1048576,MATCH('2018'!$A59,DataEx!$D:$D,0),MATCH('2018'!O$6,DataEx!$7:$7,0))</f>
        <v>16215322.939999999</v>
      </c>
      <c r="P59" s="236">
        <f>+INDEX(DataEx!$1:$1048576,MATCH('2018'!$A59,DataEx!$D:$D,0),MATCH('2018'!P$6,DataEx!$7:$7,0))</f>
        <v>3771846.45</v>
      </c>
      <c r="Q59" s="236">
        <f>+INDEX(DataEx!$1:$1048576,MATCH('2018'!$A59,DataEx!$D:$D,0),MATCH('2018'!Q$6,DataEx!$7:$7,0))</f>
        <v>8756253.1600000001</v>
      </c>
      <c r="R59" s="236">
        <f>+INDEX(DataEx!$1:$1048576,MATCH('2018'!$A59,DataEx!$D:$D,0),MATCH('2018'!R$6,DataEx!$7:$7,0))</f>
        <v>8709523.0700000003</v>
      </c>
      <c r="S59" s="289">
        <f t="shared" si="3"/>
        <v>461457866.81</v>
      </c>
      <c r="T59" s="290">
        <f t="shared" si="4"/>
        <v>0.10021888735150396</v>
      </c>
      <c r="V59" s="395"/>
    </row>
    <row r="60" spans="1:22" ht="13.5" thickBot="1">
      <c r="A60" s="169">
        <v>4418</v>
      </c>
      <c r="B60" s="488" t="s">
        <v>772</v>
      </c>
      <c r="C60" s="489"/>
      <c r="D60" s="489"/>
      <c r="E60" s="489"/>
      <c r="F60" s="489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305701.3</v>
      </c>
      <c r="S60" s="287">
        <f>SUM(G60:R60)</f>
        <v>69245296.659999996</v>
      </c>
      <c r="T60" s="288">
        <f>+S60/$T$7</f>
        <v>1.5038613673580193E-2</v>
      </c>
      <c r="V60" s="395"/>
    </row>
    <row r="61" spans="1:22" ht="13.5" thickBot="1">
      <c r="A61" s="169">
        <v>1002</v>
      </c>
      <c r="B61" s="472" t="str">
        <f>+VLOOKUP($A61,Master!$D$27:$G$225,4,FALSE)</f>
        <v>Nedostajuća sredstva</v>
      </c>
      <c r="C61" s="473"/>
      <c r="D61" s="473"/>
      <c r="E61" s="473"/>
      <c r="F61" s="473"/>
      <c r="G61" s="242">
        <f>+G55-G57-G60</f>
        <v>-50782593.039999992</v>
      </c>
      <c r="H61" s="242">
        <f t="shared" ref="H61:R61" si="12">+H55-H57-H60</f>
        <v>-66417702.829999991</v>
      </c>
      <c r="I61" s="242">
        <f t="shared" si="12"/>
        <v>-52650662.850000016</v>
      </c>
      <c r="J61" s="242">
        <f t="shared" si="12"/>
        <v>-379728429.63</v>
      </c>
      <c r="K61" s="242">
        <f t="shared" si="12"/>
        <v>-86620216.340000033</v>
      </c>
      <c r="L61" s="242">
        <f t="shared" si="12"/>
        <v>-34324611.789999992</v>
      </c>
      <c r="M61" s="242">
        <f t="shared" si="12"/>
        <v>-39249441.129999988</v>
      </c>
      <c r="N61" s="242">
        <f t="shared" si="12"/>
        <v>-64518016.759999961</v>
      </c>
      <c r="O61" s="242">
        <f t="shared" si="12"/>
        <v>3772370.2600000277</v>
      </c>
      <c r="P61" s="242">
        <f t="shared" si="12"/>
        <v>-18664338.979999989</v>
      </c>
      <c r="Q61" s="242">
        <f t="shared" si="12"/>
        <v>-53911467.76000002</v>
      </c>
      <c r="R61" s="242">
        <f t="shared" si="12"/>
        <v>-81875980.900000021</v>
      </c>
      <c r="S61" s="291">
        <f t="shared" si="3"/>
        <v>-924971091.75</v>
      </c>
      <c r="T61" s="292">
        <f t="shared" si="4"/>
        <v>-0.20088415501140189</v>
      </c>
    </row>
    <row r="62" spans="1:22" ht="13.5" thickBot="1">
      <c r="A62" s="169">
        <v>1003</v>
      </c>
      <c r="B62" s="474" t="str">
        <f>+VLOOKUP($A62,Master!$D$27:$G$225,4,FALSE)</f>
        <v>Finansiranje</v>
      </c>
      <c r="C62" s="475"/>
      <c r="D62" s="475"/>
      <c r="E62" s="475"/>
      <c r="F62" s="475"/>
      <c r="G62" s="176">
        <f>+SUM(G63:G66)</f>
        <v>50782593.039999992</v>
      </c>
      <c r="H62" s="176">
        <f t="shared" ref="H62:R62" si="13">+SUM(H63:H66)</f>
        <v>66417702.829999991</v>
      </c>
      <c r="I62" s="176">
        <f t="shared" si="13"/>
        <v>52650662.850000016</v>
      </c>
      <c r="J62" s="176">
        <f t="shared" si="13"/>
        <v>379728429.63</v>
      </c>
      <c r="K62" s="176">
        <f t="shared" si="13"/>
        <v>86620216.340000033</v>
      </c>
      <c r="L62" s="176">
        <f t="shared" si="13"/>
        <v>34324611.789999992</v>
      </c>
      <c r="M62" s="176">
        <f t="shared" si="13"/>
        <v>39249441.129999988</v>
      </c>
      <c r="N62" s="176">
        <f t="shared" si="13"/>
        <v>64518016.759999961</v>
      </c>
      <c r="O62" s="176">
        <f t="shared" si="13"/>
        <v>-3772370.2600000277</v>
      </c>
      <c r="P62" s="176">
        <f t="shared" si="13"/>
        <v>18664338.979999989</v>
      </c>
      <c r="Q62" s="176">
        <f t="shared" si="13"/>
        <v>53911467.76000002</v>
      </c>
      <c r="R62" s="176">
        <f t="shared" si="13"/>
        <v>81875980.900000021</v>
      </c>
      <c r="S62" s="293">
        <f t="shared" si="3"/>
        <v>924971091.75</v>
      </c>
      <c r="T62" s="294">
        <f t="shared" si="4"/>
        <v>0.20088415501140189</v>
      </c>
    </row>
    <row r="63" spans="1:22">
      <c r="A63" s="169">
        <v>7511</v>
      </c>
      <c r="B63" s="468" t="str">
        <f>+VLOOKUP($A63,Master!$D$27:$G$225,4,FALSE)</f>
        <v>Pozajmice i krediti od domaćih izvora</v>
      </c>
      <c r="C63" s="469"/>
      <c r="D63" s="469"/>
      <c r="E63" s="469"/>
      <c r="F63" s="469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91357443.420000002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59000000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213600000</v>
      </c>
      <c r="T63" s="290">
        <f t="shared" si="4"/>
        <v>4.638940167227712E-2</v>
      </c>
    </row>
    <row r="64" spans="1:22">
      <c r="A64" s="169">
        <v>7512</v>
      </c>
      <c r="B64" s="452" t="str">
        <f>+VLOOKUP($A64,Master!$D$27:$G$225,4,FALSE)</f>
        <v>Pozajmice i krediti od inostranih izvora</v>
      </c>
      <c r="C64" s="453"/>
      <c r="D64" s="453"/>
      <c r="E64" s="453"/>
      <c r="F64" s="453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5273085.6500000004</v>
      </c>
      <c r="J64" s="236">
        <f>+INDEX(DataEx!$1:$1048576,MATCH('2018'!$A64,DataEx!$D:$D,0),MATCH('2018'!J$6,DataEx!$7:$7,0))</f>
        <v>494250833.62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266189636.84999999</v>
      </c>
      <c r="M64" s="236">
        <f>+INDEX(DataEx!$1:$1048576,MATCH('2018'!$A64,DataEx!$D:$D,0),MATCH('2018'!M$6,DataEx!$7:$7,0))</f>
        <v>15363581.189999999</v>
      </c>
      <c r="N64" s="236">
        <f>+INDEX(DataEx!$1:$1048576,MATCH('2018'!$A64,DataEx!$D:$D,0),MATCH('2018'!N$6,DataEx!$7:$7,0))</f>
        <v>13117458.42</v>
      </c>
      <c r="O64" s="236">
        <f>+INDEX(DataEx!$1:$1048576,MATCH('2018'!$A64,DataEx!$D:$D,0),MATCH('2018'!O$6,DataEx!$7:$7,0))</f>
        <v>16543113.73</v>
      </c>
      <c r="P64" s="236">
        <f>+INDEX(DataEx!$1:$1048576,MATCH('2018'!$A64,DataEx!$D:$D,0),MATCH('2018'!P$6,DataEx!$7:$7,0))</f>
        <v>18813731.219999999</v>
      </c>
      <c r="Q64" s="236">
        <f>+INDEX(DataEx!$1:$1048576,MATCH('2018'!$A64,DataEx!$D:$D,0),MATCH('2018'!Q$6,DataEx!$7:$7,0))</f>
        <v>38823788.329999998</v>
      </c>
      <c r="R64" s="236">
        <f>+INDEX(DataEx!$1:$1048576,MATCH('2018'!$A64,DataEx!$D:$D,0),MATCH('2018'!R$6,DataEx!$7:$7,0))</f>
        <v>23679982.34</v>
      </c>
      <c r="S64" s="289">
        <f t="shared" si="3"/>
        <v>900139686.06000018</v>
      </c>
      <c r="T64" s="290">
        <f t="shared" si="4"/>
        <v>0.19549129895971337</v>
      </c>
    </row>
    <row r="65" spans="1:20">
      <c r="A65" s="169">
        <v>72</v>
      </c>
      <c r="B65" s="452" t="str">
        <f>+VLOOKUP($A65,Master!$D$27:$G$225,4,FALSE)</f>
        <v>Primici od prodaje imovine</v>
      </c>
      <c r="C65" s="453"/>
      <c r="D65" s="453"/>
      <c r="E65" s="453"/>
      <c r="F65" s="453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257929.95</v>
      </c>
      <c r="O65" s="236">
        <f>+INDEX(DataEx!$1:$1048576,MATCH('2018'!$A65,DataEx!$D:$D,0),MATCH('2018'!O$6,DataEx!$7:$7,0))</f>
        <v>223709.29</v>
      </c>
      <c r="P65" s="236">
        <f>+INDEX(DataEx!$1:$1048576,MATCH('2018'!$A65,DataEx!$D:$D,0),MATCH('2018'!P$6,DataEx!$7:$7,0))</f>
        <v>158760.32999999999</v>
      </c>
      <c r="Q65" s="236">
        <f>+INDEX(DataEx!$1:$1048576,MATCH('2018'!$A65,DataEx!$D:$D,0),MATCH('2018'!Q$6,DataEx!$7:$7,0))</f>
        <v>314684.94</v>
      </c>
      <c r="R65" s="236">
        <f>+INDEX(DataEx!$1:$1048576,MATCH('2018'!$A65,DataEx!$D:$D,0),MATCH('2018'!R$6,DataEx!$7:$7,0))</f>
        <v>998458.94</v>
      </c>
      <c r="S65" s="289">
        <f t="shared" si="3"/>
        <v>15749081.709999999</v>
      </c>
      <c r="T65" s="290">
        <f t="shared" si="4"/>
        <v>3.4203674036268864E-3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25889656.43999999</v>
      </c>
      <c r="H66" s="250">
        <f t="shared" ref="H66:R66" si="14">-H61-SUM(H63:H65)</f>
        <v>-25403865.970000006</v>
      </c>
      <c r="I66" s="250">
        <f t="shared" si="14"/>
        <v>24327705.940000013</v>
      </c>
      <c r="J66" s="250">
        <f t="shared" si="14"/>
        <v>-114630677.10000002</v>
      </c>
      <c r="K66" s="250">
        <f t="shared" si="14"/>
        <v>78731298.080000028</v>
      </c>
      <c r="L66" s="250">
        <f t="shared" si="14"/>
        <v>-242177142.19000003</v>
      </c>
      <c r="M66" s="250">
        <f t="shared" si="14"/>
        <v>5479532.1299999878</v>
      </c>
      <c r="N66" s="250">
        <f t="shared" si="14"/>
        <v>-7857371.6100000441</v>
      </c>
      <c r="O66" s="250">
        <f t="shared" si="14"/>
        <v>-20539193.280000027</v>
      </c>
      <c r="P66" s="250">
        <f t="shared" si="14"/>
        <v>-308152.57000000775</v>
      </c>
      <c r="Q66" s="250">
        <f t="shared" si="14"/>
        <v>14772994.490000024</v>
      </c>
      <c r="R66" s="250">
        <f t="shared" si="14"/>
        <v>57197539.62000002</v>
      </c>
      <c r="S66" s="295">
        <f>+SUM(G66:R66)</f>
        <v>-204517676.02000004</v>
      </c>
      <c r="T66" s="296">
        <f t="shared" si="4"/>
        <v>-4.4416913024215451E-2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37" t="str">
        <f>+Master!G252</f>
        <v>Plan ostvarenja budžeta</v>
      </c>
      <c r="C102" s="538"/>
      <c r="D102" s="538"/>
      <c r="E102" s="538"/>
      <c r="F102" s="538"/>
      <c r="G102" s="530">
        <v>2018</v>
      </c>
      <c r="H102" s="531"/>
      <c r="I102" s="531"/>
      <c r="J102" s="531"/>
      <c r="K102" s="531"/>
      <c r="L102" s="531"/>
      <c r="M102" s="531"/>
      <c r="N102" s="531"/>
      <c r="O102" s="531"/>
      <c r="P102" s="531"/>
      <c r="Q102" s="531"/>
      <c r="R102" s="532"/>
      <c r="S102" s="115" t="str">
        <f>+S7</f>
        <v>BDP</v>
      </c>
      <c r="T102" s="116">
        <f>+T7</f>
        <v>4604500000</v>
      </c>
    </row>
    <row r="103" spans="1:21" ht="15.75" customHeight="1">
      <c r="B103" s="539"/>
      <c r="C103" s="540"/>
      <c r="D103" s="540"/>
      <c r="E103" s="540"/>
      <c r="F103" s="541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30" t="str">
        <f>+Master!G246</f>
        <v>Jan - Dec</v>
      </c>
      <c r="T103" s="532">
        <f>+T8</f>
        <v>0</v>
      </c>
    </row>
    <row r="104" spans="1:21" ht="13.5" thickBot="1">
      <c r="B104" s="542"/>
      <c r="C104" s="543"/>
      <c r="D104" s="543"/>
      <c r="E104" s="543"/>
      <c r="F104" s="544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33" t="str">
        <f>+VLOOKUP(LEFT($A105,LEN(A105)-1)*1,Master!$D$27:$G$225,4,FALSE)</f>
        <v>Prihodi budžeta</v>
      </c>
      <c r="C105" s="534"/>
      <c r="D105" s="534"/>
      <c r="E105" s="534"/>
      <c r="F105" s="534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0.38158393335524216</v>
      </c>
    </row>
    <row r="106" spans="1:21">
      <c r="A106" s="137" t="str">
        <f t="shared" si="17"/>
        <v>711p</v>
      </c>
      <c r="B106" s="535" t="str">
        <f>+VLOOKUP(LEFT($A106,LEN(A106)-1)*1,Master!$D$27:$G$225,4,FALSE)</f>
        <v>Porezi</v>
      </c>
      <c r="C106" s="536"/>
      <c r="D106" s="536"/>
      <c r="E106" s="536"/>
      <c r="F106" s="536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0.23420505796442354</v>
      </c>
      <c r="U106" s="302"/>
    </row>
    <row r="107" spans="1:21">
      <c r="A107" s="137" t="str">
        <f t="shared" si="17"/>
        <v>7111p</v>
      </c>
      <c r="B107" s="516" t="str">
        <f>+VLOOKUP(LEFT($A107,LEN(A107)-1)*1,Master!$D$27:$G$225,4,FALSE)</f>
        <v>Porez na dohodak fizičkih lica</v>
      </c>
      <c r="C107" s="517"/>
      <c r="D107" s="517"/>
      <c r="E107" s="517"/>
      <c r="F107" s="517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2.6356751475380077E-2</v>
      </c>
    </row>
    <row r="108" spans="1:21">
      <c r="A108" s="137" t="str">
        <f t="shared" si="17"/>
        <v>7112p</v>
      </c>
      <c r="B108" s="516" t="str">
        <f>+VLOOKUP(LEFT($A108,LEN(A108)-1)*1,Master!$D$27:$G$225,4,FALSE)</f>
        <v>Porez na dobit pravnih lica</v>
      </c>
      <c r="C108" s="517"/>
      <c r="D108" s="517"/>
      <c r="E108" s="517"/>
      <c r="F108" s="517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1.3395236262440366E-2</v>
      </c>
    </row>
    <row r="109" spans="1:21">
      <c r="A109" s="137" t="str">
        <f t="shared" si="17"/>
        <v>7113p</v>
      </c>
      <c r="B109" s="516" t="str">
        <f>+VLOOKUP(LEFT($A109,LEN(A109)-1)*1,Master!$D$27:$G$225,4,FALSE)</f>
        <v>Porez na promet nepokretnosti</v>
      </c>
      <c r="C109" s="517"/>
      <c r="D109" s="517"/>
      <c r="E109" s="517"/>
      <c r="F109" s="517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4.028446368853425E-4</v>
      </c>
    </row>
    <row r="110" spans="1:21">
      <c r="A110" s="137" t="str">
        <f t="shared" si="17"/>
        <v>7114p</v>
      </c>
      <c r="B110" s="516" t="str">
        <f>+VLOOKUP(LEFT($A110,LEN(A110)-1)*1,Master!$D$27:$G$225,4,FALSE)</f>
        <v>Porez na dodatu vrijednost</v>
      </c>
      <c r="C110" s="517"/>
      <c r="D110" s="517"/>
      <c r="E110" s="517"/>
      <c r="F110" s="517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0.13560468715847429</v>
      </c>
    </row>
    <row r="111" spans="1:21">
      <c r="A111" s="137" t="str">
        <f t="shared" si="17"/>
        <v>7115p</v>
      </c>
      <c r="B111" s="516" t="str">
        <f>+VLOOKUP(LEFT($A111,LEN(A111)-1)*1,Master!$D$27:$G$225,4,FALSE)</f>
        <v>Akcize</v>
      </c>
      <c r="C111" s="517"/>
      <c r="D111" s="517"/>
      <c r="E111" s="517"/>
      <c r="F111" s="517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5.0537046572793357E-2</v>
      </c>
    </row>
    <row r="112" spans="1:21">
      <c r="A112" s="137" t="str">
        <f t="shared" si="17"/>
        <v>7116p</v>
      </c>
      <c r="B112" s="516" t="str">
        <f>+VLOOKUP(LEFT($A112,LEN(A112)-1)*1,Master!$D$27:$G$225,4,FALSE)</f>
        <v>Porez na međunarodnu trgovinu i transakcije</v>
      </c>
      <c r="C112" s="517"/>
      <c r="D112" s="517"/>
      <c r="E112" s="517"/>
      <c r="F112" s="517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5.8334248838632025E-3</v>
      </c>
    </row>
    <row r="113" spans="1:20">
      <c r="A113" s="137" t="str">
        <f t="shared" si="17"/>
        <v>7118p</v>
      </c>
      <c r="B113" s="516" t="str">
        <f>+VLOOKUP(LEFT($A113,LEN(A113)-1)*1,Master!$D$27:$G$225,4,FALSE)</f>
        <v>Ostali državni porezi</v>
      </c>
      <c r="C113" s="517"/>
      <c r="D113" s="517"/>
      <c r="E113" s="517"/>
      <c r="F113" s="517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2.0750669745869428E-3</v>
      </c>
    </row>
    <row r="114" spans="1:20">
      <c r="A114" s="137" t="str">
        <f t="shared" si="17"/>
        <v>712p</v>
      </c>
      <c r="B114" s="528" t="str">
        <f>+VLOOKUP(LEFT($A114,LEN(A114)-1)*1,Master!$D$27:$G$225,4,FALSE)</f>
        <v>Doprinosi</v>
      </c>
      <c r="C114" s="529"/>
      <c r="D114" s="529"/>
      <c r="E114" s="529"/>
      <c r="F114" s="529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0.11342248429153974</v>
      </c>
    </row>
    <row r="115" spans="1:20">
      <c r="A115" s="137" t="str">
        <f t="shared" si="17"/>
        <v>7121p</v>
      </c>
      <c r="B115" s="516" t="str">
        <f>+VLOOKUP(LEFT($A115,LEN(A115)-1)*1,Master!$D$27:$G$225,4,FALSE)</f>
        <v>Doprinosi za penzijsko i invalidsko osiguranje</v>
      </c>
      <c r="C115" s="517"/>
      <c r="D115" s="517"/>
      <c r="E115" s="517"/>
      <c r="F115" s="517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6.8301903564458838E-2</v>
      </c>
    </row>
    <row r="116" spans="1:20">
      <c r="A116" s="137" t="str">
        <f t="shared" si="17"/>
        <v>7122p</v>
      </c>
      <c r="B116" s="516" t="str">
        <f>+VLOOKUP(LEFT($A116,LEN(A116)-1)*1,Master!$D$27:$G$225,4,FALSE)</f>
        <v>Doprinosi za zdravstveno osiguranje</v>
      </c>
      <c r="C116" s="517"/>
      <c r="D116" s="517"/>
      <c r="E116" s="517"/>
      <c r="F116" s="517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3.9286800835398455E-2</v>
      </c>
    </row>
    <row r="117" spans="1:20">
      <c r="A117" s="137" t="str">
        <f t="shared" si="17"/>
        <v>7123p</v>
      </c>
      <c r="B117" s="516" t="str">
        <f>+VLOOKUP(LEFT($A117,LEN(A117)-1)*1,Master!$D$27:$G$225,4,FALSE)</f>
        <v>Doprinosi za osiguranje od nezaposlenosti</v>
      </c>
      <c r="C117" s="517"/>
      <c r="D117" s="517"/>
      <c r="E117" s="517"/>
      <c r="F117" s="517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3.0728964324768892E-3</v>
      </c>
    </row>
    <row r="118" spans="1:20">
      <c r="A118" s="137" t="str">
        <f t="shared" si="17"/>
        <v>7124p</v>
      </c>
      <c r="B118" s="516" t="str">
        <f>+VLOOKUP(LEFT($A118,LEN(A118)-1)*1,Master!$D$27:$G$225,4,FALSE)</f>
        <v>Ostali doprinosi</v>
      </c>
      <c r="C118" s="517"/>
      <c r="D118" s="517"/>
      <c r="E118" s="517"/>
      <c r="F118" s="517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2.7608834592055625E-3</v>
      </c>
    </row>
    <row r="119" spans="1:20">
      <c r="A119" s="137" t="str">
        <f t="shared" si="17"/>
        <v>713p</v>
      </c>
      <c r="B119" s="520" t="str">
        <f>+VLOOKUP(LEFT($A119,LEN(A119)-1)*1,Master!$D$27:$G$225,4,FALSE)</f>
        <v>Takse</v>
      </c>
      <c r="C119" s="521"/>
      <c r="D119" s="521"/>
      <c r="E119" s="521"/>
      <c r="F119" s="521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3.8441673120260321E-3</v>
      </c>
    </row>
    <row r="120" spans="1:20">
      <c r="A120" s="137" t="str">
        <f t="shared" si="17"/>
        <v>714p</v>
      </c>
      <c r="B120" s="520" t="str">
        <f>+VLOOKUP(LEFT($A120,LEN(A120)-1)*1,Master!$D$27:$G$225,4,FALSE)</f>
        <v>Naknade</v>
      </c>
      <c r="C120" s="521"/>
      <c r="D120" s="521"/>
      <c r="E120" s="521"/>
      <c r="F120" s="521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6.108833987867367E-3</v>
      </c>
    </row>
    <row r="121" spans="1:20">
      <c r="A121" s="137" t="str">
        <f t="shared" si="17"/>
        <v>715p</v>
      </c>
      <c r="B121" s="520" t="str">
        <f>+VLOOKUP(LEFT($A121,LEN(A121)-1)*1,Master!$D$27:$G$225,4,FALSE)</f>
        <v>Ostali prihodi</v>
      </c>
      <c r="C121" s="521"/>
      <c r="D121" s="521"/>
      <c r="E121" s="521"/>
      <c r="F121" s="521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1.5578869512385849E-2</v>
      </c>
    </row>
    <row r="122" spans="1:20">
      <c r="A122" s="137" t="str">
        <f t="shared" si="17"/>
        <v>73p</v>
      </c>
      <c r="B122" s="520" t="str">
        <f>+VLOOKUP(LEFT($A122,LEN(A122)-1)*1,Master!$D$27:$G$225,4,FALSE)</f>
        <v>Primici od otplate kredita i sredstva prenesena iz prethodne godine</v>
      </c>
      <c r="C122" s="521"/>
      <c r="D122" s="521"/>
      <c r="E122" s="521"/>
      <c r="F122" s="521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1.5772210317379757E-3</v>
      </c>
    </row>
    <row r="123" spans="1:20" ht="13.5" thickBot="1">
      <c r="A123" s="137" t="str">
        <f t="shared" si="17"/>
        <v>74p</v>
      </c>
      <c r="B123" s="522" t="str">
        <f>+VLOOKUP(LEFT($A123,LEN(A123)-1)*1,Master!$D$27:$G$225,4,FALSE)</f>
        <v>Donacije i transferi</v>
      </c>
      <c r="C123" s="523"/>
      <c r="D123" s="523"/>
      <c r="E123" s="523"/>
      <c r="F123" s="523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6.8472992552616133E-3</v>
      </c>
    </row>
    <row r="124" spans="1:20" ht="13.5" thickBot="1">
      <c r="A124" s="137" t="str">
        <f t="shared" si="17"/>
        <v>4p</v>
      </c>
      <c r="B124" s="508" t="str">
        <f>+VLOOKUP(LEFT($A124,LEN(A124)-1)*1,Master!$D$27:$G$225,4,FALSE)</f>
        <v>Budžetski izdaci</v>
      </c>
      <c r="C124" s="509"/>
      <c r="D124" s="509"/>
      <c r="E124" s="509"/>
      <c r="F124" s="509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174334840.49077779</v>
      </c>
      <c r="P124" s="97">
        <f t="shared" si="23"/>
        <v>174334840.49077779</v>
      </c>
      <c r="Q124" s="97">
        <f t="shared" si="23"/>
        <v>174834840.49411109</v>
      </c>
      <c r="R124" s="97">
        <f t="shared" si="23"/>
        <v>175378273.4841111</v>
      </c>
      <c r="S124" s="131">
        <f>+SUM(G124:R124)</f>
        <v>1899843074.6966665</v>
      </c>
      <c r="T124" s="132">
        <f t="shared" si="21"/>
        <v>0.41260572802620621</v>
      </c>
    </row>
    <row r="125" spans="1:20" ht="13.5" thickBot="1">
      <c r="A125" s="137" t="str">
        <f t="shared" si="17"/>
        <v>41p</v>
      </c>
      <c r="B125" s="524" t="str">
        <f>+VLOOKUP(LEFT($A125,LEN(A125)-1)*1,Master!$D$27:$G$225,4,FALSE)</f>
        <v>Tekuća budžetska potrošnja</v>
      </c>
      <c r="C125" s="525"/>
      <c r="D125" s="525"/>
      <c r="E125" s="525"/>
      <c r="F125" s="525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148019423.8241111</v>
      </c>
      <c r="P125" s="80">
        <f t="shared" si="24"/>
        <v>148019423.8241111</v>
      </c>
      <c r="Q125" s="80">
        <f t="shared" si="24"/>
        <v>148019423.8241111</v>
      </c>
      <c r="R125" s="80">
        <f t="shared" si="24"/>
        <v>148562856.8241111</v>
      </c>
      <c r="S125" s="133">
        <f t="shared" si="20"/>
        <v>1610768074.6999998</v>
      </c>
      <c r="T125" s="134">
        <f t="shared" si="21"/>
        <v>0.34982475289390808</v>
      </c>
    </row>
    <row r="126" spans="1:20">
      <c r="A126" s="137" t="str">
        <f t="shared" si="17"/>
        <v>40p</v>
      </c>
      <c r="B126" s="526" t="str">
        <f>+VLOOKUP(LEFT($A126,LEN(A126)-1)*1,Master!$D$27:$G$225,4,FALSE)</f>
        <v>Tekući izdaci</v>
      </c>
      <c r="C126" s="527"/>
      <c r="D126" s="527"/>
      <c r="E126" s="527"/>
      <c r="F126" s="527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75624240.564611077</v>
      </c>
      <c r="P126" s="89">
        <f t="shared" si="25"/>
        <v>75624240.564611077</v>
      </c>
      <c r="Q126" s="89">
        <f t="shared" si="25"/>
        <v>75624240.564611092</v>
      </c>
      <c r="R126" s="90">
        <f t="shared" si="25"/>
        <v>76167673.564611077</v>
      </c>
      <c r="S126" s="123">
        <f t="shared" si="20"/>
        <v>812630572.90999997</v>
      </c>
      <c r="T126" s="124">
        <f t="shared" si="21"/>
        <v>0.17648617068302747</v>
      </c>
    </row>
    <row r="127" spans="1:20">
      <c r="A127" s="137" t="str">
        <f t="shared" si="17"/>
        <v>411p</v>
      </c>
      <c r="B127" s="516" t="str">
        <f>+VLOOKUP(LEFT($A127,LEN(A127)-1)*1,Master!$D$27:$G$225,4,FALSE)</f>
        <v>Bruto zarade i doprinosi na teret poslodavca</v>
      </c>
      <c r="C127" s="517"/>
      <c r="D127" s="517"/>
      <c r="E127" s="517"/>
      <c r="F127" s="517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42330489.099166654</v>
      </c>
      <c r="P127" s="91">
        <f>+SUM(DataEx!FC265)</f>
        <v>42330489.099166654</v>
      </c>
      <c r="Q127" s="91">
        <f>+SUM(DataEx!FD265)</f>
        <v>42330489.099166654</v>
      </c>
      <c r="R127" s="91">
        <f>+SUM(DataEx!FE265)</f>
        <v>42330489.099166654</v>
      </c>
      <c r="S127" s="125">
        <f t="shared" si="20"/>
        <v>461973796.46999985</v>
      </c>
      <c r="T127" s="126">
        <f t="shared" si="21"/>
        <v>0.1003309363600825</v>
      </c>
    </row>
    <row r="128" spans="1:20">
      <c r="A128" s="137" t="str">
        <f t="shared" si="17"/>
        <v>412p</v>
      </c>
      <c r="B128" s="516" t="str">
        <f>+VLOOKUP(LEFT($A128,LEN(A128)-1)*1,Master!$D$27:$G$225,4,FALSE)</f>
        <v>Ostala lična primanja</v>
      </c>
      <c r="C128" s="517"/>
      <c r="D128" s="517"/>
      <c r="E128" s="517"/>
      <c r="F128" s="517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1064654.7372222201</v>
      </c>
      <c r="P128" s="91">
        <f>+SUM(DataEx!FC271)</f>
        <v>1064654.7372222201</v>
      </c>
      <c r="Q128" s="91">
        <f>+SUM(DataEx!FD271)</f>
        <v>1064654.7372222226</v>
      </c>
      <c r="R128" s="91">
        <f>+SUM(DataEx!FE271)</f>
        <v>1608087.7372222189</v>
      </c>
      <c r="S128" s="125">
        <f t="shared" si="20"/>
        <v>13262623.179999996</v>
      </c>
      <c r="T128" s="126">
        <f t="shared" si="21"/>
        <v>2.8803612075143873E-3</v>
      </c>
    </row>
    <row r="129" spans="1:20">
      <c r="A129" s="137" t="str">
        <f t="shared" si="17"/>
        <v>413p</v>
      </c>
      <c r="B129" s="516" t="str">
        <f>+VLOOKUP(LEFT($A129,LEN(A129)-1)*1,Master!$D$27:$G$225,4,FALSE)</f>
        <v>Rashodi za materijal</v>
      </c>
      <c r="C129" s="517"/>
      <c r="D129" s="517"/>
      <c r="E129" s="517"/>
      <c r="F129" s="517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4454463.4019999988</v>
      </c>
      <c r="P129" s="91">
        <f>+SUM(DataEx!FC279)</f>
        <v>4454463.4019999988</v>
      </c>
      <c r="Q129" s="91">
        <f>+SUM(DataEx!FD279)</f>
        <v>4454463.4019999988</v>
      </c>
      <c r="R129" s="91">
        <f>+SUM(DataEx!FE279)</f>
        <v>4454463.4019999988</v>
      </c>
      <c r="S129" s="125">
        <f t="shared" si="20"/>
        <v>39682213.5</v>
      </c>
      <c r="T129" s="126">
        <f t="shared" si="21"/>
        <v>8.618137365620589E-3</v>
      </c>
    </row>
    <row r="130" spans="1:20">
      <c r="A130" s="137" t="str">
        <f t="shared" si="17"/>
        <v>414p</v>
      </c>
      <c r="B130" s="516" t="str">
        <f>+VLOOKUP(LEFT($A130,LEN(A130)-1)*1,Master!$D$27:$G$225,4,FALSE)</f>
        <v>Rashodi za usluge</v>
      </c>
      <c r="C130" s="517"/>
      <c r="D130" s="517"/>
      <c r="E130" s="517"/>
      <c r="F130" s="517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5577148.0201111175</v>
      </c>
      <c r="P130" s="91">
        <f>+SUM(DataEx!FC286)</f>
        <v>5577148.0201111175</v>
      </c>
      <c r="Q130" s="91">
        <f>+SUM(DataEx!FD286)</f>
        <v>5577148.0201111175</v>
      </c>
      <c r="R130" s="91">
        <f>+SUM(DataEx!FE286)</f>
        <v>5577148.0201111175</v>
      </c>
      <c r="S130" s="125">
        <f t="shared" si="20"/>
        <v>58741932.939999998</v>
      </c>
      <c r="T130" s="126">
        <f t="shared" si="21"/>
        <v>1.2757505253556303E-2</v>
      </c>
    </row>
    <row r="131" spans="1:20">
      <c r="A131" s="137" t="str">
        <f t="shared" si="17"/>
        <v>415p</v>
      </c>
      <c r="B131" s="516" t="str">
        <f>+VLOOKUP(LEFT($A131,LEN(A131)-1)*1,Master!$D$27:$G$225,4,FALSE)</f>
        <v>Rashodi za tekuće održavanje</v>
      </c>
      <c r="C131" s="517"/>
      <c r="D131" s="517"/>
      <c r="E131" s="517"/>
      <c r="F131" s="517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1850732.9058333328</v>
      </c>
      <c r="P131" s="91">
        <f>+SUM(DataEx!FC296)</f>
        <v>1850732.9058333328</v>
      </c>
      <c r="Q131" s="91">
        <f>+SUM(DataEx!FD296)</f>
        <v>1850732.9058333328</v>
      </c>
      <c r="R131" s="91">
        <f>+SUM(DataEx!FE296)</f>
        <v>1850732.9058333328</v>
      </c>
      <c r="S131" s="125">
        <f t="shared" si="20"/>
        <v>22285486.810000002</v>
      </c>
      <c r="T131" s="126">
        <f t="shared" si="21"/>
        <v>4.839936325333913E-3</v>
      </c>
    </row>
    <row r="132" spans="1:20">
      <c r="A132" s="137" t="str">
        <f t="shared" si="17"/>
        <v>416p</v>
      </c>
      <c r="B132" s="516" t="str">
        <f>+VLOOKUP(LEFT($A132,LEN(A132)-1)*1,Master!$D$27:$G$225,4,FALSE)</f>
        <v>Kamate</v>
      </c>
      <c r="C132" s="517"/>
      <c r="D132" s="517"/>
      <c r="E132" s="517"/>
      <c r="F132" s="517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7615225</v>
      </c>
      <c r="P132" s="91">
        <f>+SUM(DataEx!FC300)</f>
        <v>7615225</v>
      </c>
      <c r="Q132" s="91">
        <f>+SUM(DataEx!FD300)</f>
        <v>7615225</v>
      </c>
      <c r="R132" s="91">
        <f>+SUM(DataEx!FE300)</f>
        <v>7615225</v>
      </c>
      <c r="S132" s="125">
        <f t="shared" si="20"/>
        <v>87442700</v>
      </c>
      <c r="T132" s="126">
        <f t="shared" si="21"/>
        <v>1.8990704745357804E-2</v>
      </c>
    </row>
    <row r="133" spans="1:20">
      <c r="A133" s="137" t="str">
        <f t="shared" si="17"/>
        <v>417p</v>
      </c>
      <c r="B133" s="516" t="str">
        <f>+VLOOKUP(LEFT($A133,LEN(A133)-1)*1,Master!$D$27:$G$225,4,FALSE)</f>
        <v>Renta</v>
      </c>
      <c r="C133" s="517"/>
      <c r="D133" s="517"/>
      <c r="E133" s="517"/>
      <c r="F133" s="517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986109.29833333322</v>
      </c>
      <c r="P133" s="91">
        <f>+SUM(DataEx!FC303)</f>
        <v>986109.29833333322</v>
      </c>
      <c r="Q133" s="91">
        <f>+SUM(DataEx!FD303)</f>
        <v>986109.29833333322</v>
      </c>
      <c r="R133" s="91">
        <f>+SUM(DataEx!FE303)</f>
        <v>986109.29833333322</v>
      </c>
      <c r="S133" s="125">
        <f t="shared" si="20"/>
        <v>10344524.66</v>
      </c>
      <c r="T133" s="126">
        <f t="shared" si="21"/>
        <v>2.2466119361494192E-3</v>
      </c>
    </row>
    <row r="134" spans="1:20">
      <c r="A134" s="137" t="str">
        <f t="shared" si="17"/>
        <v>418p</v>
      </c>
      <c r="B134" s="516" t="str">
        <f>+VLOOKUP(LEFT($A134,LEN(A134)-1)*1,Master!$D$27:$G$225,4,FALSE)</f>
        <v>Subvencije</v>
      </c>
      <c r="C134" s="517"/>
      <c r="D134" s="517"/>
      <c r="E134" s="517"/>
      <c r="F134" s="517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2180983.3333333344</v>
      </c>
      <c r="P134" s="91">
        <f>+SUM(DataEx!FC307)</f>
        <v>2180983.3333333344</v>
      </c>
      <c r="Q134" s="91">
        <f>+SUM(DataEx!FD307)</f>
        <v>2180983.3333333344</v>
      </c>
      <c r="R134" s="91">
        <f>+SUM(DataEx!FE307)</f>
        <v>2180983.3333333344</v>
      </c>
      <c r="S134" s="125">
        <f t="shared" si="20"/>
        <v>26731800.000000011</v>
      </c>
      <c r="T134" s="126">
        <f t="shared" si="21"/>
        <v>5.8055814963622566E-3</v>
      </c>
    </row>
    <row r="135" spans="1:20">
      <c r="A135" s="137" t="str">
        <f t="shared" si="17"/>
        <v>419p</v>
      </c>
      <c r="B135" s="516" t="str">
        <f>+VLOOKUP(LEFT($A135,LEN(A135)-1)*1,Master!$D$27:$G$225,4,FALSE)</f>
        <v>Ostali izdaci</v>
      </c>
      <c r="C135" s="517"/>
      <c r="D135" s="517"/>
      <c r="E135" s="517"/>
      <c r="F135" s="517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3877323.0754444436</v>
      </c>
      <c r="P135" s="91">
        <f>+SUM(DataEx!FC311)</f>
        <v>3877323.0754444436</v>
      </c>
      <c r="Q135" s="91">
        <f>+SUM(DataEx!FD311)</f>
        <v>3877323.0754444436</v>
      </c>
      <c r="R135" s="91">
        <f>+SUM(DataEx!FE311)</f>
        <v>3877323.0754444436</v>
      </c>
      <c r="S135" s="125">
        <f t="shared" si="20"/>
        <v>39317929.93</v>
      </c>
      <c r="T135" s="126">
        <f t="shared" si="21"/>
        <v>8.5390226799869698E-3</v>
      </c>
    </row>
    <row r="136" spans="1:20">
      <c r="A136" s="137" t="str">
        <f t="shared" si="17"/>
        <v>440p</v>
      </c>
      <c r="B136" s="516" t="str">
        <f>+VLOOKUP(LEFT($A136,LEN(A136)-1)*1,Master!$D$27:$G$225,4,FALSE)</f>
        <v>Kapitalni izdaci u tekućem budžetu</v>
      </c>
      <c r="C136" s="517"/>
      <c r="D136" s="517"/>
      <c r="E136" s="517"/>
      <c r="F136" s="517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5687111.6931666648</v>
      </c>
      <c r="P136" s="91">
        <f>+SUM(DataEx!FC369)</f>
        <v>5687111.6931666648</v>
      </c>
      <c r="Q136" s="91">
        <f>+SUM(DataEx!FD369)</f>
        <v>5687111.6931666601</v>
      </c>
      <c r="R136" s="91">
        <f>+SUM(DataEx!FE369)</f>
        <v>5687111.6931666601</v>
      </c>
      <c r="S136" s="125">
        <f t="shared" si="20"/>
        <v>52847565.419999987</v>
      </c>
      <c r="T136" s="126">
        <f t="shared" si="21"/>
        <v>1.1477373313063305E-2</v>
      </c>
    </row>
    <row r="137" spans="1:20">
      <c r="A137" s="137" t="str">
        <f t="shared" si="17"/>
        <v>42p</v>
      </c>
      <c r="B137" s="514" t="str">
        <f>+VLOOKUP(LEFT($A137,LEN(A137)-1)*1,Master!$D$27:$G$225,4,FALSE)</f>
        <v>Transferi za socijalnu zaštitu</v>
      </c>
      <c r="C137" s="515"/>
      <c r="D137" s="515"/>
      <c r="E137" s="515"/>
      <c r="F137" s="515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47831745.140000008</v>
      </c>
      <c r="P137" s="87">
        <f t="shared" si="26"/>
        <v>47831745.140000008</v>
      </c>
      <c r="Q137" s="87">
        <f t="shared" si="26"/>
        <v>47831745.140000008</v>
      </c>
      <c r="R137" s="87">
        <f t="shared" si="26"/>
        <v>47831745.140000008</v>
      </c>
      <c r="S137" s="127">
        <f t="shared" si="20"/>
        <v>558932773.86000013</v>
      </c>
      <c r="T137" s="128">
        <f t="shared" si="21"/>
        <v>0.12138837525464223</v>
      </c>
    </row>
    <row r="138" spans="1:20">
      <c r="A138" s="137" t="str">
        <f t="shared" si="17"/>
        <v>421p</v>
      </c>
      <c r="B138" s="516" t="str">
        <f>+VLOOKUP(LEFT($A138,LEN(A138)-1)*1,Master!$D$27:$G$225,4,FALSE)</f>
        <v>Prava iz oblasti socijalne zaštite</v>
      </c>
      <c r="C138" s="517"/>
      <c r="D138" s="517"/>
      <c r="E138" s="517"/>
      <c r="F138" s="517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7394520.9774999991</v>
      </c>
      <c r="P138" s="91">
        <f>SUM(DataEx!FC322)</f>
        <v>7394520.9774999991</v>
      </c>
      <c r="Q138" s="91">
        <f>SUM(DataEx!FD322)</f>
        <v>7394520.9774999991</v>
      </c>
      <c r="R138" s="91">
        <f>SUM(DataEx!FE322)</f>
        <v>7394520.9774999991</v>
      </c>
      <c r="S138" s="125">
        <f t="shared" si="20"/>
        <v>82786083.909999996</v>
      </c>
      <c r="T138" s="126">
        <f t="shared" si="21"/>
        <v>1.7979386233032902E-2</v>
      </c>
    </row>
    <row r="139" spans="1:20">
      <c r="A139" s="137" t="str">
        <f t="shared" si="17"/>
        <v>422p</v>
      </c>
      <c r="B139" s="516" t="str">
        <f>+VLOOKUP(LEFT($A139,LEN(A139)-1)*1,Master!$D$27:$G$225,4,FALSE)</f>
        <v>Sredstva za tehnološke viškove</v>
      </c>
      <c r="C139" s="517"/>
      <c r="D139" s="517"/>
      <c r="E139" s="517"/>
      <c r="F139" s="517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924899.9599999981</v>
      </c>
      <c r="P139" s="91">
        <f>SUM(DataEx!FC330)</f>
        <v>924899.9599999981</v>
      </c>
      <c r="Q139" s="91">
        <f>SUM(DataEx!FD330)</f>
        <v>924899.9599999981</v>
      </c>
      <c r="R139" s="91">
        <f>SUM(DataEx!FE330)</f>
        <v>924899.9599999981</v>
      </c>
      <c r="S139" s="125">
        <f t="shared" si="20"/>
        <v>17298799.519999992</v>
      </c>
      <c r="T139" s="126">
        <f t="shared" si="21"/>
        <v>3.7569333304376135E-3</v>
      </c>
    </row>
    <row r="140" spans="1:20">
      <c r="A140" s="137" t="str">
        <f t="shared" si="17"/>
        <v>423p</v>
      </c>
      <c r="B140" s="516" t="str">
        <f>+VLOOKUP(LEFT($A140,LEN(A140)-1)*1,Master!$D$27:$G$225,4,FALSE)</f>
        <v>Prava iz oblasti penzijskog i invalidskog osiguranja</v>
      </c>
      <c r="C140" s="517"/>
      <c r="D140" s="517"/>
      <c r="E140" s="517"/>
      <c r="F140" s="517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9.2447125731349791E-2</v>
      </c>
    </row>
    <row r="141" spans="1:20">
      <c r="A141" s="137" t="str">
        <f t="shared" si="17"/>
        <v>424p</v>
      </c>
      <c r="B141" s="516" t="str">
        <f>+VLOOKUP(LEFT($A141,LEN(A141)-1)*1,Master!$D$27:$G$225,4,FALSE)</f>
        <v>Ostala prava iz oblasti zdravstvene zaštite</v>
      </c>
      <c r="C141" s="517"/>
      <c r="D141" s="517"/>
      <c r="E141" s="517"/>
      <c r="F141" s="517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2000008.3333333328</v>
      </c>
      <c r="P141" s="91">
        <f>SUM(DataEx!FC344)</f>
        <v>2000008.3333333328</v>
      </c>
      <c r="Q141" s="91">
        <f>SUM(DataEx!FD344)</f>
        <v>2000008.3333333328</v>
      </c>
      <c r="R141" s="91">
        <f>SUM(DataEx!FE344)</f>
        <v>2000008.3333333328</v>
      </c>
      <c r="S141" s="125">
        <f t="shared" si="20"/>
        <v>19000099.999999996</v>
      </c>
      <c r="T141" s="126">
        <f t="shared" si="21"/>
        <v>4.1264198067108258E-3</v>
      </c>
    </row>
    <row r="142" spans="1:20">
      <c r="A142" s="137" t="str">
        <f t="shared" si="17"/>
        <v>425p</v>
      </c>
      <c r="B142" s="516" t="str">
        <f>+VLOOKUP(LEFT($A142,LEN(A142)-1)*1,Master!$D$27:$G$225,4,FALSE)</f>
        <v>Ostala prava iz zdravstvenog osiguranja</v>
      </c>
      <c r="C142" s="517"/>
      <c r="D142" s="517"/>
      <c r="E142" s="517"/>
      <c r="F142" s="517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2039583.333333334</v>
      </c>
      <c r="P142" s="91">
        <f>SUM(DataEx!FC346)</f>
        <v>2039583.333333334</v>
      </c>
      <c r="Q142" s="91">
        <f>SUM(DataEx!FD346)</f>
        <v>2039583.333333334</v>
      </c>
      <c r="R142" s="91">
        <f>SUM(DataEx!FE346)</f>
        <v>2039583.333333334</v>
      </c>
      <c r="S142" s="125">
        <f t="shared" si="20"/>
        <v>14175000.000000002</v>
      </c>
      <c r="T142" s="126">
        <f t="shared" si="21"/>
        <v>3.0785101531110872E-3</v>
      </c>
    </row>
    <row r="143" spans="1:20">
      <c r="A143" s="137" t="str">
        <f t="shared" si="17"/>
        <v>43p</v>
      </c>
      <c r="B143" s="518" t="str">
        <f>+VLOOKUP(LEFT($A143,LEN(A143)-1)*1,Master!$D$27:$G$225,4,FALSE)</f>
        <v xml:space="preserve">Transferi institucijama, pojedincima, nevladinom i javnom sektoru </v>
      </c>
      <c r="C143" s="519"/>
      <c r="D143" s="519"/>
      <c r="E143" s="519"/>
      <c r="F143" s="519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18930636.555833336</v>
      </c>
      <c r="P143" s="85">
        <f>SUM(DataEx!FC350)</f>
        <v>18930636.555833336</v>
      </c>
      <c r="Q143" s="85">
        <f>SUM(DataEx!FD350)</f>
        <v>18930636.555833336</v>
      </c>
      <c r="R143" s="85">
        <f>SUM(DataEx!FE350)</f>
        <v>18930636.555833336</v>
      </c>
      <c r="S143" s="127">
        <f>+SUM(G143:R143)</f>
        <v>206684238.69</v>
      </c>
      <c r="T143" s="128">
        <f t="shared" si="21"/>
        <v>4.488744460636334E-2</v>
      </c>
    </row>
    <row r="144" spans="1:20">
      <c r="A144" s="137" t="str">
        <f t="shared" si="17"/>
        <v>44p</v>
      </c>
      <c r="B144" s="518" t="str">
        <f>+VLOOKUP(LEFT($A144,LEN(A144)-1)*1,Master!$D$27:$G$225,4,FALSE)</f>
        <v>Kapitalni budžet</v>
      </c>
      <c r="C144" s="519"/>
      <c r="D144" s="519"/>
      <c r="E144" s="519"/>
      <c r="F144" s="519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26315416.666666701</v>
      </c>
      <c r="P144" s="85">
        <f>SUM(DataEx!FC368)</f>
        <v>26315416.666666701</v>
      </c>
      <c r="Q144" s="85">
        <f>SUM(DataEx!FD368)</f>
        <v>26815416.670000002</v>
      </c>
      <c r="R144" s="85">
        <f>SUM(DataEx!FE368)</f>
        <v>26815416.66</v>
      </c>
      <c r="S144" s="127">
        <f t="shared" si="20"/>
        <v>289074999.99666673</v>
      </c>
      <c r="T144" s="128">
        <f t="shared" si="21"/>
        <v>6.2780975132298134E-2</v>
      </c>
    </row>
    <row r="145" spans="1:20">
      <c r="A145" s="137" t="str">
        <f t="shared" si="17"/>
        <v>451p</v>
      </c>
      <c r="B145" s="502" t="str">
        <f>+VLOOKUP(LEFT($A145,LEN(A145)-1)*1,Master!$D$27:$G$225,4,FALSE)</f>
        <v>Pozajmice i krediti</v>
      </c>
      <c r="C145" s="503"/>
      <c r="D145" s="503"/>
      <c r="E145" s="503"/>
      <c r="F145" s="503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6.2438940167227697E-4</v>
      </c>
    </row>
    <row r="146" spans="1:20">
      <c r="A146" s="137" t="str">
        <f t="shared" si="17"/>
        <v>47p</v>
      </c>
      <c r="B146" s="502" t="str">
        <f>+VLOOKUP(LEFT($A146,LEN(A146)-1)*1,Master!$D$27:$G$225,4,FALSE)</f>
        <v>Rezerve</v>
      </c>
      <c r="C146" s="503"/>
      <c r="D146" s="503"/>
      <c r="E146" s="503"/>
      <c r="F146" s="503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5393218.1470000008</v>
      </c>
      <c r="P146" s="91">
        <f>SUM(DataEx!FC394)</f>
        <v>5393218.1470000008</v>
      </c>
      <c r="Q146" s="91">
        <f>SUM(DataEx!FD394)</f>
        <v>5393218.1470000008</v>
      </c>
      <c r="R146" s="91">
        <f>SUM(DataEx!FE394)</f>
        <v>5393218.1470000008</v>
      </c>
      <c r="S146" s="125">
        <f t="shared" si="20"/>
        <v>29645488.240000002</v>
      </c>
      <c r="T146" s="126">
        <f t="shared" si="21"/>
        <v>6.4383729482028456E-3</v>
      </c>
    </row>
    <row r="147" spans="1:20">
      <c r="A147" s="137" t="str">
        <f t="shared" si="17"/>
        <v>462p</v>
      </c>
      <c r="B147" s="502" t="str">
        <f>+VLOOKUP(LEFT($A147,LEN(A147)-1)*1,Master!$D$27:$G$225,4,FALSE)</f>
        <v>Otplata garancija</v>
      </c>
      <c r="C147" s="503"/>
      <c r="D147" s="503"/>
      <c r="E147" s="503"/>
      <c r="F147" s="503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694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10" t="str">
        <f>+VLOOKUP(LEFT($A149,LEN(A149)-1)*1,Master!$D$27:$G$225,4,FALSE)</f>
        <v>Suficit / deficit</v>
      </c>
      <c r="C149" s="511"/>
      <c r="D149" s="511"/>
      <c r="E149" s="511"/>
      <c r="F149" s="511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14130301.591036469</v>
      </c>
      <c r="P149" s="97">
        <f t="shared" si="27"/>
        <v>-23342791.08790341</v>
      </c>
      <c r="Q149" s="97">
        <f t="shared" si="27"/>
        <v>-37972128.493116558</v>
      </c>
      <c r="R149" s="97">
        <f t="shared" si="27"/>
        <v>20858700.505209386</v>
      </c>
      <c r="S149" s="113">
        <f t="shared" si="20"/>
        <v>-142839853.56245428</v>
      </c>
      <c r="T149" s="114">
        <f t="shared" si="21"/>
        <v>-3.1021794670964119E-2</v>
      </c>
    </row>
    <row r="150" spans="1:20" ht="13.5" thickBot="1">
      <c r="A150" s="138" t="str">
        <f>+CONCATENATE(A56,"p")</f>
        <v>1001p</v>
      </c>
      <c r="B150" s="512" t="str">
        <f>+VLOOKUP(LEFT($A150,LEN(A150)-1)*1,Master!$D$27:$G$225,4,FALSE)</f>
        <v>Primarni bilans</v>
      </c>
      <c r="C150" s="513"/>
      <c r="D150" s="513"/>
      <c r="E150" s="513"/>
      <c r="F150" s="513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21745526.591036469</v>
      </c>
      <c r="P150" s="98">
        <f t="shared" si="28"/>
        <v>-15727566.08790341</v>
      </c>
      <c r="Q150" s="98">
        <f t="shared" si="28"/>
        <v>-30356903.493116558</v>
      </c>
      <c r="R150" s="98">
        <f t="shared" si="28"/>
        <v>28473925.505209386</v>
      </c>
      <c r="S150" s="113">
        <f t="shared" si="20"/>
        <v>-55397153.562454268</v>
      </c>
      <c r="T150" s="114">
        <f t="shared" si="21"/>
        <v>-1.2031089925606314E-2</v>
      </c>
    </row>
    <row r="151" spans="1:20">
      <c r="A151" s="138" t="str">
        <f>+CONCATENATE(A57,"p")</f>
        <v>46p</v>
      </c>
      <c r="B151" s="514" t="str">
        <f>+VLOOKUP(LEFT($A151,LEN(A151)-1)*1,Master!$D$27:$G$225,4,FALSE)</f>
        <v>Otplata dugova</v>
      </c>
      <c r="C151" s="515"/>
      <c r="D151" s="515"/>
      <c r="E151" s="515"/>
      <c r="F151" s="515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21286585.159562141</v>
      </c>
      <c r="P151" s="87">
        <f t="shared" si="29"/>
        <v>8472904.0295741912</v>
      </c>
      <c r="Q151" s="87">
        <f t="shared" si="29"/>
        <v>10599232.02456969</v>
      </c>
      <c r="R151" s="87">
        <f t="shared" si="29"/>
        <v>385397542.39124364</v>
      </c>
      <c r="S151" s="109">
        <f t="shared" si="20"/>
        <v>542432774.80999994</v>
      </c>
      <c r="T151" s="110">
        <f t="shared" si="21"/>
        <v>0.11780492448908675</v>
      </c>
    </row>
    <row r="152" spans="1:20">
      <c r="A152" s="138" t="str">
        <f>+CONCATENATE(A58,"p")</f>
        <v>4611p</v>
      </c>
      <c r="B152" s="504" t="str">
        <f>+VLOOKUP(LEFT($A152,LEN(A152)-1)*1,Master!$D$27:$G$225,4,FALSE)</f>
        <v>Otplata hartija od vrijednosti i kredita rezidentima</v>
      </c>
      <c r="C152" s="505"/>
      <c r="D152" s="505"/>
      <c r="E152" s="505"/>
      <c r="F152" s="505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1.1008422154414159E-2</v>
      </c>
    </row>
    <row r="153" spans="1:20">
      <c r="A153" s="138" t="str">
        <f>+CONCATENATE(A59,"p")</f>
        <v>4612p</v>
      </c>
      <c r="B153" s="502" t="str">
        <f>+VLOOKUP(LEFT($A153,LEN(A153)-1)*1,Master!$D$27:$G$225,4,FALSE)</f>
        <v>Otplata hartija od vrijednosti i kredita nerezidentima</v>
      </c>
      <c r="C153" s="503"/>
      <c r="D153" s="503"/>
      <c r="E153" s="503"/>
      <c r="F153" s="503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369847929.82457697</v>
      </c>
      <c r="S153" s="107">
        <f t="shared" si="20"/>
        <v>461500000</v>
      </c>
      <c r="T153" s="108">
        <f t="shared" si="21"/>
        <v>0.10022803778911935</v>
      </c>
    </row>
    <row r="154" spans="1:20">
      <c r="A154" s="138" t="str">
        <f>+CONCATENATE(A53,"p")</f>
        <v>4630p</v>
      </c>
      <c r="B154" s="502" t="str">
        <f>+VLOOKUP(LEFT($A154,LEN(A154)-1)*1,Master!$D$27:$G$225,4,FALSE)</f>
        <v>Otplata obaveza iz prethodnih godina</v>
      </c>
      <c r="C154" s="503"/>
      <c r="D154" s="503"/>
      <c r="E154" s="503"/>
      <c r="F154" s="503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2702457.9166666698</v>
      </c>
      <c r="P154" s="100">
        <f>SUM(DataEx!FC393)</f>
        <v>2797457.9166666698</v>
      </c>
      <c r="Q154" s="100">
        <f>SUM(DataEx!FD393)</f>
        <v>2792457.9166666698</v>
      </c>
      <c r="R154" s="100">
        <f>SUM(DataEx!FE393)</f>
        <v>3347457.9166666698</v>
      </c>
      <c r="S154" s="107">
        <f t="shared" si="20"/>
        <v>30244495.000000015</v>
      </c>
      <c r="T154" s="108">
        <f t="shared" si="21"/>
        <v>6.5684645455532662E-3</v>
      </c>
    </row>
    <row r="155" spans="1:20" ht="13.5" thickBot="1">
      <c r="A155" s="138"/>
      <c r="B155" s="422" t="s">
        <v>340</v>
      </c>
      <c r="C155" s="423"/>
      <c r="D155" s="423"/>
      <c r="E155" s="423"/>
      <c r="F155" s="423"/>
      <c r="G155" s="429">
        <f>+DataEx!ET377</f>
        <v>0</v>
      </c>
      <c r="H155" s="429">
        <f>+DataEx!EU377</f>
        <v>0</v>
      </c>
      <c r="I155" s="429">
        <f>+DataEx!EV377</f>
        <v>0</v>
      </c>
      <c r="J155" s="429">
        <f>+DataEx!EW377</f>
        <v>0</v>
      </c>
      <c r="K155" s="429">
        <f>+DataEx!EX377</f>
        <v>70000000</v>
      </c>
      <c r="L155" s="429">
        <f>+DataEx!EY377</f>
        <v>0</v>
      </c>
      <c r="M155" s="429">
        <f>+DataEx!EZ377</f>
        <v>0</v>
      </c>
      <c r="N155" s="429">
        <f>+DataEx!FA377</f>
        <v>0</v>
      </c>
      <c r="O155" s="429">
        <f>+DataEx!FB377</f>
        <v>0</v>
      </c>
      <c r="P155" s="429">
        <f>+DataEx!FC377</f>
        <v>0</v>
      </c>
      <c r="Q155" s="429">
        <f>+DataEx!FD377</f>
        <v>0</v>
      </c>
      <c r="R155" s="429">
        <f>+DataEx!FE377</f>
        <v>0</v>
      </c>
      <c r="S155" s="107">
        <f t="shared" si="20"/>
        <v>70000000</v>
      </c>
      <c r="T155" s="108">
        <f t="shared" si="21"/>
        <v>1.5202519274622652E-2</v>
      </c>
    </row>
    <row r="156" spans="1:20" ht="13.5" thickBot="1">
      <c r="A156" s="138" t="str">
        <f t="shared" ref="A156:A161" si="30">+CONCATENATE(A61,"p")</f>
        <v>1002p</v>
      </c>
      <c r="B156" s="506" t="str">
        <f>+VLOOKUP(LEFT($A156,LEN(A156)-1)*1,Master!$D$27:$G$225,4,FALSE)</f>
        <v>Nedostajuća sredstva</v>
      </c>
      <c r="C156" s="507"/>
      <c r="D156" s="507"/>
      <c r="E156" s="507"/>
      <c r="F156" s="507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-7156283.568525672</v>
      </c>
      <c r="P156" s="79">
        <f t="shared" si="31"/>
        <v>-31815695.117477603</v>
      </c>
      <c r="Q156" s="79">
        <f t="shared" si="31"/>
        <v>-48571360.517686248</v>
      </c>
      <c r="R156" s="79">
        <f t="shared" si="31"/>
        <v>-364538841.88603425</v>
      </c>
      <c r="S156" s="117">
        <f t="shared" si="20"/>
        <v>-755272628.37245417</v>
      </c>
      <c r="T156" s="118">
        <f t="shared" si="21"/>
        <v>-0.16402923843467351</v>
      </c>
    </row>
    <row r="157" spans="1:20" ht="13.5" thickBot="1">
      <c r="A157" s="138" t="str">
        <f t="shared" si="30"/>
        <v>1003p</v>
      </c>
      <c r="B157" s="508" t="str">
        <f>+VLOOKUP(LEFT($A157,LEN(A157)-1)*1,Master!$D$27:$G$225,4,FALSE)</f>
        <v>Finansiranje</v>
      </c>
      <c r="C157" s="509"/>
      <c r="D157" s="509"/>
      <c r="E157" s="509"/>
      <c r="F157" s="509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7156283.568525672</v>
      </c>
      <c r="P157" s="97">
        <f t="shared" si="32"/>
        <v>31815695.117477603</v>
      </c>
      <c r="Q157" s="97">
        <f t="shared" si="32"/>
        <v>48571360.517686248</v>
      </c>
      <c r="R157" s="97">
        <f t="shared" si="32"/>
        <v>364538841.88603425</v>
      </c>
      <c r="S157" s="119">
        <f t="shared" si="20"/>
        <v>755272628.37245417</v>
      </c>
      <c r="T157" s="120">
        <f t="shared" si="21"/>
        <v>0.16402923843467351</v>
      </c>
    </row>
    <row r="158" spans="1:20">
      <c r="A158" s="138" t="str">
        <f t="shared" si="30"/>
        <v>7511p</v>
      </c>
      <c r="B158" s="504" t="str">
        <f>+VLOOKUP(LEFT($A158,LEN(A158)-1)*1,Master!$D$27:$G$225,4,FALSE)</f>
        <v>Pozajmice i krediti od domaćih izvora</v>
      </c>
      <c r="C158" s="505"/>
      <c r="D158" s="505"/>
      <c r="E158" s="505"/>
      <c r="F158" s="505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502" t="str">
        <f>+VLOOKUP(LEFT($A159,LEN(A159)-1)*1,Master!$D$27:$G$225,4,FALSE)</f>
        <v>Pozajmice i krediti od inostranih izvora</v>
      </c>
      <c r="C159" s="503"/>
      <c r="D159" s="503"/>
      <c r="E159" s="503"/>
      <c r="F159" s="503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468022681.93578738</v>
      </c>
      <c r="S159" s="107">
        <f t="shared" si="20"/>
        <v>739264348.56578732</v>
      </c>
      <c r="T159" s="108">
        <f t="shared" si="21"/>
        <v>0.16055257868732487</v>
      </c>
    </row>
    <row r="160" spans="1:20">
      <c r="A160" s="138" t="str">
        <f t="shared" si="30"/>
        <v>72p</v>
      </c>
      <c r="B160" s="502" t="str">
        <f>+VLOOKUP(LEFT($A160,LEN(A160)-1)*1,Master!$D$27:$G$225,4,FALSE)</f>
        <v>Primici od prodaje imovine</v>
      </c>
      <c r="C160" s="503"/>
      <c r="D160" s="503"/>
      <c r="E160" s="503"/>
      <c r="F160" s="503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16000000</v>
      </c>
      <c r="S160" s="107">
        <f t="shared" si="20"/>
        <v>16000000</v>
      </c>
      <c r="T160" s="108">
        <f t="shared" si="21"/>
        <v>3.4748615484851775E-3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-17502049.761474326</v>
      </c>
      <c r="P161" s="101">
        <f t="shared" si="33"/>
        <v>7157361.787477605</v>
      </c>
      <c r="Q161" s="101">
        <f t="shared" si="33"/>
        <v>23913027.18768625</v>
      </c>
      <c r="R161" s="101">
        <f t="shared" si="33"/>
        <v>-119483840.04975313</v>
      </c>
      <c r="S161" s="111">
        <f t="shared" si="20"/>
        <v>8279.8066668957472</v>
      </c>
      <c r="T161" s="112">
        <f t="shared" si="21"/>
        <v>1.7981988634804534E-6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2" activePane="bottomLeft" state="frozen"/>
      <selection pane="bottomLeft" activeCell="A102" sqref="A102:A160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7" width="12.5703125" style="303" customWidth="1"/>
    <col min="8" max="8" width="13.7109375" style="303" customWidth="1"/>
    <col min="9" max="9" width="14.140625" style="303" customWidth="1"/>
    <col min="10" max="10" width="15.42578125" style="303" customWidth="1"/>
    <col min="11" max="11" width="15.28515625" style="303" customWidth="1"/>
    <col min="12" max="12" width="14.42578125" style="303" customWidth="1"/>
    <col min="13" max="13" width="15.140625" style="303" customWidth="1"/>
    <col min="14" max="14" width="13.7109375" style="303" customWidth="1"/>
    <col min="15" max="15" width="14" style="303" customWidth="1"/>
    <col min="16" max="16" width="13.28515625" style="303" customWidth="1"/>
    <col min="17" max="17" width="13.85546875" style="303" customWidth="1"/>
    <col min="18" max="18" width="14.42578125" style="303" customWidth="1"/>
    <col min="19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+[1]Master!G8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737</v>
      </c>
      <c r="H6" s="259" t="s">
        <v>738</v>
      </c>
      <c r="I6" s="259" t="s">
        <v>739</v>
      </c>
      <c r="J6" s="259" t="s">
        <v>740</v>
      </c>
      <c r="K6" s="259" t="s">
        <v>741</v>
      </c>
      <c r="L6" s="259" t="s">
        <v>742</v>
      </c>
      <c r="M6" s="259" t="s">
        <v>743</v>
      </c>
      <c r="N6" s="259" t="s">
        <v>744</v>
      </c>
      <c r="O6" s="259" t="s">
        <v>745</v>
      </c>
      <c r="P6" s="259" t="s">
        <v>746</v>
      </c>
      <c r="Q6" s="259" t="s">
        <v>747</v>
      </c>
      <c r="R6" s="259" t="s">
        <v>748</v>
      </c>
      <c r="S6" s="258"/>
      <c r="T6" s="258"/>
    </row>
    <row r="7" spans="1:20" ht="15" customHeight="1" thickBot="1">
      <c r="A7" s="169"/>
      <c r="B7" s="555" t="str">
        <f>+[1]Master!G249</f>
        <v>Ostvarenje budžeta</v>
      </c>
      <c r="C7" s="455"/>
      <c r="D7" s="455"/>
      <c r="E7" s="455"/>
      <c r="F7" s="455"/>
      <c r="G7" s="463">
        <v>2017</v>
      </c>
      <c r="H7" s="464"/>
      <c r="I7" s="464"/>
      <c r="J7" s="464"/>
      <c r="K7" s="464"/>
      <c r="L7" s="464"/>
      <c r="M7" s="464"/>
      <c r="N7" s="464"/>
      <c r="O7" s="464"/>
      <c r="P7" s="464"/>
      <c r="Q7" s="464"/>
      <c r="R7" s="467"/>
      <c r="S7" s="260" t="str">
        <f>+[1]Master!G246</f>
        <v>BDP</v>
      </c>
      <c r="T7" s="261">
        <v>4299000000</v>
      </c>
    </row>
    <row r="8" spans="1:20" ht="16.5" customHeight="1">
      <c r="A8" s="169"/>
      <c r="B8" s="456"/>
      <c r="C8" s="457"/>
      <c r="D8" s="457"/>
      <c r="E8" s="457"/>
      <c r="F8" s="458"/>
      <c r="G8" s="170" t="str">
        <f>+[1]Master!G229</f>
        <v>Januar</v>
      </c>
      <c r="H8" s="170" t="str">
        <f>+[1]Master!G230</f>
        <v>Februar</v>
      </c>
      <c r="I8" s="170" t="str">
        <f>+[1]Master!G231</f>
        <v>Mart</v>
      </c>
      <c r="J8" s="170" t="str">
        <f>+[1]Master!G232</f>
        <v>April</v>
      </c>
      <c r="K8" s="170" t="str">
        <f>+[1]Master!G233</f>
        <v>Maj</v>
      </c>
      <c r="L8" s="170" t="str">
        <f>+[1]Master!G234</f>
        <v>Jun</v>
      </c>
      <c r="M8" s="170" t="str">
        <f>+[1]Master!G235</f>
        <v>Jul</v>
      </c>
      <c r="N8" s="170" t="str">
        <f>+[1]Master!G236</f>
        <v>Avgust</v>
      </c>
      <c r="O8" s="170" t="str">
        <f>+[1]Master!G237</f>
        <v>Septembar</v>
      </c>
      <c r="P8" s="170" t="str">
        <f>+[1]Master!G238</f>
        <v>Oktobar</v>
      </c>
      <c r="Q8" s="170" t="str">
        <f>+[1]Master!G239</f>
        <v>Novembar</v>
      </c>
      <c r="R8" s="170" t="str">
        <f>+[1]Master!G240</f>
        <v>Decembar</v>
      </c>
      <c r="S8" s="463" t="str">
        <f>+[1]Master!G243</f>
        <v>Jan - Dec</v>
      </c>
      <c r="T8" s="467"/>
    </row>
    <row r="9" spans="1:20" ht="13.5" thickBot="1">
      <c r="A9" s="169"/>
      <c r="B9" s="459"/>
      <c r="C9" s="460"/>
      <c r="D9" s="460"/>
      <c r="E9" s="460"/>
      <c r="F9" s="461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+[1]Master!G247</f>
        <v>% BDP</v>
      </c>
    </row>
    <row r="10" spans="1:20" ht="13.5" thickBot="1">
      <c r="A10" s="175">
        <v>7</v>
      </c>
      <c r="B10" s="496" t="str">
        <f>+VLOOKUP($A10,[1]Master!$D$25:$G$223,4,FALSE)</f>
        <v>Prihodi budžeta</v>
      </c>
      <c r="C10" s="497"/>
      <c r="D10" s="497"/>
      <c r="E10" s="497"/>
      <c r="F10" s="497"/>
      <c r="G10" s="415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498" t="str">
        <f>+VLOOKUP($A11,[1]Master!$D$25:$G$223,4,FALSE)</f>
        <v>Porezi</v>
      </c>
      <c r="C11" s="499"/>
      <c r="D11" s="499"/>
      <c r="E11" s="499"/>
      <c r="F11" s="499"/>
      <c r="G11" s="417">
        <f t="shared" ref="G11:R11" si="2">+SUM(G12:G18)</f>
        <v>53512170.450000003</v>
      </c>
      <c r="H11" s="416">
        <f t="shared" si="2"/>
        <v>50615120.200000003</v>
      </c>
      <c r="I11" s="416">
        <f t="shared" si="2"/>
        <v>90524246.909999996</v>
      </c>
      <c r="J11" s="416">
        <f t="shared" si="2"/>
        <v>81677988.170000002</v>
      </c>
      <c r="K11" s="416">
        <f t="shared" si="2"/>
        <v>77800336.479999989</v>
      </c>
      <c r="L11" s="416">
        <f t="shared" si="2"/>
        <v>85282444.409999996</v>
      </c>
      <c r="M11" s="416">
        <f t="shared" si="2"/>
        <v>89248400.649999991</v>
      </c>
      <c r="N11" s="416">
        <f t="shared" si="2"/>
        <v>99153787.180000007</v>
      </c>
      <c r="O11" s="416">
        <f t="shared" si="2"/>
        <v>92913520.620000005</v>
      </c>
      <c r="P11" s="416">
        <f t="shared" si="2"/>
        <v>86378572.320000008</v>
      </c>
      <c r="Q11" s="416">
        <f t="shared" si="2"/>
        <v>74654697.830000013</v>
      </c>
      <c r="R11" s="416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84" t="str">
        <f>+VLOOKUP($A12,[1]Master!$D$25:$G$223,4,FALSE)</f>
        <v>Porez na dohodak fizičkih lica</v>
      </c>
      <c r="C12" s="485"/>
      <c r="D12" s="485"/>
      <c r="E12" s="485"/>
      <c r="F12" s="485"/>
      <c r="G12" s="418">
        <v>3855468.97</v>
      </c>
      <c r="H12" s="418">
        <v>7751521.5300000003</v>
      </c>
      <c r="I12" s="418">
        <v>9093379.6300000008</v>
      </c>
      <c r="J12" s="418">
        <v>8729072.4399999995</v>
      </c>
      <c r="K12" s="418">
        <v>9825835.5299999993</v>
      </c>
      <c r="L12" s="418">
        <v>9719543.6799999997</v>
      </c>
      <c r="M12" s="418">
        <v>10577855.74</v>
      </c>
      <c r="N12" s="418">
        <v>10476522.35</v>
      </c>
      <c r="O12" s="418">
        <v>9609655.3800000008</v>
      </c>
      <c r="P12" s="418">
        <v>10226839.18</v>
      </c>
      <c r="Q12" s="418">
        <v>7670634.21</v>
      </c>
      <c r="R12" s="418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84" t="str">
        <f>+VLOOKUP($A13,[1]Master!$D$25:$G$223,4,FALSE)</f>
        <v>Porez na dobit pravnih lica</v>
      </c>
      <c r="C13" s="485"/>
      <c r="D13" s="485"/>
      <c r="E13" s="485"/>
      <c r="F13" s="485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84" t="str">
        <f>+VLOOKUP($A14,[1]Master!$D$25:$G$223,4,FALSE)</f>
        <v>Porez na promet nepokretnosti</v>
      </c>
      <c r="C14" s="485"/>
      <c r="D14" s="485"/>
      <c r="E14" s="485"/>
      <c r="F14" s="485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84" t="str">
        <f>+VLOOKUP($A15,[1]Master!$D$25:$G$223,4,FALSE)</f>
        <v>Porez na dodatu vrijednost</v>
      </c>
      <c r="C15" s="485"/>
      <c r="D15" s="485"/>
      <c r="E15" s="485"/>
      <c r="F15" s="485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84" t="str">
        <f>+VLOOKUP($A16,[1]Master!$D$25:$G$223,4,FALSE)</f>
        <v>Akcize</v>
      </c>
      <c r="C16" s="485"/>
      <c r="D16" s="485"/>
      <c r="E16" s="485"/>
      <c r="F16" s="485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84" t="str">
        <f>+VLOOKUP($A17,[1]Master!$D$25:$G$223,4,FALSE)</f>
        <v>Porez na međunarodnu trgovinu i transakcije</v>
      </c>
      <c r="C17" s="485"/>
      <c r="D17" s="485"/>
      <c r="E17" s="485"/>
      <c r="F17" s="485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84" t="str">
        <f>+VLOOKUP($A18,[1]Master!$D$25:$G$223,4,FALSE)</f>
        <v>Ostali državni porezi</v>
      </c>
      <c r="C18" s="485"/>
      <c r="D18" s="485"/>
      <c r="E18" s="485"/>
      <c r="F18" s="485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494" t="str">
        <f>+VLOOKUP($A19,[1]Master!$D$25:$G$223,4,FALSE)</f>
        <v>Doprinosi</v>
      </c>
      <c r="C19" s="495"/>
      <c r="D19" s="495"/>
      <c r="E19" s="495"/>
      <c r="F19" s="495"/>
      <c r="G19" s="419">
        <f>+INDEX([1]DataEx!$1:$1048576,MATCH('2017'!$A19,[1]DataEx!$D:$D,0),MATCH('2017'!G$6,[1]DataEx!$7:$7,0))</f>
        <v>15942566.910000002</v>
      </c>
      <c r="H19" s="419">
        <f>+INDEX([1]DataEx!$1:$1048576,MATCH('2017'!$A19,[1]DataEx!$D:$D,0),MATCH('2017'!H$6,[1]DataEx!$7:$7,0))</f>
        <v>32105522.039999999</v>
      </c>
      <c r="I19" s="419">
        <f>+INDEX([1]DataEx!$1:$1048576,MATCH('2017'!$A19,[1]DataEx!$D:$D,0),MATCH('2017'!I$6,[1]DataEx!$7:$7,0))</f>
        <v>37652066.75</v>
      </c>
      <c r="J19" s="419">
        <f>+INDEX([1]DataEx!$1:$1048576,MATCH('2017'!$A19,[1]DataEx!$D:$D,0),MATCH('2017'!J$6,[1]DataEx!$7:$7,0))</f>
        <v>35977730.460000001</v>
      </c>
      <c r="K19" s="419">
        <f>+INDEX([1]DataEx!$1:$1048576,MATCH('2017'!$A19,[1]DataEx!$D:$D,0),MATCH('2017'!K$6,[1]DataEx!$7:$7,0))</f>
        <v>40567246.729999997</v>
      </c>
      <c r="L19" s="419">
        <f>+INDEX([1]DataEx!$1:$1048576,MATCH('2017'!$A19,[1]DataEx!$D:$D,0),MATCH('2017'!L$6,[1]DataEx!$7:$7,0))</f>
        <v>40389805.469999999</v>
      </c>
      <c r="M19" s="419">
        <f>+INDEX([1]DataEx!$1:$1048576,MATCH('2017'!$A19,[1]DataEx!$D:$D,0),MATCH('2017'!M$6,[1]DataEx!$7:$7,0))</f>
        <v>44393326.049999997</v>
      </c>
      <c r="N19" s="419">
        <f>+INDEX([1]DataEx!$1:$1048576,MATCH('2017'!$A19,[1]DataEx!$D:$D,0),MATCH('2017'!N$6,[1]DataEx!$7:$7,0))</f>
        <v>43764113.43</v>
      </c>
      <c r="O19" s="419">
        <f>+INDEX([1]DataEx!$1:$1048576,MATCH('2017'!$A19,[1]DataEx!$D:$D,0),MATCH('2017'!O$6,[1]DataEx!$7:$7,0))</f>
        <v>39922755.840000004</v>
      </c>
      <c r="P19" s="419">
        <f>+INDEX([1]DataEx!$1:$1048576,MATCH('2017'!$A19,[1]DataEx!$D:$D,0),MATCH('2017'!P$6,[1]DataEx!$7:$7,0))</f>
        <v>42882136.189999998</v>
      </c>
      <c r="Q19" s="419">
        <f>+INDEX([1]DataEx!$1:$1048576,MATCH('2017'!$A19,[1]DataEx!$D:$D,0),MATCH('2017'!Q$6,[1]DataEx!$7:$7,0))</f>
        <v>43774643.869999997</v>
      </c>
      <c r="R19" s="419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484" t="str">
        <f>+VLOOKUP($A20,[1]Master!$D$25:$G$223,4,FALSE)</f>
        <v>Doprinosi za penzijsko i invalidsko osiguranje</v>
      </c>
      <c r="C20" s="485"/>
      <c r="D20" s="485"/>
      <c r="E20" s="485"/>
      <c r="F20" s="485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84" t="str">
        <f>+VLOOKUP($A21,[1]Master!$D$25:$G$223,4,FALSE)</f>
        <v>Doprinosi za zdravstveno osiguranje</v>
      </c>
      <c r="C21" s="485"/>
      <c r="D21" s="485"/>
      <c r="E21" s="485"/>
      <c r="F21" s="485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84" t="str">
        <f>+VLOOKUP($A22,[1]Master!$D$25:$G$223,4,FALSE)</f>
        <v>Doprinosi za osiguranje od nezaposlenosti</v>
      </c>
      <c r="C22" s="485"/>
      <c r="D22" s="485"/>
      <c r="E22" s="485"/>
      <c r="F22" s="485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84" t="str">
        <f>+VLOOKUP($A23,[1]Master!$D$25:$G$223,4,FALSE)</f>
        <v>Ostali doprinosi</v>
      </c>
      <c r="C23" s="485"/>
      <c r="D23" s="485"/>
      <c r="E23" s="485"/>
      <c r="F23" s="485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86" t="str">
        <f>+VLOOKUP($A24,[1]Master!$D$25:$G$223,4,FALSE)</f>
        <v>Takse</v>
      </c>
      <c r="C24" s="487"/>
      <c r="D24" s="487"/>
      <c r="E24" s="487"/>
      <c r="F24" s="487"/>
      <c r="G24" s="419">
        <v>579949.69999999995</v>
      </c>
      <c r="H24" s="419">
        <v>799058.78</v>
      </c>
      <c r="I24" s="419">
        <v>1000001.89</v>
      </c>
      <c r="J24" s="419">
        <v>900446.92</v>
      </c>
      <c r="K24" s="419">
        <v>1044119.04</v>
      </c>
      <c r="L24" s="419">
        <v>1380660.13</v>
      </c>
      <c r="M24" s="419">
        <v>1483988.38</v>
      </c>
      <c r="N24" s="419">
        <v>1598254.37</v>
      </c>
      <c r="O24" s="419">
        <v>1300121.74</v>
      </c>
      <c r="P24" s="419">
        <v>1269238.77</v>
      </c>
      <c r="Q24" s="419">
        <v>1101076.77</v>
      </c>
      <c r="R24" s="419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86" t="str">
        <f>+VLOOKUP($A25,[1]Master!$D$25:$G$223,4,FALSE)</f>
        <v>Naknade</v>
      </c>
      <c r="C25" s="487"/>
      <c r="D25" s="487"/>
      <c r="E25" s="487"/>
      <c r="F25" s="487"/>
      <c r="G25" s="419">
        <v>1745843.13</v>
      </c>
      <c r="H25" s="419">
        <v>1266650.8400000001</v>
      </c>
      <c r="I25" s="419">
        <v>1508161.35</v>
      </c>
      <c r="J25" s="419">
        <v>1901163.79</v>
      </c>
      <c r="K25" s="419">
        <v>1513570.26</v>
      </c>
      <c r="L25" s="419">
        <v>830213.16</v>
      </c>
      <c r="M25" s="419">
        <v>1705945.14</v>
      </c>
      <c r="N25" s="419">
        <v>1608311.46</v>
      </c>
      <c r="O25" s="419">
        <v>1107710.8999999999</v>
      </c>
      <c r="P25" s="419">
        <v>1997706.83</v>
      </c>
      <c r="Q25" s="419">
        <v>793640.92</v>
      </c>
      <c r="R25" s="419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486" t="str">
        <f>+VLOOKUP($A26,[1]Master!$D$25:$G$223,4,FALSE)</f>
        <v>Ostali prihodi</v>
      </c>
      <c r="C26" s="487"/>
      <c r="D26" s="487"/>
      <c r="E26" s="487"/>
      <c r="F26" s="487"/>
      <c r="G26" s="419">
        <v>1549598.76</v>
      </c>
      <c r="H26" s="419">
        <v>2362534.5499999998</v>
      </c>
      <c r="I26" s="419">
        <v>2237749.3199999998</v>
      </c>
      <c r="J26" s="419">
        <v>3537625.59</v>
      </c>
      <c r="K26" s="419">
        <v>2195275.86</v>
      </c>
      <c r="L26" s="419">
        <v>3677729.73</v>
      </c>
      <c r="M26" s="419">
        <v>5924157.2800000003</v>
      </c>
      <c r="N26" s="419">
        <v>2465692.11</v>
      </c>
      <c r="O26" s="419">
        <v>1761653.61</v>
      </c>
      <c r="P26" s="419">
        <v>3080830.83</v>
      </c>
      <c r="Q26" s="419">
        <v>1891187.54</v>
      </c>
      <c r="R26" s="419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86" t="str">
        <f>+VLOOKUP($A27,[1]Master!$D$25:$G$223,4,FALSE)</f>
        <v>Primici od otplate kredita i sredstva prenesena iz prethodne godine</v>
      </c>
      <c r="C27" s="487"/>
      <c r="D27" s="487"/>
      <c r="E27" s="487"/>
      <c r="F27" s="487"/>
      <c r="G27" s="419">
        <v>150350.67000000001</v>
      </c>
      <c r="H27" s="419">
        <v>500193.46</v>
      </c>
      <c r="I27" s="419">
        <v>126045.79</v>
      </c>
      <c r="J27" s="419">
        <v>67133.97</v>
      </c>
      <c r="K27" s="419">
        <v>340170.16</v>
      </c>
      <c r="L27" s="419">
        <v>1431878.17</v>
      </c>
      <c r="M27" s="419">
        <v>588856.99</v>
      </c>
      <c r="N27" s="419">
        <v>142813.88</v>
      </c>
      <c r="O27" s="419">
        <v>182139.62</v>
      </c>
      <c r="P27" s="419">
        <v>603855.75</v>
      </c>
      <c r="Q27" s="419">
        <v>987894.53</v>
      </c>
      <c r="R27" s="419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88" t="str">
        <f>+VLOOKUP($A28,[1]Master!$D$25:$G$223,4,FALSE)</f>
        <v>Donacije i transferi</v>
      </c>
      <c r="C28" s="489"/>
      <c r="D28" s="489"/>
      <c r="E28" s="489"/>
      <c r="F28" s="489"/>
      <c r="G28" s="419">
        <v>198902.46</v>
      </c>
      <c r="H28" s="419">
        <v>1119540.18</v>
      </c>
      <c r="I28" s="419">
        <v>2133451.14</v>
      </c>
      <c r="J28" s="419">
        <v>849572.77</v>
      </c>
      <c r="K28" s="419">
        <v>1895943.06</v>
      </c>
      <c r="L28" s="419">
        <v>1063223.94</v>
      </c>
      <c r="M28" s="419">
        <v>2617220.7200000002</v>
      </c>
      <c r="N28" s="419">
        <v>693924.15</v>
      </c>
      <c r="O28" s="419">
        <v>1500964.26</v>
      </c>
      <c r="P28" s="419">
        <v>2652981.5699999998</v>
      </c>
      <c r="Q28" s="419">
        <v>2284497.5299999998</v>
      </c>
      <c r="R28" s="419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74" t="str">
        <f>+VLOOKUP($A29,[1]Master!$D$25:$G$223,4,FALSE)</f>
        <v>Budžetki izdaci</v>
      </c>
      <c r="C29" s="475"/>
      <c r="D29" s="475"/>
      <c r="E29" s="475"/>
      <c r="F29" s="475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41</v>
      </c>
      <c r="B30" s="490" t="str">
        <f>+VLOOKUP($A30,[1]Master!$D$25:$G$223,4,FALSE)</f>
        <v>Tekući izdaci</v>
      </c>
      <c r="C30" s="491"/>
      <c r="D30" s="491"/>
      <c r="E30" s="491"/>
      <c r="F30" s="491"/>
      <c r="G30" s="420">
        <f>+G29-G49</f>
        <v>95081211.609999985</v>
      </c>
      <c r="H30" s="420">
        <f t="shared" ref="H30:R30" si="6">+H29-H49</f>
        <v>105058194.66999999</v>
      </c>
      <c r="I30" s="420">
        <f t="shared" si="6"/>
        <v>159051074.73999998</v>
      </c>
      <c r="J30" s="420">
        <f t="shared" si="6"/>
        <v>134270687.53</v>
      </c>
      <c r="K30" s="420">
        <f t="shared" si="6"/>
        <v>127056839.55</v>
      </c>
      <c r="L30" s="420">
        <f t="shared" si="6"/>
        <v>125448006.67</v>
      </c>
      <c r="M30" s="420">
        <f t="shared" si="6"/>
        <v>135015939.43000001</v>
      </c>
      <c r="N30" s="420">
        <f t="shared" si="6"/>
        <v>119078138.24000001</v>
      </c>
      <c r="O30" s="420">
        <f t="shared" si="6"/>
        <v>117563216.00999998</v>
      </c>
      <c r="P30" s="420">
        <f t="shared" si="6"/>
        <v>126782294.63000003</v>
      </c>
      <c r="Q30" s="420">
        <f t="shared" si="6"/>
        <v>119362889.43000001</v>
      </c>
      <c r="R30" s="420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40</v>
      </c>
      <c r="B31" s="492" t="str">
        <f>+VLOOKUP($A31,[1]Master!$D$25:$G$223,4,FALSE)</f>
        <v>Tekući budžetski izdaci</v>
      </c>
      <c r="C31" s="493"/>
      <c r="D31" s="493"/>
      <c r="E31" s="493"/>
      <c r="F31" s="493"/>
      <c r="G31" s="416">
        <f>+SUM(G32:G41)</f>
        <v>43671166.869999997</v>
      </c>
      <c r="H31" s="416">
        <f t="shared" ref="H31:R31" si="7">+SUM(H32:H41)</f>
        <v>48408706.909999989</v>
      </c>
      <c r="I31" s="416">
        <f t="shared" si="7"/>
        <v>96989262.820000008</v>
      </c>
      <c r="J31" s="416">
        <f t="shared" si="7"/>
        <v>70965970.75</v>
      </c>
      <c r="K31" s="416">
        <f t="shared" si="7"/>
        <v>64485987.470000006</v>
      </c>
      <c r="L31" s="416">
        <f t="shared" si="7"/>
        <v>61416603.619999997</v>
      </c>
      <c r="M31" s="416">
        <f t="shared" si="7"/>
        <v>59163591.209999993</v>
      </c>
      <c r="N31" s="416">
        <f t="shared" si="7"/>
        <v>55546071.519999996</v>
      </c>
      <c r="O31" s="416">
        <f t="shared" si="7"/>
        <v>56191213.159999996</v>
      </c>
      <c r="P31" s="416">
        <f t="shared" si="7"/>
        <v>60486450.390000001</v>
      </c>
      <c r="Q31" s="416">
        <f t="shared" si="7"/>
        <v>60535623.090000004</v>
      </c>
      <c r="R31" s="416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84" t="str">
        <f>+VLOOKUP($A32,[1]Master!$D$25:$G$223,4,FALSE)</f>
        <v>Bruto zarade i doprinosi na teret poslodavca</v>
      </c>
      <c r="C32" s="485"/>
      <c r="D32" s="485"/>
      <c r="E32" s="485"/>
      <c r="F32" s="485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484" t="str">
        <f>+VLOOKUP($A33,[1]Master!$D$25:$G$223,4,FALSE)</f>
        <v>Ostala lična primanja</v>
      </c>
      <c r="C33" s="485"/>
      <c r="D33" s="485"/>
      <c r="E33" s="485"/>
      <c r="F33" s="485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484" t="str">
        <f>+VLOOKUP($A34,[1]Master!$D$25:$G$223,4,FALSE)</f>
        <v>Rashodi za materijal</v>
      </c>
      <c r="C34" s="485"/>
      <c r="D34" s="485"/>
      <c r="E34" s="485"/>
      <c r="F34" s="485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484" t="str">
        <f>+VLOOKUP($A35,[1]Master!$D$25:$G$223,4,FALSE)</f>
        <v>Rashodi za usluge</v>
      </c>
      <c r="C35" s="485"/>
      <c r="D35" s="485"/>
      <c r="E35" s="485"/>
      <c r="F35" s="485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484" t="str">
        <f>+VLOOKUP($A36,[1]Master!$D$25:$G$223,4,FALSE)</f>
        <v>Rashodi za tekuće održavanje</v>
      </c>
      <c r="C36" s="485"/>
      <c r="D36" s="485"/>
      <c r="E36" s="485"/>
      <c r="F36" s="485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484" t="str">
        <f>+VLOOKUP($A37,[1]Master!$D$25:$G$223,4,FALSE)</f>
        <v>Kamate</v>
      </c>
      <c r="C37" s="485"/>
      <c r="D37" s="485"/>
      <c r="E37" s="485"/>
      <c r="F37" s="485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484" t="str">
        <f>+VLOOKUP($A38,[1]Master!$D$25:$G$223,4,FALSE)</f>
        <v>Renta</v>
      </c>
      <c r="C38" s="485"/>
      <c r="D38" s="485"/>
      <c r="E38" s="485"/>
      <c r="F38" s="485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484" t="str">
        <f>+VLOOKUP($A39,[1]Master!$D$25:$G$223,4,FALSE)</f>
        <v>Subvencije</v>
      </c>
      <c r="C39" s="485"/>
      <c r="D39" s="485"/>
      <c r="E39" s="485"/>
      <c r="F39" s="485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484" t="str">
        <f>+VLOOKUP($A40,[1]Master!$D$25:$G$223,4,FALSE)</f>
        <v>Ostali izdaci</v>
      </c>
      <c r="C40" s="485"/>
      <c r="D40" s="485"/>
      <c r="E40" s="485"/>
      <c r="F40" s="485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484" t="str">
        <f>+VLOOKUP($A41,[1]Master!$D$25:$G$223,4,FALSE)</f>
        <v>Kapitalni izdaci u tekućem budžetu</v>
      </c>
      <c r="C41" s="485"/>
      <c r="D41" s="485"/>
      <c r="E41" s="485"/>
      <c r="F41" s="485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80" t="str">
        <f>+VLOOKUP($A42,[1]Master!$D$25:$G$223,4,FALSE)</f>
        <v>Transferi za socijalnu zaštitu</v>
      </c>
      <c r="C42" s="481"/>
      <c r="D42" s="481"/>
      <c r="E42" s="481"/>
      <c r="F42" s="481"/>
      <c r="G42" s="419">
        <f>+SUM(G43:G47)</f>
        <v>43853641.199999996</v>
      </c>
      <c r="H42" s="419">
        <f t="shared" ref="H42:R42" si="8">+SUM(H43:H47)</f>
        <v>46694958.479999997</v>
      </c>
      <c r="I42" s="419">
        <f t="shared" si="8"/>
        <v>46060225.379999995</v>
      </c>
      <c r="J42" s="419">
        <f t="shared" si="8"/>
        <v>45239884.829999998</v>
      </c>
      <c r="K42" s="419">
        <f t="shared" si="8"/>
        <v>45683297.689999998</v>
      </c>
      <c r="L42" s="419">
        <f t="shared" si="8"/>
        <v>45402922.969999999</v>
      </c>
      <c r="M42" s="419">
        <f t="shared" si="8"/>
        <v>45267241.289999999</v>
      </c>
      <c r="N42" s="419">
        <f t="shared" si="8"/>
        <v>42270056.32</v>
      </c>
      <c r="O42" s="419">
        <f t="shared" si="8"/>
        <v>44046758.639999993</v>
      </c>
      <c r="P42" s="419">
        <f t="shared" si="8"/>
        <v>44748876.500000007</v>
      </c>
      <c r="Q42" s="419">
        <f t="shared" si="8"/>
        <v>43633580.93999999</v>
      </c>
      <c r="R42" s="419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484" t="str">
        <f>+VLOOKUP($A43,[1]Master!$D$25:$G$223,4,FALSE)</f>
        <v>Prava iz oblasti socijalne zaštite</v>
      </c>
      <c r="C43" s="485"/>
      <c r="D43" s="485"/>
      <c r="E43" s="485"/>
      <c r="F43" s="485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484" t="str">
        <f>+VLOOKUP($A44,[1]Master!$D$25:$G$223,4,FALSE)</f>
        <v>Sredstva za tehnološke viškove</v>
      </c>
      <c r="C44" s="485"/>
      <c r="D44" s="485"/>
      <c r="E44" s="485"/>
      <c r="F44" s="485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484" t="str">
        <f>+VLOOKUP($A45,[1]Master!$D$25:$G$223,4,FALSE)</f>
        <v>Prava iz oblasti penzijskog i invalidskog osiguranja</v>
      </c>
      <c r="C45" s="485"/>
      <c r="D45" s="485"/>
      <c r="E45" s="485"/>
      <c r="F45" s="485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484" t="str">
        <f>+VLOOKUP($A46,[1]Master!$D$25:$G$223,4,FALSE)</f>
        <v>Ostala prava iz oblasti zdravstvene zaštite</v>
      </c>
      <c r="C46" s="485"/>
      <c r="D46" s="485"/>
      <c r="E46" s="485"/>
      <c r="F46" s="485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484" t="str">
        <f>+VLOOKUP($A47,[1]Master!$D$25:$G$223,4,FALSE)</f>
        <v>Ostala prava iz zdravstvenog osiguranja</v>
      </c>
      <c r="C47" s="485"/>
      <c r="D47" s="485"/>
      <c r="E47" s="485"/>
      <c r="F47" s="485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82" t="str">
        <f>+VLOOKUP($A48,[1]Master!$D$25:$G$223,4,FALSE)</f>
        <v xml:space="preserve">Transferi institucijama, pojedincima, nevladinom i javnom sektoru </v>
      </c>
      <c r="C48" s="483"/>
      <c r="D48" s="483"/>
      <c r="E48" s="483"/>
      <c r="F48" s="483"/>
      <c r="G48" s="419">
        <v>5367351.82</v>
      </c>
      <c r="H48" s="419">
        <v>7878426.2999999998</v>
      </c>
      <c r="I48" s="419">
        <v>12624632.02</v>
      </c>
      <c r="J48" s="419">
        <v>15717196.880000001</v>
      </c>
      <c r="K48" s="419">
        <v>10712461.529999999</v>
      </c>
      <c r="L48" s="419">
        <v>13588572.92</v>
      </c>
      <c r="M48" s="419">
        <v>17165199.760000002</v>
      </c>
      <c r="N48" s="419">
        <v>15793377.119999999</v>
      </c>
      <c r="O48" s="419">
        <v>13743974.02</v>
      </c>
      <c r="P48" s="419">
        <v>13251144.24</v>
      </c>
      <c r="Q48" s="419">
        <v>11142113.050000001</v>
      </c>
      <c r="R48" s="419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82" t="str">
        <f>+VLOOKUP($A49,[1]Master!$D$25:$G$223,4,FALSE)</f>
        <v>Kapitalni budžet</v>
      </c>
      <c r="C49" s="483"/>
      <c r="D49" s="483"/>
      <c r="E49" s="483"/>
      <c r="F49" s="483"/>
      <c r="G49" s="419">
        <v>109644.44</v>
      </c>
      <c r="H49" s="419">
        <v>1491590.34</v>
      </c>
      <c r="I49" s="419">
        <v>7362820.4900000002</v>
      </c>
      <c r="J49" s="419">
        <v>6918517.2599999998</v>
      </c>
      <c r="K49" s="419">
        <v>2511744.17</v>
      </c>
      <c r="L49" s="419">
        <v>22683622.390000001</v>
      </c>
      <c r="M49" s="419">
        <v>10754440.220000001</v>
      </c>
      <c r="N49" s="419">
        <v>29296079.120000001</v>
      </c>
      <c r="O49" s="419">
        <v>19940301.670000002</v>
      </c>
      <c r="P49" s="419">
        <v>29993285.289999999</v>
      </c>
      <c r="Q49" s="419">
        <v>37935759.630000003</v>
      </c>
      <c r="R49" s="419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452" t="str">
        <f>+VLOOKUP($A50,[1]Master!$D$25:$G$223,4,FALSE)</f>
        <v>Pozajmice i krediti</v>
      </c>
      <c r="C50" s="453"/>
      <c r="D50" s="453"/>
      <c r="E50" s="453"/>
      <c r="F50" s="453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52" t="str">
        <f>+VLOOKUP($A51,[1]Master!$D$25:$G$223,4,FALSE)</f>
        <v>Rezerve</v>
      </c>
      <c r="C51" s="453"/>
      <c r="D51" s="453"/>
      <c r="E51" s="453"/>
      <c r="F51" s="453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70" t="str">
        <f>+VLOOKUP($A52,[1]Master!$D$25:$G$223,4,FALSE)</f>
        <v>Otplata garancija</v>
      </c>
      <c r="C52" s="471"/>
      <c r="D52" s="471"/>
      <c r="E52" s="471"/>
      <c r="F52" s="471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70" t="str">
        <f>+VLOOKUP($A53,[1]Master!$D$25:$G$223,4,TRUE)</f>
        <v>Otplata obaveza iz prethodnih godina</v>
      </c>
      <c r="C53" s="471"/>
      <c r="D53" s="471"/>
      <c r="E53" s="471"/>
      <c r="F53" s="471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56" t="str">
        <f>+VLOOKUP($A54,[1]Master!$D$25:$G$225,4,FALSE)</f>
        <v>Neto povećanje obaveza</v>
      </c>
      <c r="C54" s="557"/>
      <c r="D54" s="557"/>
      <c r="E54" s="557"/>
      <c r="F54" s="557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76" t="str">
        <f>+VLOOKUP($A55,[1]Master!$D$25:$G$223,4,FALSE)</f>
        <v>Suficit / deficit</v>
      </c>
      <c r="C55" s="477"/>
      <c r="D55" s="477"/>
      <c r="E55" s="477"/>
      <c r="F55" s="477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34" t="s">
        <v>773</v>
      </c>
      <c r="C56" s="435"/>
      <c r="D56" s="435"/>
      <c r="E56" s="435"/>
      <c r="F56" s="435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78" t="str">
        <f>+VLOOKUP($A57,[1]Master!$D$25:$G$223,4,FALSE)</f>
        <v>Primarni bilans</v>
      </c>
      <c r="C57" s="479"/>
      <c r="D57" s="479"/>
      <c r="E57" s="479"/>
      <c r="F57" s="479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480" t="str">
        <f>+VLOOKUP($A58,[1]Master!$D$25:$G$223,4,FALSE)</f>
        <v>Otplata dugova</v>
      </c>
      <c r="C58" s="481"/>
      <c r="D58" s="481"/>
      <c r="E58" s="481"/>
      <c r="F58" s="481"/>
      <c r="G58" s="421">
        <f t="shared" ref="G58:R58" si="12">+SUM(G59:G60)</f>
        <v>18311638.189999998</v>
      </c>
      <c r="H58" s="421">
        <f t="shared" si="12"/>
        <v>42352594.400000006</v>
      </c>
      <c r="I58" s="421">
        <f t="shared" si="12"/>
        <v>36492059.539999999</v>
      </c>
      <c r="J58" s="421">
        <f t="shared" si="12"/>
        <v>65432249.010000005</v>
      </c>
      <c r="K58" s="421">
        <f t="shared" si="12"/>
        <v>6070178.8200000003</v>
      </c>
      <c r="L58" s="421">
        <f t="shared" si="12"/>
        <v>29898962.890000001</v>
      </c>
      <c r="M58" s="421">
        <f t="shared" si="12"/>
        <v>35563936.18</v>
      </c>
      <c r="N58" s="421">
        <f t="shared" si="12"/>
        <v>68410518.010000005</v>
      </c>
      <c r="O58" s="421">
        <f t="shared" si="12"/>
        <v>13074495.76</v>
      </c>
      <c r="P58" s="421">
        <f t="shared" si="12"/>
        <v>7199515.9700000007</v>
      </c>
      <c r="Q58" s="421">
        <f t="shared" si="12"/>
        <v>7022219.0999999996</v>
      </c>
      <c r="R58" s="421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468" t="str">
        <f>+VLOOKUP($A59,[1]Master!$D$25:$G$223,4,FALSE)</f>
        <v>Otplata hartija od vrijednosti i kredita rezidentima</v>
      </c>
      <c r="C59" s="469"/>
      <c r="D59" s="469"/>
      <c r="E59" s="469"/>
      <c r="F59" s="469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52" t="str">
        <f>+VLOOKUP($A60,[1]Master!$D$25:$G$223,4,FALSE)</f>
        <v>Otplata hartija od vrijednosti i kredita nerezidentima</v>
      </c>
      <c r="C60" s="453"/>
      <c r="D60" s="453"/>
      <c r="E60" s="453"/>
      <c r="F60" s="453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472" t="str">
        <f>+VLOOKUP($A61,[1]Master!$D$25:$G$223,4,FALSE)</f>
        <v>Nedostajuća sredstva</v>
      </c>
      <c r="C61" s="473"/>
      <c r="D61" s="473"/>
      <c r="E61" s="473"/>
      <c r="F61" s="473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74" t="str">
        <f>+VLOOKUP($A62,[1]Master!$D$25:$G$223,4,FALSE)</f>
        <v>Finansiranje</v>
      </c>
      <c r="C62" s="475"/>
      <c r="D62" s="475"/>
      <c r="E62" s="475"/>
      <c r="F62" s="475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468" t="str">
        <f>+VLOOKUP($A63,[1]Master!$D$25:$G$223,4,FALSE)</f>
        <v>Pozajmice i krediti od domaćih izvora</v>
      </c>
      <c r="C63" s="469"/>
      <c r="D63" s="469"/>
      <c r="E63" s="469"/>
      <c r="F63" s="469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52" t="str">
        <f>+VLOOKUP($A64,[1]Master!$D$25:$G$223,4,FALSE)</f>
        <v>Pozajmice i krediti od inostranih izvora</v>
      </c>
      <c r="C64" s="453"/>
      <c r="D64" s="453"/>
      <c r="E64" s="453"/>
      <c r="F64" s="453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52" t="str">
        <f>+VLOOKUP($A65,[1]Master!$D$25:$G$223,4,FALSE)</f>
        <v>Primici od prodaje imovine</v>
      </c>
      <c r="C65" s="453"/>
      <c r="D65" s="453"/>
      <c r="E65" s="453"/>
      <c r="F65" s="453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+VLOOKUP($A66,[1]Master!$D$25:$G$223,4,FALSE)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37" t="str">
        <f>+[1]Master!G250</f>
        <v>Plan ostvarenja budžeta</v>
      </c>
      <c r="C102" s="538"/>
      <c r="D102" s="538"/>
      <c r="E102" s="538"/>
      <c r="F102" s="538"/>
      <c r="G102" s="530">
        <v>2017</v>
      </c>
      <c r="H102" s="531"/>
      <c r="I102" s="531"/>
      <c r="J102" s="531"/>
      <c r="K102" s="531"/>
      <c r="L102" s="531"/>
      <c r="M102" s="531"/>
      <c r="N102" s="531"/>
      <c r="O102" s="531"/>
      <c r="P102" s="531"/>
      <c r="Q102" s="531"/>
      <c r="R102" s="532"/>
      <c r="S102" s="115" t="str">
        <f>+S7</f>
        <v>BDP</v>
      </c>
      <c r="T102" s="116">
        <f>+T7</f>
        <v>4299000000</v>
      </c>
    </row>
    <row r="103" spans="1:21" ht="15.75" customHeight="1">
      <c r="B103" s="539"/>
      <c r="C103" s="540"/>
      <c r="D103" s="540"/>
      <c r="E103" s="540"/>
      <c r="F103" s="541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0" t="str">
        <f>+[1]Master!G244</f>
        <v>Jan - Dec</v>
      </c>
      <c r="T103" s="532">
        <f>+T8</f>
        <v>0</v>
      </c>
    </row>
    <row r="104" spans="1:21" ht="13.5" thickBot="1">
      <c r="B104" s="542"/>
      <c r="C104" s="543"/>
      <c r="D104" s="543"/>
      <c r="E104" s="543"/>
      <c r="F104" s="544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3" t="str">
        <f>+VLOOKUP(LEFT($A105,LEN(A105)-1)*1,[1]Master!$D$25:$G$223,4,FALSE)</f>
        <v>Prihodi budžeta</v>
      </c>
      <c r="C105" s="534"/>
      <c r="D105" s="534"/>
      <c r="E105" s="534"/>
      <c r="F105" s="534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35" t="str">
        <f>+VLOOKUP(LEFT($A106,LEN(A106)-1)*1,[1]Master!$D$25:$G$223,4,FALSE)</f>
        <v>Porezi</v>
      </c>
      <c r="C106" s="536"/>
      <c r="D106" s="536"/>
      <c r="E106" s="536"/>
      <c r="F106" s="536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16" t="str">
        <f>+VLOOKUP(LEFT($A107,LEN(A107)-1)*1,[1]Master!$D$25:$G$223,4,FALSE)</f>
        <v>Porez na dohodak fizičkih lica</v>
      </c>
      <c r="C107" s="517"/>
      <c r="D107" s="517"/>
      <c r="E107" s="517"/>
      <c r="F107" s="517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16" t="str">
        <f>+VLOOKUP(LEFT($A108,LEN(A108)-1)*1,[1]Master!$D$25:$G$223,4,FALSE)</f>
        <v>Porez na dobit pravnih lica</v>
      </c>
      <c r="C108" s="517"/>
      <c r="D108" s="517"/>
      <c r="E108" s="517"/>
      <c r="F108" s="517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16" t="str">
        <f>+VLOOKUP(LEFT($A109,LEN(A109)-1)*1,[1]Master!$D$25:$G$223,4,FALSE)</f>
        <v>Porez na promet nepokretnosti</v>
      </c>
      <c r="C109" s="517"/>
      <c r="D109" s="517"/>
      <c r="E109" s="517"/>
      <c r="F109" s="517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16" t="str">
        <f>+VLOOKUP(LEFT($A110,LEN(A110)-1)*1,[1]Master!$D$25:$G$223,4,FALSE)</f>
        <v>Porez na dodatu vrijednost</v>
      </c>
      <c r="C110" s="517"/>
      <c r="D110" s="517"/>
      <c r="E110" s="517"/>
      <c r="F110" s="517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16" t="str">
        <f>+VLOOKUP(LEFT($A111,LEN(A111)-1)*1,[1]Master!$D$25:$G$223,4,FALSE)</f>
        <v>Akcize</v>
      </c>
      <c r="C111" s="517"/>
      <c r="D111" s="517"/>
      <c r="E111" s="517"/>
      <c r="F111" s="517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16" t="str">
        <f>+VLOOKUP(LEFT($A112,LEN(A112)-1)*1,[1]Master!$D$25:$G$223,4,FALSE)</f>
        <v>Porez na međunarodnu trgovinu i transakcije</v>
      </c>
      <c r="C112" s="517"/>
      <c r="D112" s="517"/>
      <c r="E112" s="517"/>
      <c r="F112" s="517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16" t="str">
        <f>+VLOOKUP(LEFT($A113,LEN(A113)-1)*1,[1]Master!$D$25:$G$223,4,FALSE)</f>
        <v>Ostali državni porezi</v>
      </c>
      <c r="C113" s="517"/>
      <c r="D113" s="517"/>
      <c r="E113" s="517"/>
      <c r="F113" s="517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28" t="str">
        <f>+VLOOKUP(LEFT($A114,LEN(A114)-1)*1,[1]Master!$D$25:$G$223,4,FALSE)</f>
        <v>Doprinosi</v>
      </c>
      <c r="C114" s="529"/>
      <c r="D114" s="529"/>
      <c r="E114" s="529"/>
      <c r="F114" s="529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16" t="str">
        <f>+VLOOKUP(LEFT($A115,LEN(A115)-1)*1,[1]Master!$D$25:$G$223,4,FALSE)</f>
        <v>Doprinosi za penzijsko i invalidsko osiguranje</v>
      </c>
      <c r="C115" s="517"/>
      <c r="D115" s="517"/>
      <c r="E115" s="517"/>
      <c r="F115" s="517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16" t="str">
        <f>+VLOOKUP(LEFT($A116,LEN(A116)-1)*1,[1]Master!$D$25:$G$223,4,FALSE)</f>
        <v>Doprinosi za zdravstveno osiguranje</v>
      </c>
      <c r="C116" s="517"/>
      <c r="D116" s="517"/>
      <c r="E116" s="517"/>
      <c r="F116" s="517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16" t="str">
        <f>+VLOOKUP(LEFT($A117,LEN(A117)-1)*1,[1]Master!$D$25:$G$223,4,FALSE)</f>
        <v>Doprinosi za osiguranje od nezaposlenosti</v>
      </c>
      <c r="C117" s="517"/>
      <c r="D117" s="517"/>
      <c r="E117" s="517"/>
      <c r="F117" s="517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16" t="str">
        <f>+VLOOKUP(LEFT($A118,LEN(A118)-1)*1,[1]Master!$D$25:$G$223,4,FALSE)</f>
        <v>Ostali doprinosi</v>
      </c>
      <c r="C118" s="517"/>
      <c r="D118" s="517"/>
      <c r="E118" s="517"/>
      <c r="F118" s="517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20" t="str">
        <f>+VLOOKUP(LEFT($A119,LEN(A119)-1)*1,[1]Master!$D$25:$G$223,4,FALSE)</f>
        <v>Takse</v>
      </c>
      <c r="C119" s="521"/>
      <c r="D119" s="521"/>
      <c r="E119" s="521"/>
      <c r="F119" s="521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20" t="str">
        <f>+VLOOKUP(LEFT($A120,LEN(A120)-1)*1,[1]Master!$D$25:$G$223,4,FALSE)</f>
        <v>Naknade</v>
      </c>
      <c r="C120" s="521"/>
      <c r="D120" s="521"/>
      <c r="E120" s="521"/>
      <c r="F120" s="521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20" t="str">
        <f>+VLOOKUP(LEFT($A121,LEN(A121)-1)*1,[1]Master!$D$25:$G$223,4,FALSE)</f>
        <v>Ostali prihodi</v>
      </c>
      <c r="C121" s="521"/>
      <c r="D121" s="521"/>
      <c r="E121" s="521"/>
      <c r="F121" s="521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20" t="str">
        <f>+VLOOKUP(LEFT($A122,LEN(A122)-1)*1,[1]Master!$D$25:$G$223,4,FALSE)</f>
        <v>Primici od otplate kredita i sredstva prenesena iz prethodne godine</v>
      </c>
      <c r="C122" s="521"/>
      <c r="D122" s="521"/>
      <c r="E122" s="521"/>
      <c r="F122" s="521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22" t="str">
        <f>+VLOOKUP(LEFT($A123,LEN(A123)-1)*1,[1]Master!$D$25:$G$223,4,FALSE)</f>
        <v>Donacije i transferi</v>
      </c>
      <c r="C123" s="523"/>
      <c r="D123" s="523"/>
      <c r="E123" s="523"/>
      <c r="F123" s="523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08" t="str">
        <f>+VLOOKUP(LEFT($A124,LEN(A124)-1)*1,[1]Master!$D$25:$G$223,4,FALSE)</f>
        <v>Budžetki izdaci</v>
      </c>
      <c r="C124" s="509"/>
      <c r="D124" s="509"/>
      <c r="E124" s="509"/>
      <c r="F124" s="509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41p</v>
      </c>
      <c r="B125" s="524" t="str">
        <f>+VLOOKUP(LEFT($A125,LEN(A125)-1)*1,[1]Master!$D$25:$G$223,4,FALSE)</f>
        <v>Tekući izdaci</v>
      </c>
      <c r="C125" s="525"/>
      <c r="D125" s="525"/>
      <c r="E125" s="525"/>
      <c r="F125" s="525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40p</v>
      </c>
      <c r="B126" s="526" t="str">
        <f>+VLOOKUP(LEFT($A126,LEN(A126)-1)*1,[1]Master!$D$25:$G$223,4,FALSE)</f>
        <v>Tekući budžetski izdaci</v>
      </c>
      <c r="C126" s="527"/>
      <c r="D126" s="527"/>
      <c r="E126" s="527"/>
      <c r="F126" s="527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16" t="str">
        <f>+VLOOKUP(LEFT($A127,LEN(A127)-1)*1,[1]Master!$D$25:$G$223,4,FALSE)</f>
        <v>Bruto zarade i doprinosi na teret poslodavca</v>
      </c>
      <c r="C127" s="517"/>
      <c r="D127" s="517"/>
      <c r="E127" s="517"/>
      <c r="F127" s="517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16" t="str">
        <f>+VLOOKUP(LEFT($A128,LEN(A128)-1)*1,[1]Master!$D$25:$G$223,4,FALSE)</f>
        <v>Ostala lična primanja</v>
      </c>
      <c r="C128" s="517"/>
      <c r="D128" s="517"/>
      <c r="E128" s="517"/>
      <c r="F128" s="517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16" t="str">
        <f>+VLOOKUP(LEFT($A129,LEN(A129)-1)*1,[1]Master!$D$25:$G$223,4,FALSE)</f>
        <v>Rashodi za materijal</v>
      </c>
      <c r="C129" s="517"/>
      <c r="D129" s="517"/>
      <c r="E129" s="517"/>
      <c r="F129" s="517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16" t="str">
        <f>+VLOOKUP(LEFT($A130,LEN(A130)-1)*1,[1]Master!$D$25:$G$223,4,FALSE)</f>
        <v>Rashodi za usluge</v>
      </c>
      <c r="C130" s="517"/>
      <c r="D130" s="517"/>
      <c r="E130" s="517"/>
      <c r="F130" s="517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16" t="str">
        <f>+VLOOKUP(LEFT($A131,LEN(A131)-1)*1,[1]Master!$D$25:$G$223,4,FALSE)</f>
        <v>Rashodi za tekuće održavanje</v>
      </c>
      <c r="C131" s="517"/>
      <c r="D131" s="517"/>
      <c r="E131" s="517"/>
      <c r="F131" s="517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16" t="str">
        <f>+VLOOKUP(LEFT($A132,LEN(A132)-1)*1,[1]Master!$D$25:$G$223,4,FALSE)</f>
        <v>Kamate</v>
      </c>
      <c r="C132" s="517"/>
      <c r="D132" s="517"/>
      <c r="E132" s="517"/>
      <c r="F132" s="517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16" t="str">
        <f>+VLOOKUP(LEFT($A133,LEN(A133)-1)*1,[1]Master!$D$25:$G$223,4,FALSE)</f>
        <v>Renta</v>
      </c>
      <c r="C133" s="517"/>
      <c r="D133" s="517"/>
      <c r="E133" s="517"/>
      <c r="F133" s="517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16" t="str">
        <f>+VLOOKUP(LEFT($A134,LEN(A134)-1)*1,[1]Master!$D$25:$G$223,4,FALSE)</f>
        <v>Subvencije</v>
      </c>
      <c r="C134" s="517"/>
      <c r="D134" s="517"/>
      <c r="E134" s="517"/>
      <c r="F134" s="517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16" t="str">
        <f>+VLOOKUP(LEFT($A135,LEN(A135)-1)*1,[1]Master!$D$25:$G$223,4,FALSE)</f>
        <v>Ostali izdaci</v>
      </c>
      <c r="C135" s="517"/>
      <c r="D135" s="517"/>
      <c r="E135" s="517"/>
      <c r="F135" s="517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16" t="str">
        <f>+VLOOKUP(LEFT($A136,LEN(A136)-1)*1,[1]Master!$D$25:$G$223,4,FALSE)</f>
        <v>Kapitalni izdaci u tekućem budžetu</v>
      </c>
      <c r="C136" s="517"/>
      <c r="D136" s="517"/>
      <c r="E136" s="517"/>
      <c r="F136" s="517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14" t="str">
        <f>+VLOOKUP(LEFT($A137,LEN(A137)-1)*1,[1]Master!$D$25:$G$223,4,FALSE)</f>
        <v>Transferi za socijalnu zaštitu</v>
      </c>
      <c r="C137" s="515"/>
      <c r="D137" s="515"/>
      <c r="E137" s="515"/>
      <c r="F137" s="515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16" t="str">
        <f>+VLOOKUP(LEFT($A138,LEN(A138)-1)*1,[1]Master!$D$25:$G$223,4,FALSE)</f>
        <v>Prava iz oblasti socijalne zaštite</v>
      </c>
      <c r="C138" s="517"/>
      <c r="D138" s="517"/>
      <c r="E138" s="517"/>
      <c r="F138" s="517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16" t="str">
        <f>+VLOOKUP(LEFT($A139,LEN(A139)-1)*1,[1]Master!$D$25:$G$223,4,FALSE)</f>
        <v>Sredstva za tehnološke viškove</v>
      </c>
      <c r="C139" s="517"/>
      <c r="D139" s="517"/>
      <c r="E139" s="517"/>
      <c r="F139" s="517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16" t="str">
        <f>+VLOOKUP(LEFT($A140,LEN(A140)-1)*1,[1]Master!$D$25:$G$223,4,FALSE)</f>
        <v>Prava iz oblasti penzijskog i invalidskog osiguranja</v>
      </c>
      <c r="C140" s="517"/>
      <c r="D140" s="517"/>
      <c r="E140" s="517"/>
      <c r="F140" s="517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16" t="str">
        <f>+VLOOKUP(LEFT($A141,LEN(A141)-1)*1,[1]Master!$D$25:$G$223,4,FALSE)</f>
        <v>Ostala prava iz oblasti zdravstvene zaštite</v>
      </c>
      <c r="C141" s="517"/>
      <c r="D141" s="517"/>
      <c r="E141" s="517"/>
      <c r="F141" s="517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16" t="str">
        <f>+VLOOKUP(LEFT($A142,LEN(A142)-1)*1,[1]Master!$D$25:$G$223,4,FALSE)</f>
        <v>Ostala prava iz zdravstvenog osiguranja</v>
      </c>
      <c r="C142" s="517"/>
      <c r="D142" s="517"/>
      <c r="E142" s="517"/>
      <c r="F142" s="517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18" t="str">
        <f>+VLOOKUP(LEFT($A143,LEN(A143)-1)*1,[1]Master!$D$25:$G$223,4,FALSE)</f>
        <v xml:space="preserve">Transferi institucijama, pojedincima, nevladinom i javnom sektoru </v>
      </c>
      <c r="C143" s="519"/>
      <c r="D143" s="519"/>
      <c r="E143" s="519"/>
      <c r="F143" s="519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18" t="str">
        <f>+VLOOKUP(LEFT($A144,LEN(A144)-1)*1,[1]Master!$D$25:$G$223,4,FALSE)</f>
        <v>Kapitalni budžet</v>
      </c>
      <c r="C144" s="519"/>
      <c r="D144" s="519"/>
      <c r="E144" s="519"/>
      <c r="F144" s="519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02" t="str">
        <f>+VLOOKUP(LEFT($A145,LEN(A145)-1)*1,[1]Master!$D$25:$G$223,4,FALSE)</f>
        <v>Pozajmice i krediti</v>
      </c>
      <c r="C145" s="503"/>
      <c r="D145" s="503"/>
      <c r="E145" s="503"/>
      <c r="F145" s="503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02" t="str">
        <f>+VLOOKUP(LEFT($A146,LEN(A146)-1)*1,[1]Master!$D$25:$G$223,4,FALSE)</f>
        <v>Rezerve</v>
      </c>
      <c r="C146" s="503"/>
      <c r="D146" s="503"/>
      <c r="E146" s="503"/>
      <c r="F146" s="503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02" t="str">
        <f>+VLOOKUP(LEFT($A147,LEN(A147)-1)*1,[1]Master!$D$25:$G$223,4,FALSE)</f>
        <v>Otplata garancija</v>
      </c>
      <c r="C147" s="503"/>
      <c r="D147" s="503"/>
      <c r="E147" s="503"/>
      <c r="F147" s="503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13" t="s">
        <v>694</v>
      </c>
      <c r="C148" s="414"/>
      <c r="D148" s="414"/>
      <c r="E148" s="414"/>
      <c r="F148" s="414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0" t="str">
        <f>+VLOOKUP(LEFT($A149,LEN(A149)-1)*1,[1]Master!$D$25:$G$223,4,FALSE)</f>
        <v>Suficit / deficit</v>
      </c>
      <c r="C149" s="511"/>
      <c r="D149" s="511"/>
      <c r="E149" s="511"/>
      <c r="F149" s="511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12" t="str">
        <f>+VLOOKUP(LEFT($A150,LEN(A150)-1)*1,[1]Master!$D$25:$G$223,4,FALSE)</f>
        <v>Primarni bilans</v>
      </c>
      <c r="C150" s="513"/>
      <c r="D150" s="513"/>
      <c r="E150" s="513"/>
      <c r="F150" s="513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14" t="str">
        <f>+VLOOKUP(LEFT($A151,LEN(A151)-1)*1,[1]Master!$D$25:$G$223,4,FALSE)</f>
        <v>Otplata dugova</v>
      </c>
      <c r="C151" s="515"/>
      <c r="D151" s="515"/>
      <c r="E151" s="515"/>
      <c r="F151" s="515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04" t="str">
        <f>+VLOOKUP(LEFT($A152,LEN(A152)-1)*1,[1]Master!$D$25:$G$223,4,FALSE)</f>
        <v>Otplata hartija od vrijednosti i kredita rezidentima</v>
      </c>
      <c r="C152" s="505"/>
      <c r="D152" s="505"/>
      <c r="E152" s="505"/>
      <c r="F152" s="505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02" t="str">
        <f>+VLOOKUP(LEFT($A153,LEN(A153)-1)*1,[1]Master!$D$25:$G$223,4,FALSE)</f>
        <v>Otplata hartija od vrijednosti i kredita nerezidentima</v>
      </c>
      <c r="C153" s="503"/>
      <c r="D153" s="503"/>
      <c r="E153" s="503"/>
      <c r="F153" s="503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56" t="str">
        <f>+VLOOKUP(LEFT($A154,LEN(A154)-1)*1,[1]Master!$D$25:$G$223,4,FALSE)</f>
        <v>Otplata obaveza iz prethodnih godina</v>
      </c>
      <c r="C154" s="557"/>
      <c r="D154" s="557"/>
      <c r="E154" s="557"/>
      <c r="F154" s="557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06" t="str">
        <f>+VLOOKUP(LEFT($A155,LEN(A155)-1)*1,[1]Master!$D$25:$G$223,4,FALSE)</f>
        <v>Nedostajuća sredstva</v>
      </c>
      <c r="C155" s="507"/>
      <c r="D155" s="507"/>
      <c r="E155" s="507"/>
      <c r="F155" s="507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08" t="str">
        <f>+VLOOKUP(LEFT($A156,LEN(A156)-1)*1,[1]Master!$D$25:$G$223,4,FALSE)</f>
        <v>Finansiranje</v>
      </c>
      <c r="C156" s="509"/>
      <c r="D156" s="509"/>
      <c r="E156" s="509"/>
      <c r="F156" s="509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04" t="str">
        <f>+VLOOKUP(LEFT($A157,LEN(A157)-1)*1,[1]Master!$D$25:$G$223,4,FALSE)</f>
        <v>Pozajmice i krediti od domaćih izvora</v>
      </c>
      <c r="C157" s="505"/>
      <c r="D157" s="505"/>
      <c r="E157" s="505"/>
      <c r="F157" s="505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02" t="str">
        <f>+VLOOKUP(LEFT($A158,LEN(A158)-1)*1,[1]Master!$D$25:$G$223,4,FALSE)</f>
        <v>Pozajmice i krediti od inostranih izvora</v>
      </c>
      <c r="C158" s="503"/>
      <c r="D158" s="503"/>
      <c r="E158" s="503"/>
      <c r="F158" s="503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02" t="str">
        <f>+VLOOKUP(LEFT($A159,LEN(A159)-1)*1,[1]Master!$D$25:$G$223,4,FALSE)</f>
        <v>Primici od prodaje imovine</v>
      </c>
      <c r="C159" s="503"/>
      <c r="D159" s="503"/>
      <c r="E159" s="503"/>
      <c r="F159" s="503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2" activePane="bottomLeft" state="frozen"/>
      <selection pane="bottomLeft" activeCell="B41" sqref="B41:F41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703</v>
      </c>
      <c r="H6" s="259" t="s">
        <v>704</v>
      </c>
      <c r="I6" s="259" t="s">
        <v>705</v>
      </c>
      <c r="J6" s="259" t="s">
        <v>706</v>
      </c>
      <c r="K6" s="259" t="s">
        <v>707</v>
      </c>
      <c r="L6" s="259" t="s">
        <v>708</v>
      </c>
      <c r="M6" s="259" t="s">
        <v>709</v>
      </c>
      <c r="N6" s="259" t="s">
        <v>710</v>
      </c>
      <c r="O6" s="259" t="s">
        <v>711</v>
      </c>
      <c r="P6" s="259" t="s">
        <v>712</v>
      </c>
      <c r="Q6" s="259" t="s">
        <v>713</v>
      </c>
      <c r="R6" s="259" t="s">
        <v>714</v>
      </c>
      <c r="S6" s="258"/>
      <c r="T6" s="258"/>
    </row>
    <row r="7" spans="1:20" ht="15" customHeight="1" thickBot="1">
      <c r="A7" s="169"/>
      <c r="B7" s="555" t="str">
        <f>+Master!G251</f>
        <v>Ostvarenje budžeta</v>
      </c>
      <c r="C7" s="455"/>
      <c r="D7" s="455"/>
      <c r="E7" s="455"/>
      <c r="F7" s="455"/>
      <c r="G7" s="463">
        <v>2016</v>
      </c>
      <c r="H7" s="464"/>
      <c r="I7" s="464"/>
      <c r="J7" s="464"/>
      <c r="K7" s="464"/>
      <c r="L7" s="464"/>
      <c r="M7" s="464"/>
      <c r="N7" s="464"/>
      <c r="O7" s="464"/>
      <c r="P7" s="464"/>
      <c r="Q7" s="464"/>
      <c r="R7" s="467"/>
      <c r="S7" s="260" t="str">
        <f>+Master!G248</f>
        <v>BDP</v>
      </c>
      <c r="T7" s="261">
        <v>3954200000</v>
      </c>
    </row>
    <row r="8" spans="1:20" ht="16.5" customHeight="1">
      <c r="A8" s="169"/>
      <c r="B8" s="456"/>
      <c r="C8" s="457"/>
      <c r="D8" s="457"/>
      <c r="E8" s="457"/>
      <c r="F8" s="458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3" t="str">
        <f>+Master!G245</f>
        <v>Jan - Maj</v>
      </c>
      <c r="T8" s="467"/>
    </row>
    <row r="9" spans="1:20" ht="13.5" thickBot="1">
      <c r="A9" s="169"/>
      <c r="B9" s="459"/>
      <c r="C9" s="460"/>
      <c r="D9" s="460"/>
      <c r="E9" s="460"/>
      <c r="F9" s="461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96" t="str">
        <f>+VLOOKUP($A10,Master!$D$27:$G$225,4,FALSE)</f>
        <v>Prihodi budžeta</v>
      </c>
      <c r="C10" s="497"/>
      <c r="D10" s="497"/>
      <c r="E10" s="497"/>
      <c r="F10" s="497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498" t="str">
        <f>+VLOOKUP($A11,Master!$D$27:$G$225,4,FALSE)</f>
        <v>Porezi</v>
      </c>
      <c r="C11" s="499"/>
      <c r="D11" s="499"/>
      <c r="E11" s="499"/>
      <c r="F11" s="499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84" t="str">
        <f>+VLOOKUP($A12,Master!$D$27:$G$225,4,FALSE)</f>
        <v>Porez na dohodak fizičkih lica</v>
      </c>
      <c r="C12" s="485"/>
      <c r="D12" s="485"/>
      <c r="E12" s="485"/>
      <c r="F12" s="485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84" t="str">
        <f>+VLOOKUP($A13,Master!$D$27:$G$225,4,FALSE)</f>
        <v>Porez na dobit pravnih lica</v>
      </c>
      <c r="C13" s="485"/>
      <c r="D13" s="485"/>
      <c r="E13" s="485"/>
      <c r="F13" s="485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84" t="str">
        <f>+VLOOKUP($A14,Master!$D$27:$G$225,4,FALSE)</f>
        <v>Porez na promet nepokretnosti</v>
      </c>
      <c r="C14" s="485"/>
      <c r="D14" s="485"/>
      <c r="E14" s="485"/>
      <c r="F14" s="485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84" t="str">
        <f>+VLOOKUP($A15,Master!$D$27:$G$225,4,FALSE)</f>
        <v>Porez na dodatu vrijednost</v>
      </c>
      <c r="C15" s="485"/>
      <c r="D15" s="485"/>
      <c r="E15" s="485"/>
      <c r="F15" s="485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84" t="str">
        <f>+VLOOKUP($A16,Master!$D$27:$G$225,4,FALSE)</f>
        <v>Akcize</v>
      </c>
      <c r="C16" s="485"/>
      <c r="D16" s="485"/>
      <c r="E16" s="485"/>
      <c r="F16" s="485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84" t="str">
        <f>+VLOOKUP($A17,Master!$D$27:$G$225,4,FALSE)</f>
        <v>Porez na međunarodnu trgovinu i transakcije</v>
      </c>
      <c r="C17" s="485"/>
      <c r="D17" s="485"/>
      <c r="E17" s="485"/>
      <c r="F17" s="485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84" t="str">
        <f>+VLOOKUP($A18,Master!$D$27:$G$225,4,FALSE)</f>
        <v>Ostali državni porezi</v>
      </c>
      <c r="C18" s="485"/>
      <c r="D18" s="485"/>
      <c r="E18" s="485"/>
      <c r="F18" s="485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494" t="str">
        <f>+VLOOKUP($A19,Master!$D$27:$G$225,4,FALSE)</f>
        <v>Doprinosi</v>
      </c>
      <c r="C19" s="495"/>
      <c r="D19" s="495"/>
      <c r="E19" s="495"/>
      <c r="F19" s="495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84" t="str">
        <f>+VLOOKUP($A20,Master!$D$27:$G$225,4,FALSE)</f>
        <v>Doprinosi za penzijsko i invalidsko osiguranje</v>
      </c>
      <c r="C20" s="485"/>
      <c r="D20" s="485"/>
      <c r="E20" s="485"/>
      <c r="F20" s="485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84" t="str">
        <f>+VLOOKUP($A21,Master!$D$27:$G$225,4,FALSE)</f>
        <v>Doprinosi za zdravstveno osiguranje</v>
      </c>
      <c r="C21" s="485"/>
      <c r="D21" s="485"/>
      <c r="E21" s="485"/>
      <c r="F21" s="485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84" t="str">
        <f>+VLOOKUP($A22,Master!$D$27:$G$225,4,FALSE)</f>
        <v>Doprinosi za osiguranje od nezaposlenosti</v>
      </c>
      <c r="C22" s="485"/>
      <c r="D22" s="485"/>
      <c r="E22" s="485"/>
      <c r="F22" s="485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84" t="str">
        <f>+VLOOKUP($A23,Master!$D$27:$G$225,4,FALSE)</f>
        <v>Ostali doprinosi</v>
      </c>
      <c r="C23" s="485"/>
      <c r="D23" s="485"/>
      <c r="E23" s="485"/>
      <c r="F23" s="485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86" t="str">
        <f>+VLOOKUP($A24,Master!$D$27:$G$225,4,FALSE)</f>
        <v>Takse</v>
      </c>
      <c r="C24" s="487"/>
      <c r="D24" s="487"/>
      <c r="E24" s="487"/>
      <c r="F24" s="487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86" t="str">
        <f>+VLOOKUP($A25,Master!$D$27:$G$225,4,FALSE)</f>
        <v>Naknade</v>
      </c>
      <c r="C25" s="487"/>
      <c r="D25" s="487"/>
      <c r="E25" s="487"/>
      <c r="F25" s="487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86" t="str">
        <f>+VLOOKUP($A26,Master!$D$27:$G$225,4,FALSE)</f>
        <v>Ostali prihodi</v>
      </c>
      <c r="C26" s="487"/>
      <c r="D26" s="487"/>
      <c r="E26" s="487"/>
      <c r="F26" s="487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86" t="str">
        <f>+VLOOKUP($A27,Master!$D$27:$G$225,4,FALSE)</f>
        <v>Primici od otplate kredita i sredstva prenesena iz prethodne godine</v>
      </c>
      <c r="C27" s="487"/>
      <c r="D27" s="487"/>
      <c r="E27" s="487"/>
      <c r="F27" s="487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88" t="str">
        <f>+VLOOKUP($A28,Master!$D$27:$G$225,4,FALSE)</f>
        <v>Donacije i transferi</v>
      </c>
      <c r="C28" s="489"/>
      <c r="D28" s="489"/>
      <c r="E28" s="489"/>
      <c r="F28" s="489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74" t="str">
        <f>+VLOOKUP($A29,Master!$D$27:$G$225,4,FALSE)</f>
        <v>Budžetski izdaci</v>
      </c>
      <c r="C29" s="475"/>
      <c r="D29" s="475"/>
      <c r="E29" s="475"/>
      <c r="F29" s="475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41</v>
      </c>
      <c r="B30" s="490" t="str">
        <f>+VLOOKUP($A30,Master!$D$27:$G$225,4,FALSE)</f>
        <v>Tekuća budžetska potrošnja</v>
      </c>
      <c r="C30" s="491"/>
      <c r="D30" s="491"/>
      <c r="E30" s="491"/>
      <c r="F30" s="491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40</v>
      </c>
      <c r="B31" s="492" t="str">
        <f>+VLOOKUP($A31,Master!$D$27:$G$225,4,FALSE)</f>
        <v>Tekući izdaci</v>
      </c>
      <c r="C31" s="493"/>
      <c r="D31" s="493"/>
      <c r="E31" s="493"/>
      <c r="F31" s="493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84" t="str">
        <f>+VLOOKUP($A32,Master!$D$27:$G$225,4,FALSE)</f>
        <v>Bruto zarade i doprinosi na teret poslodavca</v>
      </c>
      <c r="C32" s="485"/>
      <c r="D32" s="485"/>
      <c r="E32" s="485"/>
      <c r="F32" s="485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84" t="str">
        <f>+VLOOKUP($A33,Master!$D$27:$G$225,4,FALSE)</f>
        <v>Ostala lična primanja</v>
      </c>
      <c r="C33" s="485"/>
      <c r="D33" s="485"/>
      <c r="E33" s="485"/>
      <c r="F33" s="485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84" t="str">
        <f>+VLOOKUP($A34,Master!$D$27:$G$225,4,FALSE)</f>
        <v>Rashodi za materijal</v>
      </c>
      <c r="C34" s="485"/>
      <c r="D34" s="485"/>
      <c r="E34" s="485"/>
      <c r="F34" s="485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84" t="str">
        <f>+VLOOKUP($A35,Master!$D$27:$G$225,4,FALSE)</f>
        <v>Rashodi za usluge</v>
      </c>
      <c r="C35" s="485"/>
      <c r="D35" s="485"/>
      <c r="E35" s="485"/>
      <c r="F35" s="485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84" t="str">
        <f>+VLOOKUP($A36,Master!$D$27:$G$225,4,FALSE)</f>
        <v>Rashodi za tekuće održavanje</v>
      </c>
      <c r="C36" s="485"/>
      <c r="D36" s="485"/>
      <c r="E36" s="485"/>
      <c r="F36" s="485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84" t="str">
        <f>+VLOOKUP($A37,Master!$D$27:$G$225,4,FALSE)</f>
        <v>Kamate</v>
      </c>
      <c r="C37" s="485"/>
      <c r="D37" s="485"/>
      <c r="E37" s="485"/>
      <c r="F37" s="485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84" t="str">
        <f>+VLOOKUP($A38,Master!$D$27:$G$225,4,FALSE)</f>
        <v>Renta</v>
      </c>
      <c r="C38" s="485"/>
      <c r="D38" s="485"/>
      <c r="E38" s="485"/>
      <c r="F38" s="485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84" t="str">
        <f>+VLOOKUP($A39,Master!$D$27:$G$225,4,FALSE)</f>
        <v>Subvencije</v>
      </c>
      <c r="C39" s="485"/>
      <c r="D39" s="485"/>
      <c r="E39" s="485"/>
      <c r="F39" s="485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84" t="str">
        <f>+VLOOKUP($A40,Master!$D$27:$G$225,4,FALSE)</f>
        <v>Ostali izdaci</v>
      </c>
      <c r="C40" s="485"/>
      <c r="D40" s="485"/>
      <c r="E40" s="485"/>
      <c r="F40" s="485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84" t="str">
        <f>+VLOOKUP($A41,Master!$D$27:$G$225,4,FALSE)</f>
        <v>Kapitalni izdaci u tekućem budžetu</v>
      </c>
      <c r="C41" s="485"/>
      <c r="D41" s="485"/>
      <c r="E41" s="485"/>
      <c r="F41" s="485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80" t="str">
        <f>+VLOOKUP($A42,Master!$D$27:$G$225,4,FALSE)</f>
        <v>Transferi za socijalnu zaštitu</v>
      </c>
      <c r="C42" s="481"/>
      <c r="D42" s="481"/>
      <c r="E42" s="481"/>
      <c r="F42" s="481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84" t="str">
        <f>+VLOOKUP($A43,Master!$D$27:$G$225,4,FALSE)</f>
        <v>Prava iz oblasti socijalne zaštite</v>
      </c>
      <c r="C43" s="485"/>
      <c r="D43" s="485"/>
      <c r="E43" s="485"/>
      <c r="F43" s="485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84" t="str">
        <f>+VLOOKUP($A44,Master!$D$27:$G$225,4,FALSE)</f>
        <v>Sredstva za tehnološke viškove</v>
      </c>
      <c r="C44" s="485"/>
      <c r="D44" s="485"/>
      <c r="E44" s="485"/>
      <c r="F44" s="485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84" t="str">
        <f>+VLOOKUP($A45,Master!$D$27:$G$225,4,FALSE)</f>
        <v>Prava iz oblasti penzijskog i invalidskog osiguranja</v>
      </c>
      <c r="C45" s="485"/>
      <c r="D45" s="485"/>
      <c r="E45" s="485"/>
      <c r="F45" s="485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84" t="str">
        <f>+VLOOKUP($A46,Master!$D$27:$G$225,4,FALSE)</f>
        <v>Ostala prava iz oblasti zdravstvene zaštite</v>
      </c>
      <c r="C46" s="485"/>
      <c r="D46" s="485"/>
      <c r="E46" s="485"/>
      <c r="F46" s="485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84" t="str">
        <f>+VLOOKUP($A47,Master!$D$27:$G$225,4,FALSE)</f>
        <v>Ostala prava iz zdravstvenog osiguranja</v>
      </c>
      <c r="C47" s="485"/>
      <c r="D47" s="485"/>
      <c r="E47" s="485"/>
      <c r="F47" s="485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82" t="str">
        <f>+VLOOKUP($A48,Master!$D$27:$G$225,4,FALSE)</f>
        <v xml:space="preserve">Transferi institucijama, pojedincima, nevladinom i javnom sektoru </v>
      </c>
      <c r="C48" s="483"/>
      <c r="D48" s="483"/>
      <c r="E48" s="483"/>
      <c r="F48" s="483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82" t="str">
        <f>+VLOOKUP($A49,Master!$D$27:$G$225,4,FALSE)</f>
        <v>Kapitalni budžet</v>
      </c>
      <c r="C49" s="483"/>
      <c r="D49" s="483"/>
      <c r="E49" s="483"/>
      <c r="F49" s="483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52" t="str">
        <f>+VLOOKUP($A50,Master!$D$27:$G$225,4,FALSE)</f>
        <v>Pozajmice i krediti</v>
      </c>
      <c r="C50" s="453"/>
      <c r="D50" s="453"/>
      <c r="E50" s="453"/>
      <c r="F50" s="453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52" t="str">
        <f>+VLOOKUP($A51,Master!$D$27:$G$225,4,FALSE)</f>
        <v>Rezerve</v>
      </c>
      <c r="C51" s="453"/>
      <c r="D51" s="453"/>
      <c r="E51" s="453"/>
      <c r="F51" s="453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70" t="str">
        <f>+VLOOKUP($A52,Master!$D$27:$G$225,4,FALSE)</f>
        <v>Otplata garancija</v>
      </c>
      <c r="C52" s="471"/>
      <c r="D52" s="471"/>
      <c r="E52" s="471"/>
      <c r="F52" s="471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70" t="str">
        <f>+VLOOKUP($A53,Master!$D$27:$G$225,4,TRUE)</f>
        <v>Otplata obaveza iz prethodnih godina</v>
      </c>
      <c r="C53" s="471"/>
      <c r="D53" s="471"/>
      <c r="E53" s="471"/>
      <c r="F53" s="471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56" t="str">
        <f>+VLOOKUP($A54,Master!$D$27:$G$227,4,FALSE)</f>
        <v>Neto povećanje obaveza</v>
      </c>
      <c r="C54" s="557"/>
      <c r="D54" s="557"/>
      <c r="E54" s="557"/>
      <c r="F54" s="557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76" t="str">
        <f>+VLOOKUP($A55,Master!$D$27:$G$225,4,FALSE)</f>
        <v>Suficit / deficit</v>
      </c>
      <c r="C55" s="477"/>
      <c r="D55" s="477"/>
      <c r="E55" s="477"/>
      <c r="F55" s="477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34" t="s">
        <v>773</v>
      </c>
      <c r="C56" s="435"/>
      <c r="D56" s="435"/>
      <c r="E56" s="435"/>
      <c r="F56" s="435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78" t="str">
        <f>+VLOOKUP($A57,Master!$D$27:$G$225,4,FALSE)</f>
        <v>Primarni bilans</v>
      </c>
      <c r="C57" s="479"/>
      <c r="D57" s="479"/>
      <c r="E57" s="479"/>
      <c r="F57" s="479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80" t="str">
        <f>+VLOOKUP($A58,Master!$D$27:$G$225,4,FALSE)</f>
        <v>Otplata dugova</v>
      </c>
      <c r="C58" s="481"/>
      <c r="D58" s="481"/>
      <c r="E58" s="481"/>
      <c r="F58" s="481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68" t="str">
        <f>+VLOOKUP($A59,Master!$D$27:$G$225,4,FALSE)</f>
        <v>Otplata hartija od vrijednosti i kredita rezidentima</v>
      </c>
      <c r="C59" s="469"/>
      <c r="D59" s="469"/>
      <c r="E59" s="469"/>
      <c r="F59" s="469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52" t="str">
        <f>+VLOOKUP($A60,Master!$D$27:$G$225,4,FALSE)</f>
        <v>Otplata hartija od vrijednosti i kredita nerezidentima</v>
      </c>
      <c r="C60" s="453"/>
      <c r="D60" s="453"/>
      <c r="E60" s="453"/>
      <c r="F60" s="453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472" t="str">
        <f>+VLOOKUP($A61,Master!$D$27:$G$225,4,FALSE)</f>
        <v>Nedostajuća sredstva</v>
      </c>
      <c r="C61" s="473"/>
      <c r="D61" s="473"/>
      <c r="E61" s="473"/>
      <c r="F61" s="473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74" t="str">
        <f>+VLOOKUP($A62,Master!$D$27:$G$225,4,FALSE)</f>
        <v>Finansiranje</v>
      </c>
      <c r="C62" s="475"/>
      <c r="D62" s="475"/>
      <c r="E62" s="475"/>
      <c r="F62" s="475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68" t="str">
        <f>+VLOOKUP($A63,Master!$D$27:$G$225,4,FALSE)</f>
        <v>Pozajmice i krediti od domaćih izvora</v>
      </c>
      <c r="C63" s="469"/>
      <c r="D63" s="469"/>
      <c r="E63" s="469"/>
      <c r="F63" s="469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52" t="str">
        <f>+VLOOKUP($A64,Master!$D$27:$G$225,4,FALSE)</f>
        <v>Pozajmice i krediti od inostranih izvora</v>
      </c>
      <c r="C64" s="453"/>
      <c r="D64" s="453"/>
      <c r="E64" s="453"/>
      <c r="F64" s="453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52" t="str">
        <f>+VLOOKUP($A65,Master!$D$27:$G$225,4,FALSE)</f>
        <v>Primici od prodaje imovine</v>
      </c>
      <c r="C65" s="453"/>
      <c r="D65" s="453"/>
      <c r="E65" s="453"/>
      <c r="F65" s="453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37" t="str">
        <f>+Master!G252</f>
        <v>Plan ostvarenja budžeta</v>
      </c>
      <c r="C102" s="538"/>
      <c r="D102" s="538"/>
      <c r="E102" s="538"/>
      <c r="F102" s="538"/>
      <c r="G102" s="530">
        <v>2016</v>
      </c>
      <c r="H102" s="531"/>
      <c r="I102" s="531"/>
      <c r="J102" s="531"/>
      <c r="K102" s="531"/>
      <c r="L102" s="531"/>
      <c r="M102" s="531"/>
      <c r="N102" s="531"/>
      <c r="O102" s="531"/>
      <c r="P102" s="531"/>
      <c r="Q102" s="531"/>
      <c r="R102" s="532"/>
      <c r="S102" s="115" t="str">
        <f>+S7</f>
        <v>BDP</v>
      </c>
      <c r="T102" s="116">
        <f>+T7</f>
        <v>3954200000</v>
      </c>
    </row>
    <row r="103" spans="1:21" ht="15.75" customHeight="1">
      <c r="B103" s="539"/>
      <c r="C103" s="540"/>
      <c r="D103" s="540"/>
      <c r="E103" s="540"/>
      <c r="F103" s="541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0" t="str">
        <f>+Master!G246</f>
        <v>Jan - Dec</v>
      </c>
      <c r="T103" s="532">
        <f>+T8</f>
        <v>0</v>
      </c>
    </row>
    <row r="104" spans="1:21" ht="13.5" thickBot="1">
      <c r="B104" s="542"/>
      <c r="C104" s="543"/>
      <c r="D104" s="543"/>
      <c r="E104" s="543"/>
      <c r="F104" s="544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3" t="str">
        <f>+VLOOKUP(LEFT($A105,LEN(A105)-1)*1,Master!$D$27:$G$225,4,FALSE)</f>
        <v>Prihodi budžeta</v>
      </c>
      <c r="C105" s="534"/>
      <c r="D105" s="534"/>
      <c r="E105" s="534"/>
      <c r="F105" s="534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35" t="str">
        <f>+VLOOKUP(LEFT($A106,LEN(A106)-1)*1,Master!$D$27:$G$225,4,FALSE)</f>
        <v>Porezi</v>
      </c>
      <c r="C106" s="536"/>
      <c r="D106" s="536"/>
      <c r="E106" s="536"/>
      <c r="F106" s="536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16" t="str">
        <f>+VLOOKUP(LEFT($A107,LEN(A107)-1)*1,Master!$D$27:$G$225,4,FALSE)</f>
        <v>Porez na dohodak fizičkih lica</v>
      </c>
      <c r="C107" s="517"/>
      <c r="D107" s="517"/>
      <c r="E107" s="517"/>
      <c r="F107" s="517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16" t="str">
        <f>+VLOOKUP(LEFT($A108,LEN(A108)-1)*1,Master!$D$27:$G$225,4,FALSE)</f>
        <v>Porez na dobit pravnih lica</v>
      </c>
      <c r="C108" s="517"/>
      <c r="D108" s="517"/>
      <c r="E108" s="517"/>
      <c r="F108" s="517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16" t="str">
        <f>+VLOOKUP(LEFT($A109,LEN(A109)-1)*1,Master!$D$27:$G$225,4,FALSE)</f>
        <v>Porez na promet nepokretnosti</v>
      </c>
      <c r="C109" s="517"/>
      <c r="D109" s="517"/>
      <c r="E109" s="517"/>
      <c r="F109" s="517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16" t="str">
        <f>+VLOOKUP(LEFT($A110,LEN(A110)-1)*1,Master!$D$27:$G$225,4,FALSE)</f>
        <v>Porez na dodatu vrijednost</v>
      </c>
      <c r="C110" s="517"/>
      <c r="D110" s="517"/>
      <c r="E110" s="517"/>
      <c r="F110" s="517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16" t="str">
        <f>+VLOOKUP(LEFT($A111,LEN(A111)-1)*1,Master!$D$27:$G$225,4,FALSE)</f>
        <v>Akcize</v>
      </c>
      <c r="C111" s="517"/>
      <c r="D111" s="517"/>
      <c r="E111" s="517"/>
      <c r="F111" s="517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16" t="str">
        <f>+VLOOKUP(LEFT($A112,LEN(A112)-1)*1,Master!$D$27:$G$225,4,FALSE)</f>
        <v>Porez na međunarodnu trgovinu i transakcije</v>
      </c>
      <c r="C112" s="517"/>
      <c r="D112" s="517"/>
      <c r="E112" s="517"/>
      <c r="F112" s="517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16" t="str">
        <f>+VLOOKUP(LEFT($A113,LEN(A113)-1)*1,Master!$D$27:$G$225,4,FALSE)</f>
        <v>Ostali državni porezi</v>
      </c>
      <c r="C113" s="517"/>
      <c r="D113" s="517"/>
      <c r="E113" s="517"/>
      <c r="F113" s="517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28" t="str">
        <f>+VLOOKUP(LEFT($A114,LEN(A114)-1)*1,Master!$D$27:$G$225,4,FALSE)</f>
        <v>Doprinosi</v>
      </c>
      <c r="C114" s="529"/>
      <c r="D114" s="529"/>
      <c r="E114" s="529"/>
      <c r="F114" s="529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16" t="str">
        <f>+VLOOKUP(LEFT($A115,LEN(A115)-1)*1,Master!$D$27:$G$225,4,FALSE)</f>
        <v>Doprinosi za penzijsko i invalidsko osiguranje</v>
      </c>
      <c r="C115" s="517"/>
      <c r="D115" s="517"/>
      <c r="E115" s="517"/>
      <c r="F115" s="517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16" t="str">
        <f>+VLOOKUP(LEFT($A116,LEN(A116)-1)*1,Master!$D$27:$G$225,4,FALSE)</f>
        <v>Doprinosi za zdravstveno osiguranje</v>
      </c>
      <c r="C116" s="517"/>
      <c r="D116" s="517"/>
      <c r="E116" s="517"/>
      <c r="F116" s="517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16" t="str">
        <f>+VLOOKUP(LEFT($A117,LEN(A117)-1)*1,Master!$D$27:$G$225,4,FALSE)</f>
        <v>Doprinosi za osiguranje od nezaposlenosti</v>
      </c>
      <c r="C117" s="517"/>
      <c r="D117" s="517"/>
      <c r="E117" s="517"/>
      <c r="F117" s="517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16" t="str">
        <f>+VLOOKUP(LEFT($A118,LEN(A118)-1)*1,Master!$D$27:$G$225,4,FALSE)</f>
        <v>Ostali doprinosi</v>
      </c>
      <c r="C118" s="517"/>
      <c r="D118" s="517"/>
      <c r="E118" s="517"/>
      <c r="F118" s="517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20" t="str">
        <f>+VLOOKUP(LEFT($A119,LEN(A119)-1)*1,Master!$D$27:$G$225,4,FALSE)</f>
        <v>Takse</v>
      </c>
      <c r="C119" s="521"/>
      <c r="D119" s="521"/>
      <c r="E119" s="521"/>
      <c r="F119" s="521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20" t="str">
        <f>+VLOOKUP(LEFT($A120,LEN(A120)-1)*1,Master!$D$27:$G$225,4,FALSE)</f>
        <v>Naknade</v>
      </c>
      <c r="C120" s="521"/>
      <c r="D120" s="521"/>
      <c r="E120" s="521"/>
      <c r="F120" s="521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20" t="str">
        <f>+VLOOKUP(LEFT($A121,LEN(A121)-1)*1,Master!$D$27:$G$225,4,FALSE)</f>
        <v>Ostali prihodi</v>
      </c>
      <c r="C121" s="521"/>
      <c r="D121" s="521"/>
      <c r="E121" s="521"/>
      <c r="F121" s="521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20" t="str">
        <f>+VLOOKUP(LEFT($A122,LEN(A122)-1)*1,Master!$D$27:$G$225,4,FALSE)</f>
        <v>Primici od otplate kredita i sredstva prenesena iz prethodne godine</v>
      </c>
      <c r="C122" s="521"/>
      <c r="D122" s="521"/>
      <c r="E122" s="521"/>
      <c r="F122" s="521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22" t="str">
        <f>+VLOOKUP(LEFT($A123,LEN(A123)-1)*1,Master!$D$27:$G$225,4,FALSE)</f>
        <v>Donacije i transferi</v>
      </c>
      <c r="C123" s="523"/>
      <c r="D123" s="523"/>
      <c r="E123" s="523"/>
      <c r="F123" s="523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08" t="str">
        <f>+VLOOKUP(LEFT($A124,LEN(A124)-1)*1,Master!$D$27:$G$225,4,FALSE)</f>
        <v>Budžetski izdaci</v>
      </c>
      <c r="C124" s="509"/>
      <c r="D124" s="509"/>
      <c r="E124" s="509"/>
      <c r="F124" s="509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41p</v>
      </c>
      <c r="B125" s="524" t="str">
        <f>+VLOOKUP(LEFT($A125,LEN(A125)-1)*1,Master!$D$27:$G$225,4,FALSE)</f>
        <v>Tekuća budžetska potrošnja</v>
      </c>
      <c r="C125" s="525"/>
      <c r="D125" s="525"/>
      <c r="E125" s="525"/>
      <c r="F125" s="525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40p</v>
      </c>
      <c r="B126" s="526" t="str">
        <f>+VLOOKUP(LEFT($A126,LEN(A126)-1)*1,Master!$D$27:$G$225,4,FALSE)</f>
        <v>Tekući izdaci</v>
      </c>
      <c r="C126" s="527"/>
      <c r="D126" s="527"/>
      <c r="E126" s="527"/>
      <c r="F126" s="527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16" t="str">
        <f>+VLOOKUP(LEFT($A127,LEN(A127)-1)*1,Master!$D$27:$G$225,4,FALSE)</f>
        <v>Bruto zarade i doprinosi na teret poslodavca</v>
      </c>
      <c r="C127" s="517"/>
      <c r="D127" s="517"/>
      <c r="E127" s="517"/>
      <c r="F127" s="517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16" t="str">
        <f>+VLOOKUP(LEFT($A128,LEN(A128)-1)*1,Master!$D$27:$G$225,4,FALSE)</f>
        <v>Ostala lična primanja</v>
      </c>
      <c r="C128" s="517"/>
      <c r="D128" s="517"/>
      <c r="E128" s="517"/>
      <c r="F128" s="517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16" t="str">
        <f>+VLOOKUP(LEFT($A129,LEN(A129)-1)*1,Master!$D$27:$G$225,4,FALSE)</f>
        <v>Rashodi za materijal</v>
      </c>
      <c r="C129" s="517"/>
      <c r="D129" s="517"/>
      <c r="E129" s="517"/>
      <c r="F129" s="517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16" t="str">
        <f>+VLOOKUP(LEFT($A130,LEN(A130)-1)*1,Master!$D$27:$G$225,4,FALSE)</f>
        <v>Rashodi za usluge</v>
      </c>
      <c r="C130" s="517"/>
      <c r="D130" s="517"/>
      <c r="E130" s="517"/>
      <c r="F130" s="517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16" t="str">
        <f>+VLOOKUP(LEFT($A131,LEN(A131)-1)*1,Master!$D$27:$G$225,4,FALSE)</f>
        <v>Rashodi za tekuće održavanje</v>
      </c>
      <c r="C131" s="517"/>
      <c r="D131" s="517"/>
      <c r="E131" s="517"/>
      <c r="F131" s="517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16" t="str">
        <f>+VLOOKUP(LEFT($A132,LEN(A132)-1)*1,Master!$D$27:$G$225,4,FALSE)</f>
        <v>Kamate</v>
      </c>
      <c r="C132" s="517"/>
      <c r="D132" s="517"/>
      <c r="E132" s="517"/>
      <c r="F132" s="517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16" t="str">
        <f>+VLOOKUP(LEFT($A133,LEN(A133)-1)*1,Master!$D$27:$G$225,4,FALSE)</f>
        <v>Renta</v>
      </c>
      <c r="C133" s="517"/>
      <c r="D133" s="517"/>
      <c r="E133" s="517"/>
      <c r="F133" s="517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16" t="str">
        <f>+VLOOKUP(LEFT($A134,LEN(A134)-1)*1,Master!$D$27:$G$225,4,FALSE)</f>
        <v>Subvencije</v>
      </c>
      <c r="C134" s="517"/>
      <c r="D134" s="517"/>
      <c r="E134" s="517"/>
      <c r="F134" s="517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16" t="str">
        <f>+VLOOKUP(LEFT($A135,LEN(A135)-1)*1,Master!$D$27:$G$225,4,FALSE)</f>
        <v>Ostali izdaci</v>
      </c>
      <c r="C135" s="517"/>
      <c r="D135" s="517"/>
      <c r="E135" s="517"/>
      <c r="F135" s="517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16" t="str">
        <f>+VLOOKUP(LEFT($A136,LEN(A136)-1)*1,Master!$D$27:$G$225,4,FALSE)</f>
        <v>Kapitalni izdaci u tekućem budžetu</v>
      </c>
      <c r="C136" s="517"/>
      <c r="D136" s="517"/>
      <c r="E136" s="517"/>
      <c r="F136" s="517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14" t="str">
        <f>+VLOOKUP(LEFT($A137,LEN(A137)-1)*1,Master!$D$27:$G$225,4,FALSE)</f>
        <v>Transferi za socijalnu zaštitu</v>
      </c>
      <c r="C137" s="515"/>
      <c r="D137" s="515"/>
      <c r="E137" s="515"/>
      <c r="F137" s="515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16" t="str">
        <f>+VLOOKUP(LEFT($A138,LEN(A138)-1)*1,Master!$D$27:$G$225,4,FALSE)</f>
        <v>Prava iz oblasti socijalne zaštite</v>
      </c>
      <c r="C138" s="517"/>
      <c r="D138" s="517"/>
      <c r="E138" s="517"/>
      <c r="F138" s="517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16" t="str">
        <f>+VLOOKUP(LEFT($A139,LEN(A139)-1)*1,Master!$D$27:$G$225,4,FALSE)</f>
        <v>Sredstva za tehnološke viškove</v>
      </c>
      <c r="C139" s="517"/>
      <c r="D139" s="517"/>
      <c r="E139" s="517"/>
      <c r="F139" s="517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16" t="str">
        <f>+VLOOKUP(LEFT($A140,LEN(A140)-1)*1,Master!$D$27:$G$225,4,FALSE)</f>
        <v>Prava iz oblasti penzijskog i invalidskog osiguranja</v>
      </c>
      <c r="C140" s="517"/>
      <c r="D140" s="517"/>
      <c r="E140" s="517"/>
      <c r="F140" s="517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16" t="str">
        <f>+VLOOKUP(LEFT($A141,LEN(A141)-1)*1,Master!$D$27:$G$225,4,FALSE)</f>
        <v>Ostala prava iz oblasti zdravstvene zaštite</v>
      </c>
      <c r="C141" s="517"/>
      <c r="D141" s="517"/>
      <c r="E141" s="517"/>
      <c r="F141" s="517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16" t="str">
        <f>+VLOOKUP(LEFT($A142,LEN(A142)-1)*1,Master!$D$27:$G$225,4,FALSE)</f>
        <v>Ostala prava iz zdravstvenog osiguranja</v>
      </c>
      <c r="C142" s="517"/>
      <c r="D142" s="517"/>
      <c r="E142" s="517"/>
      <c r="F142" s="517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18" t="str">
        <f>+VLOOKUP(LEFT($A143,LEN(A143)-1)*1,Master!$D$27:$G$225,4,FALSE)</f>
        <v xml:space="preserve">Transferi institucijama, pojedincima, nevladinom i javnom sektoru </v>
      </c>
      <c r="C143" s="519"/>
      <c r="D143" s="519"/>
      <c r="E143" s="519"/>
      <c r="F143" s="519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18" t="str">
        <f>+VLOOKUP(LEFT($A144,LEN(A144)-1)*1,Master!$D$27:$G$225,4,FALSE)</f>
        <v>Kapitalni budžet</v>
      </c>
      <c r="C144" s="519"/>
      <c r="D144" s="519"/>
      <c r="E144" s="519"/>
      <c r="F144" s="519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02" t="str">
        <f>+VLOOKUP(LEFT($A145,LEN(A145)-1)*1,Master!$D$27:$G$225,4,FALSE)</f>
        <v>Pozajmice i krediti</v>
      </c>
      <c r="C145" s="503"/>
      <c r="D145" s="503"/>
      <c r="E145" s="503"/>
      <c r="F145" s="503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02" t="str">
        <f>+VLOOKUP(LEFT($A146,LEN(A146)-1)*1,Master!$D$27:$G$225,4,FALSE)</f>
        <v>Rezerve</v>
      </c>
      <c r="C146" s="503"/>
      <c r="D146" s="503"/>
      <c r="E146" s="503"/>
      <c r="F146" s="503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02" t="str">
        <f>+VLOOKUP(LEFT($A147,LEN(A147)-1)*1,Master!$D$27:$G$225,4,FALSE)</f>
        <v>Otplata garancija</v>
      </c>
      <c r="C147" s="503"/>
      <c r="D147" s="503"/>
      <c r="E147" s="503"/>
      <c r="F147" s="503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694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0" t="str">
        <f>+VLOOKUP(LEFT($A149,LEN(A149)-1)*1,Master!$D$27:$G$225,4,FALSE)</f>
        <v>Suficit / deficit</v>
      </c>
      <c r="C149" s="511"/>
      <c r="D149" s="511"/>
      <c r="E149" s="511"/>
      <c r="F149" s="511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12" t="str">
        <f>+VLOOKUP(LEFT($A150,LEN(A150)-1)*1,Master!$D$27:$G$225,4,FALSE)</f>
        <v>Primarni bilans</v>
      </c>
      <c r="C150" s="513"/>
      <c r="D150" s="513"/>
      <c r="E150" s="513"/>
      <c r="F150" s="513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14" t="str">
        <f>+VLOOKUP(LEFT($A151,LEN(A151)-1)*1,Master!$D$27:$G$225,4,FALSE)</f>
        <v>Otplata dugova</v>
      </c>
      <c r="C151" s="515"/>
      <c r="D151" s="515"/>
      <c r="E151" s="515"/>
      <c r="F151" s="515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04" t="str">
        <f>+VLOOKUP(LEFT($A152,LEN(A152)-1)*1,Master!$D$27:$G$225,4,FALSE)</f>
        <v>Otplata hartija od vrijednosti i kredita rezidentima</v>
      </c>
      <c r="C152" s="505"/>
      <c r="D152" s="505"/>
      <c r="E152" s="505"/>
      <c r="F152" s="505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02" t="str">
        <f>+VLOOKUP(LEFT($A153,LEN(A153)-1)*1,Master!$D$27:$G$225,4,FALSE)</f>
        <v>Otplata hartija od vrijednosti i kredita nerezidentima</v>
      </c>
      <c r="C153" s="503"/>
      <c r="D153" s="503"/>
      <c r="E153" s="503"/>
      <c r="F153" s="503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56" t="str">
        <f>+VLOOKUP(LEFT($A154,LEN(A154)-1)*1,Master!$D$27:$G$225,4,FALSE)</f>
        <v>Otplata obaveza iz prethodnih godina</v>
      </c>
      <c r="C154" s="557"/>
      <c r="D154" s="557"/>
      <c r="E154" s="557"/>
      <c r="F154" s="557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06" t="str">
        <f>+VLOOKUP(LEFT($A155,LEN(A155)-1)*1,Master!$D$27:$G$225,4,FALSE)</f>
        <v>Nedostajuća sredstva</v>
      </c>
      <c r="C155" s="507"/>
      <c r="D155" s="507"/>
      <c r="E155" s="507"/>
      <c r="F155" s="507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08" t="str">
        <f>+VLOOKUP(LEFT($A156,LEN(A156)-1)*1,Master!$D$27:$G$225,4,FALSE)</f>
        <v>Finansiranje</v>
      </c>
      <c r="C156" s="509"/>
      <c r="D156" s="509"/>
      <c r="E156" s="509"/>
      <c r="F156" s="509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04" t="str">
        <f>+VLOOKUP(LEFT($A157,LEN(A157)-1)*1,Master!$D$27:$G$225,4,FALSE)</f>
        <v>Pozajmice i krediti od domaćih izvora</v>
      </c>
      <c r="C157" s="505"/>
      <c r="D157" s="505"/>
      <c r="E157" s="505"/>
      <c r="F157" s="505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02" t="str">
        <f>+VLOOKUP(LEFT($A158,LEN(A158)-1)*1,Master!$D$27:$G$225,4,FALSE)</f>
        <v>Pozajmice i krediti od inostranih izvora</v>
      </c>
      <c r="C158" s="503"/>
      <c r="D158" s="503"/>
      <c r="E158" s="503"/>
      <c r="F158" s="503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02" t="str">
        <f>+VLOOKUP(LEFT($A159,LEN(A159)-1)*1,Master!$D$27:$G$225,4,FALSE)</f>
        <v>Primici od prodaje imovine</v>
      </c>
      <c r="C159" s="503"/>
      <c r="D159" s="503"/>
      <c r="E159" s="503"/>
      <c r="F159" s="503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+VLOOKUP(LEFT($A160,LEN(A160)-1)*1,Master!$D$27:$G$225,4,FALSE)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Q1" sqref="Q1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537</v>
      </c>
      <c r="H6" s="259" t="s">
        <v>538</v>
      </c>
      <c r="I6" s="259" t="s">
        <v>539</v>
      </c>
      <c r="J6" s="259" t="s">
        <v>540</v>
      </c>
      <c r="K6" s="259" t="s">
        <v>541</v>
      </c>
      <c r="L6" s="259" t="s">
        <v>542</v>
      </c>
      <c r="M6" s="259" t="s">
        <v>543</v>
      </c>
      <c r="N6" s="259" t="s">
        <v>544</v>
      </c>
      <c r="O6" s="259" t="s">
        <v>545</v>
      </c>
      <c r="P6" s="259" t="s">
        <v>546</v>
      </c>
      <c r="Q6" s="259" t="s">
        <v>547</v>
      </c>
      <c r="R6" s="259" t="s">
        <v>548</v>
      </c>
      <c r="S6" s="258"/>
      <c r="T6" s="258"/>
    </row>
    <row r="7" spans="1:20" ht="15" customHeight="1" thickBot="1">
      <c r="A7" s="169"/>
      <c r="B7" s="555" t="str">
        <f>+Master!G251</f>
        <v>Ostvarenje budžeta</v>
      </c>
      <c r="C7" s="455"/>
      <c r="D7" s="455"/>
      <c r="E7" s="455"/>
      <c r="F7" s="455"/>
      <c r="G7" s="463">
        <v>2015</v>
      </c>
      <c r="H7" s="464"/>
      <c r="I7" s="464"/>
      <c r="J7" s="464"/>
      <c r="K7" s="464"/>
      <c r="L7" s="464"/>
      <c r="M7" s="464"/>
      <c r="N7" s="464"/>
      <c r="O7" s="464"/>
      <c r="P7" s="464"/>
      <c r="Q7" s="464"/>
      <c r="R7" s="467"/>
      <c r="S7" s="260" t="str">
        <f>+Master!G248</f>
        <v>BDP</v>
      </c>
      <c r="T7" s="261">
        <v>3655000000</v>
      </c>
    </row>
    <row r="8" spans="1:20" ht="16.5" customHeight="1">
      <c r="A8" s="169"/>
      <c r="B8" s="456"/>
      <c r="C8" s="457"/>
      <c r="D8" s="457"/>
      <c r="E8" s="457"/>
      <c r="F8" s="458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3" t="s">
        <v>735</v>
      </c>
      <c r="T8" s="467"/>
    </row>
    <row r="9" spans="1:20" ht="13.5" thickBot="1">
      <c r="A9" s="169"/>
      <c r="B9" s="459"/>
      <c r="C9" s="460"/>
      <c r="D9" s="460"/>
      <c r="E9" s="460"/>
      <c r="F9" s="461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96" t="str">
        <f>+VLOOKUP($A10,Master!$D$27:$G$225,4,FALSE)</f>
        <v>Prihodi budžeta</v>
      </c>
      <c r="C10" s="497"/>
      <c r="D10" s="497"/>
      <c r="E10" s="497"/>
      <c r="F10" s="497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498" t="str">
        <f>+VLOOKUP($A11,Master!$D$27:$G$225,4,FALSE)</f>
        <v>Porezi</v>
      </c>
      <c r="C11" s="499"/>
      <c r="D11" s="499"/>
      <c r="E11" s="499"/>
      <c r="F11" s="499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84" t="str">
        <f>+VLOOKUP($A12,Master!$D$27:$G$225,4,FALSE)</f>
        <v>Porez na dohodak fizičkih lica</v>
      </c>
      <c r="C12" s="485"/>
      <c r="D12" s="485"/>
      <c r="E12" s="485"/>
      <c r="F12" s="485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84" t="str">
        <f>+VLOOKUP($A13,Master!$D$27:$G$225,4,FALSE)</f>
        <v>Porez na dobit pravnih lica</v>
      </c>
      <c r="C13" s="485"/>
      <c r="D13" s="485"/>
      <c r="E13" s="485"/>
      <c r="F13" s="485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84" t="str">
        <f>+VLOOKUP($A14,Master!$D$27:$G$225,4,FALSE)</f>
        <v>Porez na promet nepokretnosti</v>
      </c>
      <c r="C14" s="485"/>
      <c r="D14" s="485"/>
      <c r="E14" s="485"/>
      <c r="F14" s="485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84" t="str">
        <f>+VLOOKUP($A15,Master!$D$27:$G$225,4,FALSE)</f>
        <v>Porez na dodatu vrijednost</v>
      </c>
      <c r="C15" s="485"/>
      <c r="D15" s="485"/>
      <c r="E15" s="485"/>
      <c r="F15" s="485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84" t="str">
        <f>+VLOOKUP($A16,Master!$D$27:$G$225,4,FALSE)</f>
        <v>Akcize</v>
      </c>
      <c r="C16" s="485"/>
      <c r="D16" s="485"/>
      <c r="E16" s="485"/>
      <c r="F16" s="485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84" t="str">
        <f>+VLOOKUP($A17,Master!$D$27:$G$225,4,FALSE)</f>
        <v>Porez na međunarodnu trgovinu i transakcije</v>
      </c>
      <c r="C17" s="485"/>
      <c r="D17" s="485"/>
      <c r="E17" s="485"/>
      <c r="F17" s="485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84" t="str">
        <f>+VLOOKUP($A18,Master!$D$27:$G$225,4,FALSE)</f>
        <v>Ostali državni porezi</v>
      </c>
      <c r="C18" s="485"/>
      <c r="D18" s="485"/>
      <c r="E18" s="485"/>
      <c r="F18" s="485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494" t="str">
        <f>+VLOOKUP($A19,Master!$D$27:$G$225,4,FALSE)</f>
        <v>Doprinosi</v>
      </c>
      <c r="C19" s="495"/>
      <c r="D19" s="495"/>
      <c r="E19" s="495"/>
      <c r="F19" s="495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84" t="str">
        <f>+VLOOKUP($A20,Master!$D$27:$G$225,4,FALSE)</f>
        <v>Doprinosi za penzijsko i invalidsko osiguranje</v>
      </c>
      <c r="C20" s="485"/>
      <c r="D20" s="485"/>
      <c r="E20" s="485"/>
      <c r="F20" s="485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84" t="str">
        <f>+VLOOKUP($A21,Master!$D$27:$G$225,4,FALSE)</f>
        <v>Doprinosi za zdravstveno osiguranje</v>
      </c>
      <c r="C21" s="485"/>
      <c r="D21" s="485"/>
      <c r="E21" s="485"/>
      <c r="F21" s="485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84" t="str">
        <f>+VLOOKUP($A22,Master!$D$27:$G$225,4,FALSE)</f>
        <v>Doprinosi za osiguranje od nezaposlenosti</v>
      </c>
      <c r="C22" s="485"/>
      <c r="D22" s="485"/>
      <c r="E22" s="485"/>
      <c r="F22" s="485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84" t="str">
        <f>+VLOOKUP($A23,Master!$D$27:$G$225,4,FALSE)</f>
        <v>Ostali doprinosi</v>
      </c>
      <c r="C23" s="485"/>
      <c r="D23" s="485"/>
      <c r="E23" s="485"/>
      <c r="F23" s="485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86" t="str">
        <f>+VLOOKUP($A24,Master!$D$27:$G$225,4,FALSE)</f>
        <v>Takse</v>
      </c>
      <c r="C24" s="487"/>
      <c r="D24" s="487"/>
      <c r="E24" s="487"/>
      <c r="F24" s="487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86" t="str">
        <f>+VLOOKUP($A25,Master!$D$27:$G$225,4,FALSE)</f>
        <v>Naknade</v>
      </c>
      <c r="C25" s="487"/>
      <c r="D25" s="487"/>
      <c r="E25" s="487"/>
      <c r="F25" s="487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86" t="str">
        <f>+VLOOKUP($A26,Master!$D$27:$G$225,4,FALSE)</f>
        <v>Ostali prihodi</v>
      </c>
      <c r="C26" s="487"/>
      <c r="D26" s="487"/>
      <c r="E26" s="487"/>
      <c r="F26" s="487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86" t="str">
        <f>+VLOOKUP($A27,Master!$D$27:$G$225,4,FALSE)</f>
        <v>Primici od otplate kredita i sredstva prenesena iz prethodne godine</v>
      </c>
      <c r="C27" s="487"/>
      <c r="D27" s="487"/>
      <c r="E27" s="487"/>
      <c r="F27" s="487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88" t="str">
        <f>+VLOOKUP($A28,Master!$D$27:$G$225,4,FALSE)</f>
        <v>Donacije i transferi</v>
      </c>
      <c r="C28" s="489"/>
      <c r="D28" s="489"/>
      <c r="E28" s="489"/>
      <c r="F28" s="489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74" t="str">
        <f>+VLOOKUP($A29,Master!$D$27:$G$225,4,FALSE)</f>
        <v>Budžetski izdaci</v>
      </c>
      <c r="C29" s="475"/>
      <c r="D29" s="475"/>
      <c r="E29" s="475"/>
      <c r="F29" s="475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90" t="str">
        <f>+VLOOKUP($A30,Master!$D$27:$G$225,4,FALSE)</f>
        <v>Tekuća budžetska potrošnja</v>
      </c>
      <c r="C30" s="491"/>
      <c r="D30" s="491"/>
      <c r="E30" s="491"/>
      <c r="F30" s="491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492" t="str">
        <f>+VLOOKUP($A31,Master!$D$27:$G$225,4,FALSE)</f>
        <v>Tekući izdaci</v>
      </c>
      <c r="C31" s="493"/>
      <c r="D31" s="493"/>
      <c r="E31" s="493"/>
      <c r="F31" s="493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84" t="str">
        <f>+VLOOKUP($A32,Master!$D$27:$G$225,4,FALSE)</f>
        <v>Bruto zarade i doprinosi na teret poslodavca</v>
      </c>
      <c r="C32" s="485"/>
      <c r="D32" s="485"/>
      <c r="E32" s="485"/>
      <c r="F32" s="485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84" t="str">
        <f>+VLOOKUP($A33,Master!$D$27:$G$225,4,FALSE)</f>
        <v>Ostala lična primanja</v>
      </c>
      <c r="C33" s="485"/>
      <c r="D33" s="485"/>
      <c r="E33" s="485"/>
      <c r="F33" s="485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84" t="str">
        <f>+VLOOKUP($A34,Master!$D$27:$G$225,4,FALSE)</f>
        <v>Rashodi za materijal</v>
      </c>
      <c r="C34" s="485"/>
      <c r="D34" s="485"/>
      <c r="E34" s="485"/>
      <c r="F34" s="485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84" t="str">
        <f>+VLOOKUP($A35,Master!$D$27:$G$225,4,FALSE)</f>
        <v>Rashodi za usluge</v>
      </c>
      <c r="C35" s="485"/>
      <c r="D35" s="485"/>
      <c r="E35" s="485"/>
      <c r="F35" s="485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84" t="str">
        <f>+VLOOKUP($A36,Master!$D$27:$G$225,4,FALSE)</f>
        <v>Rashodi za tekuće održavanje</v>
      </c>
      <c r="C36" s="485"/>
      <c r="D36" s="485"/>
      <c r="E36" s="485"/>
      <c r="F36" s="485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84" t="str">
        <f>+VLOOKUP($A37,Master!$D$27:$G$225,4,FALSE)</f>
        <v>Kamate</v>
      </c>
      <c r="C37" s="485"/>
      <c r="D37" s="485"/>
      <c r="E37" s="485"/>
      <c r="F37" s="485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84" t="str">
        <f>+VLOOKUP($A38,Master!$D$27:$G$225,4,FALSE)</f>
        <v>Renta</v>
      </c>
      <c r="C38" s="485"/>
      <c r="D38" s="485"/>
      <c r="E38" s="485"/>
      <c r="F38" s="485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84" t="str">
        <f>+VLOOKUP($A39,Master!$D$27:$G$225,4,FALSE)</f>
        <v>Subvencije</v>
      </c>
      <c r="C39" s="485"/>
      <c r="D39" s="485"/>
      <c r="E39" s="485"/>
      <c r="F39" s="485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84" t="str">
        <f>+VLOOKUP($A40,Master!$D$27:$G$225,4,FALSE)</f>
        <v>Ostali izdaci</v>
      </c>
      <c r="C40" s="485"/>
      <c r="D40" s="485"/>
      <c r="E40" s="485"/>
      <c r="F40" s="485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84" t="str">
        <f>+VLOOKUP($A41,Master!$D$27:$G$225,4,FALSE)</f>
        <v>Kapitalni izdaci u tekućem budžetu</v>
      </c>
      <c r="C41" s="485"/>
      <c r="D41" s="485"/>
      <c r="E41" s="485"/>
      <c r="F41" s="485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80" t="str">
        <f>+VLOOKUP($A42,Master!$D$27:$G$225,4,FALSE)</f>
        <v>Transferi za socijalnu zaštitu</v>
      </c>
      <c r="C42" s="481"/>
      <c r="D42" s="481"/>
      <c r="E42" s="481"/>
      <c r="F42" s="481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84" t="str">
        <f>+VLOOKUP($A43,Master!$D$27:$G$225,4,FALSE)</f>
        <v>Prava iz oblasti socijalne zaštite</v>
      </c>
      <c r="C43" s="485"/>
      <c r="D43" s="485"/>
      <c r="E43" s="485"/>
      <c r="F43" s="485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84" t="str">
        <f>+VLOOKUP($A44,Master!$D$27:$G$225,4,FALSE)</f>
        <v>Sredstva za tehnološke viškove</v>
      </c>
      <c r="C44" s="485"/>
      <c r="D44" s="485"/>
      <c r="E44" s="485"/>
      <c r="F44" s="485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84" t="str">
        <f>+VLOOKUP($A45,Master!$D$27:$G$225,4,FALSE)</f>
        <v>Prava iz oblasti penzijskog i invalidskog osiguranja</v>
      </c>
      <c r="C45" s="485"/>
      <c r="D45" s="485"/>
      <c r="E45" s="485"/>
      <c r="F45" s="485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84" t="str">
        <f>+VLOOKUP($A46,Master!$D$27:$G$225,4,FALSE)</f>
        <v>Ostala prava iz oblasti zdravstvene zaštite</v>
      </c>
      <c r="C46" s="485"/>
      <c r="D46" s="485"/>
      <c r="E46" s="485"/>
      <c r="F46" s="485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84" t="str">
        <f>+VLOOKUP($A47,Master!$D$27:$G$225,4,FALSE)</f>
        <v>Ostala prava iz zdravstvenog osiguranja</v>
      </c>
      <c r="C47" s="485"/>
      <c r="D47" s="485"/>
      <c r="E47" s="485"/>
      <c r="F47" s="485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82" t="str">
        <f>+VLOOKUP($A48,Master!$D$27:$G$225,4,FALSE)</f>
        <v xml:space="preserve">Transferi institucijama, pojedincima, nevladinom i javnom sektoru </v>
      </c>
      <c r="C48" s="483"/>
      <c r="D48" s="483"/>
      <c r="E48" s="483"/>
      <c r="F48" s="483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82" t="str">
        <f>+VLOOKUP($A49,Master!$D$27:$G$225,4,FALSE)</f>
        <v>Kapitalni budžet</v>
      </c>
      <c r="C49" s="483"/>
      <c r="D49" s="483"/>
      <c r="E49" s="483"/>
      <c r="F49" s="483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52" t="str">
        <f>+VLOOKUP($A50,Master!$D$27:$G$225,4,FALSE)</f>
        <v>Pozajmice i krediti</v>
      </c>
      <c r="C50" s="453"/>
      <c r="D50" s="453"/>
      <c r="E50" s="453"/>
      <c r="F50" s="453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52" t="str">
        <f>+VLOOKUP($A51,Master!$D$27:$G$225,4,FALSE)</f>
        <v>Rezerve</v>
      </c>
      <c r="C51" s="453"/>
      <c r="D51" s="453"/>
      <c r="E51" s="453"/>
      <c r="F51" s="453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70" t="str">
        <f>+VLOOKUP($A52,Master!$D$27:$G$225,4,FALSE)</f>
        <v>Otplata garancija</v>
      </c>
      <c r="C52" s="471"/>
      <c r="D52" s="471"/>
      <c r="E52" s="471"/>
      <c r="F52" s="471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70" t="str">
        <f>+VLOOKUP($A53,Master!$D$27:$G$225,4,TRUE)</f>
        <v>Otplata obaveza iz prethodnih godina</v>
      </c>
      <c r="C53" s="471"/>
      <c r="D53" s="471"/>
      <c r="E53" s="471"/>
      <c r="F53" s="471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56" t="str">
        <f>+VLOOKUP($A54,Master!$D$27:$G$227,4,FALSE)</f>
        <v>Neto povećanje obaveza</v>
      </c>
      <c r="C54" s="557"/>
      <c r="D54" s="557"/>
      <c r="E54" s="557"/>
      <c r="F54" s="557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76" t="str">
        <f>+VLOOKUP($A55,Master!$D$27:$G$225,4,FALSE)</f>
        <v>Suficit / deficit</v>
      </c>
      <c r="C55" s="477"/>
      <c r="D55" s="477"/>
      <c r="E55" s="477"/>
      <c r="F55" s="477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34" t="s">
        <v>773</v>
      </c>
      <c r="C56" s="435"/>
      <c r="D56" s="435"/>
      <c r="E56" s="435"/>
      <c r="F56" s="435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78" t="str">
        <f>+VLOOKUP($A57,Master!$D$27:$G$225,4,FALSE)</f>
        <v>Primarni bilans</v>
      </c>
      <c r="C57" s="479"/>
      <c r="D57" s="479"/>
      <c r="E57" s="479"/>
      <c r="F57" s="479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80" t="str">
        <f>+VLOOKUP($A58,Master!$D$27:$G$225,4,FALSE)</f>
        <v>Otplata dugova</v>
      </c>
      <c r="C58" s="481"/>
      <c r="D58" s="481"/>
      <c r="E58" s="481"/>
      <c r="F58" s="481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68" t="str">
        <f>+VLOOKUP($A59,Master!$D$27:$G$225,4,FALSE)</f>
        <v>Otplata hartija od vrijednosti i kredita rezidentima</v>
      </c>
      <c r="C59" s="469"/>
      <c r="D59" s="469"/>
      <c r="E59" s="469"/>
      <c r="F59" s="469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52" t="str">
        <f>+VLOOKUP($A60,Master!$D$27:$G$225,4,FALSE)</f>
        <v>Otplata hartija od vrijednosti i kredita nerezidentima</v>
      </c>
      <c r="C60" s="453"/>
      <c r="D60" s="453"/>
      <c r="E60" s="453"/>
      <c r="F60" s="453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472" t="str">
        <f>+VLOOKUP($A61,Master!$D$27:$G$225,4,FALSE)</f>
        <v>Nedostajuća sredstva</v>
      </c>
      <c r="C61" s="473"/>
      <c r="D61" s="473"/>
      <c r="E61" s="473"/>
      <c r="F61" s="473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74" t="str">
        <f>+VLOOKUP($A62,Master!$D$27:$G$225,4,FALSE)</f>
        <v>Finansiranje</v>
      </c>
      <c r="C62" s="475"/>
      <c r="D62" s="475"/>
      <c r="E62" s="475"/>
      <c r="F62" s="475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68" t="str">
        <f>+VLOOKUP($A63,Master!$D$27:$G$225,4,FALSE)</f>
        <v>Pozajmice i krediti od domaćih izvora</v>
      </c>
      <c r="C63" s="469"/>
      <c r="D63" s="469"/>
      <c r="E63" s="469"/>
      <c r="F63" s="469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52" t="str">
        <f>+VLOOKUP($A64,Master!$D$27:$G$225,4,FALSE)</f>
        <v>Pozajmice i krediti od inostranih izvora</v>
      </c>
      <c r="C64" s="453"/>
      <c r="D64" s="453"/>
      <c r="E64" s="453"/>
      <c r="F64" s="453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52" t="str">
        <f>+VLOOKUP($A65,Master!$D$27:$G$225,4,FALSE)</f>
        <v>Primici od prodaje imovine</v>
      </c>
      <c r="C65" s="453"/>
      <c r="D65" s="453"/>
      <c r="E65" s="453"/>
      <c r="F65" s="453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38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37" t="str">
        <f>+Master!G252</f>
        <v>Plan ostvarenja budžeta</v>
      </c>
      <c r="C102" s="538"/>
      <c r="D102" s="538"/>
      <c r="E102" s="538"/>
      <c r="F102" s="538"/>
      <c r="G102" s="530">
        <v>2015</v>
      </c>
      <c r="H102" s="531"/>
      <c r="I102" s="531"/>
      <c r="J102" s="531"/>
      <c r="K102" s="531"/>
      <c r="L102" s="531"/>
      <c r="M102" s="531"/>
      <c r="N102" s="531"/>
      <c r="O102" s="531"/>
      <c r="P102" s="531"/>
      <c r="Q102" s="531"/>
      <c r="R102" s="532"/>
      <c r="S102" s="115" t="str">
        <f>+S7</f>
        <v>BDP</v>
      </c>
      <c r="T102" s="116">
        <f>+T7</f>
        <v>3655000000</v>
      </c>
    </row>
    <row r="103" spans="1:21" ht="15.75" customHeight="1">
      <c r="B103" s="539"/>
      <c r="C103" s="540"/>
      <c r="D103" s="540"/>
      <c r="E103" s="540"/>
      <c r="F103" s="541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0" t="str">
        <f>+Master!G246</f>
        <v>Jan - Dec</v>
      </c>
      <c r="T103" s="532">
        <f>+T8</f>
        <v>0</v>
      </c>
    </row>
    <row r="104" spans="1:21" ht="13.5" thickBot="1">
      <c r="B104" s="542"/>
      <c r="C104" s="543"/>
      <c r="D104" s="543"/>
      <c r="E104" s="543"/>
      <c r="F104" s="544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3" t="str">
        <f>+VLOOKUP(LEFT($A105,LEN(A105)-1)*1,Master!$D$27:$G$225,4,FALSE)</f>
        <v>Prihodi budžeta</v>
      </c>
      <c r="C105" s="534"/>
      <c r="D105" s="534"/>
      <c r="E105" s="534"/>
      <c r="F105" s="534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35" t="str">
        <f>+VLOOKUP(LEFT($A106,LEN(A106)-1)*1,Master!$D$27:$G$225,4,FALSE)</f>
        <v>Porezi</v>
      </c>
      <c r="C106" s="536"/>
      <c r="D106" s="536"/>
      <c r="E106" s="536"/>
      <c r="F106" s="536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16" t="str">
        <f>+VLOOKUP(LEFT($A107,LEN(A107)-1)*1,Master!$D$27:$G$225,4,FALSE)</f>
        <v>Porez na dohodak fizičkih lica</v>
      </c>
      <c r="C107" s="517"/>
      <c r="D107" s="517"/>
      <c r="E107" s="517"/>
      <c r="F107" s="517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16" t="str">
        <f>+VLOOKUP(LEFT($A108,LEN(A108)-1)*1,Master!$D$27:$G$225,4,FALSE)</f>
        <v>Porez na dobit pravnih lica</v>
      </c>
      <c r="C108" s="517"/>
      <c r="D108" s="517"/>
      <c r="E108" s="517"/>
      <c r="F108" s="517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16" t="str">
        <f>+VLOOKUP(LEFT($A109,LEN(A109)-1)*1,Master!$D$27:$G$225,4,FALSE)</f>
        <v>Porez na promet nepokretnosti</v>
      </c>
      <c r="C109" s="517"/>
      <c r="D109" s="517"/>
      <c r="E109" s="517"/>
      <c r="F109" s="517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16" t="str">
        <f>+VLOOKUP(LEFT($A110,LEN(A110)-1)*1,Master!$D$27:$G$225,4,FALSE)</f>
        <v>Porez na dodatu vrijednost</v>
      </c>
      <c r="C110" s="517"/>
      <c r="D110" s="517"/>
      <c r="E110" s="517"/>
      <c r="F110" s="517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16" t="str">
        <f>+VLOOKUP(LEFT($A111,LEN(A111)-1)*1,Master!$D$27:$G$225,4,FALSE)</f>
        <v>Akcize</v>
      </c>
      <c r="C111" s="517"/>
      <c r="D111" s="517"/>
      <c r="E111" s="517"/>
      <c r="F111" s="517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16" t="str">
        <f>+VLOOKUP(LEFT($A112,LEN(A112)-1)*1,Master!$D$27:$G$225,4,FALSE)</f>
        <v>Porez na međunarodnu trgovinu i transakcije</v>
      </c>
      <c r="C112" s="517"/>
      <c r="D112" s="517"/>
      <c r="E112" s="517"/>
      <c r="F112" s="517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16" t="str">
        <f>+VLOOKUP(LEFT($A113,LEN(A113)-1)*1,Master!$D$27:$G$225,4,FALSE)</f>
        <v>Ostali državni porezi</v>
      </c>
      <c r="C113" s="517"/>
      <c r="D113" s="517"/>
      <c r="E113" s="517"/>
      <c r="F113" s="517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28" t="str">
        <f>+VLOOKUP(LEFT($A114,LEN(A114)-1)*1,Master!$D$27:$G$225,4,FALSE)</f>
        <v>Doprinosi</v>
      </c>
      <c r="C114" s="529"/>
      <c r="D114" s="529"/>
      <c r="E114" s="529"/>
      <c r="F114" s="529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16" t="str">
        <f>+VLOOKUP(LEFT($A115,LEN(A115)-1)*1,Master!$D$27:$G$225,4,FALSE)</f>
        <v>Doprinosi za penzijsko i invalidsko osiguranje</v>
      </c>
      <c r="C115" s="517"/>
      <c r="D115" s="517"/>
      <c r="E115" s="517"/>
      <c r="F115" s="517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16" t="str">
        <f>+VLOOKUP(LEFT($A116,LEN(A116)-1)*1,Master!$D$27:$G$225,4,FALSE)</f>
        <v>Doprinosi za zdravstveno osiguranje</v>
      </c>
      <c r="C116" s="517"/>
      <c r="D116" s="517"/>
      <c r="E116" s="517"/>
      <c r="F116" s="517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16" t="str">
        <f>+VLOOKUP(LEFT($A117,LEN(A117)-1)*1,Master!$D$27:$G$225,4,FALSE)</f>
        <v>Doprinosi za osiguranje od nezaposlenosti</v>
      </c>
      <c r="C117" s="517"/>
      <c r="D117" s="517"/>
      <c r="E117" s="517"/>
      <c r="F117" s="517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16" t="str">
        <f>+VLOOKUP(LEFT($A118,LEN(A118)-1)*1,Master!$D$27:$G$225,4,FALSE)</f>
        <v>Ostali doprinosi</v>
      </c>
      <c r="C118" s="517"/>
      <c r="D118" s="517"/>
      <c r="E118" s="517"/>
      <c r="F118" s="517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20" t="str">
        <f>+VLOOKUP(LEFT($A119,LEN(A119)-1)*1,Master!$D$27:$G$225,4,FALSE)</f>
        <v>Takse</v>
      </c>
      <c r="C119" s="521"/>
      <c r="D119" s="521"/>
      <c r="E119" s="521"/>
      <c r="F119" s="521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20" t="str">
        <f>+VLOOKUP(LEFT($A120,LEN(A120)-1)*1,Master!$D$27:$G$225,4,FALSE)</f>
        <v>Naknade</v>
      </c>
      <c r="C120" s="521"/>
      <c r="D120" s="521"/>
      <c r="E120" s="521"/>
      <c r="F120" s="521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20" t="str">
        <f>+VLOOKUP(LEFT($A121,LEN(A121)-1)*1,Master!$D$27:$G$225,4,FALSE)</f>
        <v>Ostali prihodi</v>
      </c>
      <c r="C121" s="521"/>
      <c r="D121" s="521"/>
      <c r="E121" s="521"/>
      <c r="F121" s="521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20" t="str">
        <f>+VLOOKUP(LEFT($A122,LEN(A122)-1)*1,Master!$D$27:$G$225,4,FALSE)</f>
        <v>Primici od otplate kredita i sredstva prenesena iz prethodne godine</v>
      </c>
      <c r="C122" s="521"/>
      <c r="D122" s="521"/>
      <c r="E122" s="521"/>
      <c r="F122" s="521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22" t="str">
        <f>+VLOOKUP(LEFT($A123,LEN(A123)-1)*1,Master!$D$27:$G$225,4,FALSE)</f>
        <v>Donacije i transferi</v>
      </c>
      <c r="C123" s="523"/>
      <c r="D123" s="523"/>
      <c r="E123" s="523"/>
      <c r="F123" s="523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08" t="str">
        <f>+VLOOKUP(LEFT($A124,LEN(A124)-1)*1,Master!$D$27:$G$225,4,FALSE)</f>
        <v>Budžetski izdaci</v>
      </c>
      <c r="C124" s="509"/>
      <c r="D124" s="509"/>
      <c r="E124" s="509"/>
      <c r="F124" s="509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24" t="str">
        <f>+VLOOKUP(LEFT($A125,LEN(A125)-1)*1,Master!$D$27:$G$225,4,FALSE)</f>
        <v>Tekuća budžetska potrošnja</v>
      </c>
      <c r="C125" s="525"/>
      <c r="D125" s="525"/>
      <c r="E125" s="525"/>
      <c r="F125" s="525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26" t="str">
        <f>+VLOOKUP(LEFT($A126,LEN(A126)-1)*1,Master!$D$27:$G$225,4,FALSE)</f>
        <v>Tekući izdaci</v>
      </c>
      <c r="C126" s="527"/>
      <c r="D126" s="527"/>
      <c r="E126" s="527"/>
      <c r="F126" s="527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16" t="str">
        <f>+VLOOKUP(LEFT($A127,LEN(A127)-1)*1,Master!$D$27:$G$225,4,FALSE)</f>
        <v>Bruto zarade i doprinosi na teret poslodavca</v>
      </c>
      <c r="C127" s="517"/>
      <c r="D127" s="517"/>
      <c r="E127" s="517"/>
      <c r="F127" s="517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16" t="str">
        <f>+VLOOKUP(LEFT($A128,LEN(A128)-1)*1,Master!$D$27:$G$225,4,FALSE)</f>
        <v>Ostala lična primanja</v>
      </c>
      <c r="C128" s="517"/>
      <c r="D128" s="517"/>
      <c r="E128" s="517"/>
      <c r="F128" s="517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16" t="str">
        <f>+VLOOKUP(LEFT($A129,LEN(A129)-1)*1,Master!$D$27:$G$225,4,FALSE)</f>
        <v>Rashodi za materijal</v>
      </c>
      <c r="C129" s="517"/>
      <c r="D129" s="517"/>
      <c r="E129" s="517"/>
      <c r="F129" s="517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16" t="str">
        <f>+VLOOKUP(LEFT($A130,LEN(A130)-1)*1,Master!$D$27:$G$225,4,FALSE)</f>
        <v>Rashodi za usluge</v>
      </c>
      <c r="C130" s="517"/>
      <c r="D130" s="517"/>
      <c r="E130" s="517"/>
      <c r="F130" s="517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16" t="str">
        <f>+VLOOKUP(LEFT($A131,LEN(A131)-1)*1,Master!$D$27:$G$225,4,FALSE)</f>
        <v>Rashodi za tekuće održavanje</v>
      </c>
      <c r="C131" s="517"/>
      <c r="D131" s="517"/>
      <c r="E131" s="517"/>
      <c r="F131" s="517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16" t="str">
        <f>+VLOOKUP(LEFT($A132,LEN(A132)-1)*1,Master!$D$27:$G$225,4,FALSE)</f>
        <v>Kamate</v>
      </c>
      <c r="C132" s="517"/>
      <c r="D132" s="517"/>
      <c r="E132" s="517"/>
      <c r="F132" s="517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16" t="str">
        <f>+VLOOKUP(LEFT($A133,LEN(A133)-1)*1,Master!$D$27:$G$225,4,FALSE)</f>
        <v>Renta</v>
      </c>
      <c r="C133" s="517"/>
      <c r="D133" s="517"/>
      <c r="E133" s="517"/>
      <c r="F133" s="517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16" t="str">
        <f>+VLOOKUP(LEFT($A134,LEN(A134)-1)*1,Master!$D$27:$G$225,4,FALSE)</f>
        <v>Subvencije</v>
      </c>
      <c r="C134" s="517"/>
      <c r="D134" s="517"/>
      <c r="E134" s="517"/>
      <c r="F134" s="517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16" t="str">
        <f>+VLOOKUP(LEFT($A135,LEN(A135)-1)*1,Master!$D$27:$G$225,4,FALSE)</f>
        <v>Ostali izdaci</v>
      </c>
      <c r="C135" s="517"/>
      <c r="D135" s="517"/>
      <c r="E135" s="517"/>
      <c r="F135" s="517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16" t="str">
        <f>+VLOOKUP(LEFT($A136,LEN(A136)-1)*1,Master!$D$27:$G$225,4,FALSE)</f>
        <v>Kapitalni izdaci u tekućem budžetu</v>
      </c>
      <c r="C136" s="517"/>
      <c r="D136" s="517"/>
      <c r="E136" s="517"/>
      <c r="F136" s="517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14" t="str">
        <f>+VLOOKUP(LEFT($A137,LEN(A137)-1)*1,Master!$D$27:$G$225,4,FALSE)</f>
        <v>Transferi za socijalnu zaštitu</v>
      </c>
      <c r="C137" s="515"/>
      <c r="D137" s="515"/>
      <c r="E137" s="515"/>
      <c r="F137" s="515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16" t="str">
        <f>+VLOOKUP(LEFT($A138,LEN(A138)-1)*1,Master!$D$27:$G$225,4,FALSE)</f>
        <v>Prava iz oblasti socijalne zaštite</v>
      </c>
      <c r="C138" s="517"/>
      <c r="D138" s="517"/>
      <c r="E138" s="517"/>
      <c r="F138" s="517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16" t="str">
        <f>+VLOOKUP(LEFT($A139,LEN(A139)-1)*1,Master!$D$27:$G$225,4,FALSE)</f>
        <v>Sredstva za tehnološke viškove</v>
      </c>
      <c r="C139" s="517"/>
      <c r="D139" s="517"/>
      <c r="E139" s="517"/>
      <c r="F139" s="517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16" t="str">
        <f>+VLOOKUP(LEFT($A140,LEN(A140)-1)*1,Master!$D$27:$G$225,4,FALSE)</f>
        <v>Prava iz oblasti penzijskog i invalidskog osiguranja</v>
      </c>
      <c r="C140" s="517"/>
      <c r="D140" s="517"/>
      <c r="E140" s="517"/>
      <c r="F140" s="517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16" t="str">
        <f>+VLOOKUP(LEFT($A141,LEN(A141)-1)*1,Master!$D$27:$G$225,4,FALSE)</f>
        <v>Ostala prava iz oblasti zdravstvene zaštite</v>
      </c>
      <c r="C141" s="517"/>
      <c r="D141" s="517"/>
      <c r="E141" s="517"/>
      <c r="F141" s="517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16" t="str">
        <f>+VLOOKUP(LEFT($A142,LEN(A142)-1)*1,Master!$D$27:$G$225,4,FALSE)</f>
        <v>Ostala prava iz zdravstvenog osiguranja</v>
      </c>
      <c r="C142" s="517"/>
      <c r="D142" s="517"/>
      <c r="E142" s="517"/>
      <c r="F142" s="517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18" t="str">
        <f>+VLOOKUP(LEFT($A143,LEN(A143)-1)*1,Master!$D$27:$G$225,4,FALSE)</f>
        <v xml:space="preserve">Transferi institucijama, pojedincima, nevladinom i javnom sektoru </v>
      </c>
      <c r="C143" s="519"/>
      <c r="D143" s="519"/>
      <c r="E143" s="519"/>
      <c r="F143" s="519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18" t="str">
        <f>+VLOOKUP(LEFT($A144,LEN(A144)-1)*1,Master!$D$27:$G$225,4,FALSE)</f>
        <v>Kapitalni budžet</v>
      </c>
      <c r="C144" s="519"/>
      <c r="D144" s="519"/>
      <c r="E144" s="519"/>
      <c r="F144" s="519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02" t="str">
        <f>+VLOOKUP(LEFT($A145,LEN(A145)-1)*1,Master!$D$27:$G$225,4,FALSE)</f>
        <v>Pozajmice i krediti</v>
      </c>
      <c r="C145" s="503"/>
      <c r="D145" s="503"/>
      <c r="E145" s="503"/>
      <c r="F145" s="503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02" t="str">
        <f>+VLOOKUP(LEFT($A146,LEN(A146)-1)*1,Master!$D$27:$G$225,4,FALSE)</f>
        <v>Rezerve</v>
      </c>
      <c r="C146" s="503"/>
      <c r="D146" s="503"/>
      <c r="E146" s="503"/>
      <c r="F146" s="503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56" t="str">
        <f>+VLOOKUP(LEFT($A147,LEN(A147)-1)*1,Master!$D$27:$G$225,4,FALSE)</f>
        <v>Otplata garancija</v>
      </c>
      <c r="C147" s="557"/>
      <c r="D147" s="557"/>
      <c r="E147" s="557"/>
      <c r="F147" s="557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10" t="str">
        <f>+VLOOKUP(LEFT($A148,LEN(A148)-1)*1,Master!$D$27:$G$225,4,FALSE)</f>
        <v>Suficit / deficit</v>
      </c>
      <c r="C148" s="511"/>
      <c r="D148" s="511"/>
      <c r="E148" s="511"/>
      <c r="F148" s="511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12" t="str">
        <f>+VLOOKUP(LEFT($A149,LEN(A149)-1)*1,Master!$D$27:$G$225,4,FALSE)</f>
        <v>Primarni bilans</v>
      </c>
      <c r="C149" s="513"/>
      <c r="D149" s="513"/>
      <c r="E149" s="513"/>
      <c r="F149" s="513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14" t="str">
        <f>+VLOOKUP(LEFT($A150,LEN(A150)-1)*1,Master!$D$27:$G$225,4,FALSE)</f>
        <v>Otplata dugova</v>
      </c>
      <c r="C150" s="515"/>
      <c r="D150" s="515"/>
      <c r="E150" s="515"/>
      <c r="F150" s="515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04" t="str">
        <f>+VLOOKUP(LEFT($A151,LEN(A151)-1)*1,Master!$D$27:$G$225,4,FALSE)</f>
        <v>Otplata hartija od vrijednosti i kredita rezidentima</v>
      </c>
      <c r="C151" s="505"/>
      <c r="D151" s="505"/>
      <c r="E151" s="505"/>
      <c r="F151" s="505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02" t="str">
        <f>+VLOOKUP(LEFT($A152,LEN(A152)-1)*1,Master!$D$27:$G$225,4,FALSE)</f>
        <v>Otplata hartija od vrijednosti i kredita nerezidentima</v>
      </c>
      <c r="C152" s="503"/>
      <c r="D152" s="503"/>
      <c r="E152" s="503"/>
      <c r="F152" s="503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56" t="str">
        <f>+VLOOKUP(LEFT($A153,LEN(A153)-1)*1,Master!$D$27:$G$225,4,FALSE)</f>
        <v>Otplata obaveza iz prethodnih godina</v>
      </c>
      <c r="C153" s="557"/>
      <c r="D153" s="557"/>
      <c r="E153" s="557"/>
      <c r="F153" s="557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06" t="str">
        <f>+VLOOKUP(LEFT($A154,LEN(A154)-1)*1,Master!$D$27:$G$225,4,FALSE)</f>
        <v>Nedostajuća sredstva</v>
      </c>
      <c r="C154" s="507"/>
      <c r="D154" s="507"/>
      <c r="E154" s="507"/>
      <c r="F154" s="507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08" t="str">
        <f>+VLOOKUP(LEFT($A155,LEN(A155)-1)*1,Master!$D$27:$G$225,4,FALSE)</f>
        <v>Finansiranje</v>
      </c>
      <c r="C155" s="509"/>
      <c r="D155" s="509"/>
      <c r="E155" s="509"/>
      <c r="F155" s="509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04" t="str">
        <f>+VLOOKUP(LEFT($A156,LEN(A156)-1)*1,Master!$D$27:$G$225,4,FALSE)</f>
        <v>Pozajmice i krediti od domaćih izvora</v>
      </c>
      <c r="C156" s="505"/>
      <c r="D156" s="505"/>
      <c r="E156" s="505"/>
      <c r="F156" s="505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02" t="str">
        <f>+VLOOKUP(LEFT($A157,LEN(A157)-1)*1,Master!$D$27:$G$225,4,FALSE)</f>
        <v>Pozajmice i krediti od inostranih izvora</v>
      </c>
      <c r="C157" s="503"/>
      <c r="D157" s="503"/>
      <c r="E157" s="503"/>
      <c r="F157" s="503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02" t="str">
        <f>+VLOOKUP(LEFT($A158,LEN(A158)-1)*1,Master!$D$27:$G$225,4,FALSE)</f>
        <v>Primici od prodaje imovine</v>
      </c>
      <c r="C158" s="503"/>
      <c r="D158" s="503"/>
      <c r="E158" s="503"/>
      <c r="F158" s="503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525</v>
      </c>
      <c r="H6" s="259" t="s">
        <v>526</v>
      </c>
      <c r="I6" s="259" t="s">
        <v>527</v>
      </c>
      <c r="J6" s="259" t="s">
        <v>528</v>
      </c>
      <c r="K6" s="259" t="s">
        <v>529</v>
      </c>
      <c r="L6" s="259" t="s">
        <v>530</v>
      </c>
      <c r="M6" s="259" t="s">
        <v>531</v>
      </c>
      <c r="N6" s="259" t="s">
        <v>532</v>
      </c>
      <c r="O6" s="259" t="s">
        <v>533</v>
      </c>
      <c r="P6" s="259" t="s">
        <v>534</v>
      </c>
      <c r="Q6" s="259" t="s">
        <v>535</v>
      </c>
      <c r="R6" s="259" t="s">
        <v>536</v>
      </c>
      <c r="S6" s="258"/>
      <c r="T6" s="258"/>
    </row>
    <row r="7" spans="1:20" ht="15" customHeight="1" thickBot="1">
      <c r="A7" s="169"/>
      <c r="B7" s="555" t="str">
        <f>+Master!G251</f>
        <v>Ostvarenje budžeta</v>
      </c>
      <c r="C7" s="455"/>
      <c r="D7" s="455"/>
      <c r="E7" s="455"/>
      <c r="F7" s="455"/>
      <c r="G7" s="463">
        <v>2014</v>
      </c>
      <c r="H7" s="464"/>
      <c r="I7" s="464"/>
      <c r="J7" s="464"/>
      <c r="K7" s="464"/>
      <c r="L7" s="464"/>
      <c r="M7" s="464"/>
      <c r="N7" s="464"/>
      <c r="O7" s="464"/>
      <c r="P7" s="464"/>
      <c r="Q7" s="464"/>
      <c r="R7" s="467"/>
      <c r="S7" s="260" t="str">
        <f>+Master!G248</f>
        <v>BDP</v>
      </c>
      <c r="T7" s="261">
        <v>3457880000</v>
      </c>
    </row>
    <row r="8" spans="1:20" ht="16.5" customHeight="1">
      <c r="A8" s="169"/>
      <c r="B8" s="456"/>
      <c r="C8" s="457"/>
      <c r="D8" s="457"/>
      <c r="E8" s="457"/>
      <c r="F8" s="458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3" t="s">
        <v>700</v>
      </c>
      <c r="T8" s="467"/>
    </row>
    <row r="9" spans="1:20" ht="13.5" thickBot="1">
      <c r="A9" s="169"/>
      <c r="B9" s="459"/>
      <c r="C9" s="460"/>
      <c r="D9" s="460"/>
      <c r="E9" s="460"/>
      <c r="F9" s="461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96" t="str">
        <f>+VLOOKUP($A10,Master!$D$27:$G$225,4,FALSE)</f>
        <v>Prihodi budžeta</v>
      </c>
      <c r="C10" s="497"/>
      <c r="D10" s="497"/>
      <c r="E10" s="497"/>
      <c r="F10" s="497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498" t="str">
        <f>+VLOOKUP($A11,Master!$D$27:$G$225,4,FALSE)</f>
        <v>Porezi</v>
      </c>
      <c r="C11" s="499"/>
      <c r="D11" s="499"/>
      <c r="E11" s="499"/>
      <c r="F11" s="499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84" t="str">
        <f>+VLOOKUP($A12,Master!$D$27:$G$225,4,FALSE)</f>
        <v>Porez na dohodak fizičkih lica</v>
      </c>
      <c r="C12" s="485"/>
      <c r="D12" s="485"/>
      <c r="E12" s="485"/>
      <c r="F12" s="485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84" t="str">
        <f>+VLOOKUP($A13,Master!$D$27:$G$225,4,FALSE)</f>
        <v>Porez na dobit pravnih lica</v>
      </c>
      <c r="C13" s="485"/>
      <c r="D13" s="485"/>
      <c r="E13" s="485"/>
      <c r="F13" s="485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84" t="str">
        <f>+VLOOKUP($A14,Master!$D$27:$G$225,4,FALSE)</f>
        <v>Porez na promet nepokretnosti</v>
      </c>
      <c r="C14" s="485"/>
      <c r="D14" s="485"/>
      <c r="E14" s="485"/>
      <c r="F14" s="485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84" t="str">
        <f>+VLOOKUP($A15,Master!$D$27:$G$225,4,FALSE)</f>
        <v>Porez na dodatu vrijednost</v>
      </c>
      <c r="C15" s="485"/>
      <c r="D15" s="485"/>
      <c r="E15" s="485"/>
      <c r="F15" s="485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84" t="str">
        <f>+VLOOKUP($A16,Master!$D$27:$G$225,4,FALSE)</f>
        <v>Akcize</v>
      </c>
      <c r="C16" s="485"/>
      <c r="D16" s="485"/>
      <c r="E16" s="485"/>
      <c r="F16" s="485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84" t="str">
        <f>+VLOOKUP($A17,Master!$D$27:$G$225,4,FALSE)</f>
        <v>Porez na međunarodnu trgovinu i transakcije</v>
      </c>
      <c r="C17" s="485"/>
      <c r="D17" s="485"/>
      <c r="E17" s="485"/>
      <c r="F17" s="485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84" t="str">
        <f>+VLOOKUP($A18,Master!$D$27:$G$225,4,FALSE)</f>
        <v>Ostali državni porezi</v>
      </c>
      <c r="C18" s="485"/>
      <c r="D18" s="485"/>
      <c r="E18" s="485"/>
      <c r="F18" s="485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94" t="str">
        <f>+VLOOKUP($A19,Master!$D$27:$G$225,4,FALSE)</f>
        <v>Doprinosi</v>
      </c>
      <c r="C19" s="495"/>
      <c r="D19" s="495"/>
      <c r="E19" s="495"/>
      <c r="F19" s="495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84" t="str">
        <f>+VLOOKUP($A20,Master!$D$27:$G$225,4,FALSE)</f>
        <v>Doprinosi za penzijsko i invalidsko osiguranje</v>
      </c>
      <c r="C20" s="485"/>
      <c r="D20" s="485"/>
      <c r="E20" s="485"/>
      <c r="F20" s="485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84" t="str">
        <f>+VLOOKUP($A21,Master!$D$27:$G$225,4,FALSE)</f>
        <v>Doprinosi za zdravstveno osiguranje</v>
      </c>
      <c r="C21" s="485"/>
      <c r="D21" s="485"/>
      <c r="E21" s="485"/>
      <c r="F21" s="485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84" t="str">
        <f>+VLOOKUP($A22,Master!$D$27:$G$225,4,FALSE)</f>
        <v>Doprinosi za osiguranje od nezaposlenosti</v>
      </c>
      <c r="C22" s="485"/>
      <c r="D22" s="485"/>
      <c r="E22" s="485"/>
      <c r="F22" s="485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84" t="str">
        <f>+VLOOKUP($A23,Master!$D$27:$G$225,4,FALSE)</f>
        <v>Ostali doprinosi</v>
      </c>
      <c r="C23" s="485"/>
      <c r="D23" s="485"/>
      <c r="E23" s="485"/>
      <c r="F23" s="485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86" t="str">
        <f>+VLOOKUP($A24,Master!$D$27:$G$225,4,FALSE)</f>
        <v>Takse</v>
      </c>
      <c r="C24" s="487"/>
      <c r="D24" s="487"/>
      <c r="E24" s="487"/>
      <c r="F24" s="487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86" t="str">
        <f>+VLOOKUP($A25,Master!$D$27:$G$225,4,FALSE)</f>
        <v>Naknade</v>
      </c>
      <c r="C25" s="487"/>
      <c r="D25" s="487"/>
      <c r="E25" s="487"/>
      <c r="F25" s="487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86" t="str">
        <f>+VLOOKUP($A26,Master!$D$27:$G$225,4,FALSE)</f>
        <v>Ostali prihodi</v>
      </c>
      <c r="C26" s="487"/>
      <c r="D26" s="487"/>
      <c r="E26" s="487"/>
      <c r="F26" s="487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86" t="str">
        <f>+VLOOKUP($A27,Master!$D$27:$G$225,4,FALSE)</f>
        <v>Primici od otplate kredita i sredstva prenesena iz prethodne godine</v>
      </c>
      <c r="C27" s="487"/>
      <c r="D27" s="487"/>
      <c r="E27" s="487"/>
      <c r="F27" s="487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88" t="str">
        <f>+VLOOKUP($A28,Master!$D$27:$G$225,4,FALSE)</f>
        <v>Donacije i transferi</v>
      </c>
      <c r="C28" s="489"/>
      <c r="D28" s="489"/>
      <c r="E28" s="489"/>
      <c r="F28" s="489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74" t="str">
        <f>+VLOOKUP($A29,Master!$D$27:$G$225,4,FALSE)</f>
        <v>Budžetski izdaci</v>
      </c>
      <c r="C29" s="475"/>
      <c r="D29" s="475"/>
      <c r="E29" s="475"/>
      <c r="F29" s="475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90" t="str">
        <f>+VLOOKUP($A30,Master!$D$27:$G$225,4,FALSE)</f>
        <v>Tekuća budžetska potrošnja</v>
      </c>
      <c r="C30" s="491"/>
      <c r="D30" s="491"/>
      <c r="E30" s="491"/>
      <c r="F30" s="491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92" t="str">
        <f>+VLOOKUP($A31,Master!$D$27:$G$225,4,FALSE)</f>
        <v>Tekući izdaci</v>
      </c>
      <c r="C31" s="493"/>
      <c r="D31" s="493"/>
      <c r="E31" s="493"/>
      <c r="F31" s="493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84" t="str">
        <f>+VLOOKUP($A32,Master!$D$27:$G$225,4,FALSE)</f>
        <v>Bruto zarade i doprinosi na teret poslodavca</v>
      </c>
      <c r="C32" s="485"/>
      <c r="D32" s="485"/>
      <c r="E32" s="485"/>
      <c r="F32" s="485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84" t="str">
        <f>+VLOOKUP($A33,Master!$D$27:$G$225,4,FALSE)</f>
        <v>Ostala lična primanja</v>
      </c>
      <c r="C33" s="485"/>
      <c r="D33" s="485"/>
      <c r="E33" s="485"/>
      <c r="F33" s="485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84" t="str">
        <f>+VLOOKUP($A34,Master!$D$27:$G$225,4,FALSE)</f>
        <v>Rashodi za materijal</v>
      </c>
      <c r="C34" s="485"/>
      <c r="D34" s="485"/>
      <c r="E34" s="485"/>
      <c r="F34" s="485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84" t="str">
        <f>+VLOOKUP($A35,Master!$D$27:$G$225,4,FALSE)</f>
        <v>Rashodi za usluge</v>
      </c>
      <c r="C35" s="485"/>
      <c r="D35" s="485"/>
      <c r="E35" s="485"/>
      <c r="F35" s="485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84" t="str">
        <f>+VLOOKUP($A36,Master!$D$27:$G$225,4,FALSE)</f>
        <v>Rashodi za tekuće održavanje</v>
      </c>
      <c r="C36" s="485"/>
      <c r="D36" s="485"/>
      <c r="E36" s="485"/>
      <c r="F36" s="485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84" t="str">
        <f>+VLOOKUP($A37,Master!$D$27:$G$225,4,FALSE)</f>
        <v>Kamate</v>
      </c>
      <c r="C37" s="485"/>
      <c r="D37" s="485"/>
      <c r="E37" s="485"/>
      <c r="F37" s="485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84" t="str">
        <f>+VLOOKUP($A38,Master!$D$27:$G$225,4,FALSE)</f>
        <v>Renta</v>
      </c>
      <c r="C38" s="485"/>
      <c r="D38" s="485"/>
      <c r="E38" s="485"/>
      <c r="F38" s="485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84" t="str">
        <f>+VLOOKUP($A39,Master!$D$27:$G$225,4,FALSE)</f>
        <v>Subvencije</v>
      </c>
      <c r="C39" s="485"/>
      <c r="D39" s="485"/>
      <c r="E39" s="485"/>
      <c r="F39" s="485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84" t="str">
        <f>+VLOOKUP($A40,Master!$D$27:$G$225,4,FALSE)</f>
        <v>Ostali izdaci</v>
      </c>
      <c r="C40" s="485"/>
      <c r="D40" s="485"/>
      <c r="E40" s="485"/>
      <c r="F40" s="485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84" t="str">
        <f>+VLOOKUP($A41,Master!$D$27:$G$225,4,FALSE)</f>
        <v>Kapitalni izdaci u tekućem budžetu</v>
      </c>
      <c r="C41" s="485"/>
      <c r="D41" s="485"/>
      <c r="E41" s="485"/>
      <c r="F41" s="485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80" t="str">
        <f>+VLOOKUP($A42,Master!$D$27:$G$225,4,FALSE)</f>
        <v>Transferi za socijalnu zaštitu</v>
      </c>
      <c r="C42" s="481"/>
      <c r="D42" s="481"/>
      <c r="E42" s="481"/>
      <c r="F42" s="481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84" t="str">
        <f>+VLOOKUP($A43,Master!$D$27:$G$225,4,FALSE)</f>
        <v>Prava iz oblasti socijalne zaštite</v>
      </c>
      <c r="C43" s="485"/>
      <c r="D43" s="485"/>
      <c r="E43" s="485"/>
      <c r="F43" s="485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84" t="str">
        <f>+VLOOKUP($A44,Master!$D$27:$G$225,4,FALSE)</f>
        <v>Sredstva za tehnološke viškove</v>
      </c>
      <c r="C44" s="485"/>
      <c r="D44" s="485"/>
      <c r="E44" s="485"/>
      <c r="F44" s="485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84" t="str">
        <f>+VLOOKUP($A45,Master!$D$27:$G$225,4,FALSE)</f>
        <v>Prava iz oblasti penzijskog i invalidskog osiguranja</v>
      </c>
      <c r="C45" s="485"/>
      <c r="D45" s="485"/>
      <c r="E45" s="485"/>
      <c r="F45" s="485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84" t="str">
        <f>+VLOOKUP($A46,Master!$D$27:$G$225,4,FALSE)</f>
        <v>Ostala prava iz oblasti zdravstvene zaštite</v>
      </c>
      <c r="C46" s="485"/>
      <c r="D46" s="485"/>
      <c r="E46" s="485"/>
      <c r="F46" s="485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84" t="str">
        <f>+VLOOKUP($A47,Master!$D$27:$G$225,4,FALSE)</f>
        <v>Ostala prava iz zdravstvenog osiguranja</v>
      </c>
      <c r="C47" s="485"/>
      <c r="D47" s="485"/>
      <c r="E47" s="485"/>
      <c r="F47" s="485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82" t="str">
        <f>+VLOOKUP($A48,Master!$D$27:$G$225,4,FALSE)</f>
        <v xml:space="preserve">Transferi institucijama, pojedincima, nevladinom i javnom sektoru </v>
      </c>
      <c r="C48" s="483"/>
      <c r="D48" s="483"/>
      <c r="E48" s="483"/>
      <c r="F48" s="483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82" t="str">
        <f>+VLOOKUP($A49,Master!$D$27:$G$225,4,FALSE)</f>
        <v>Kapitalni budžet</v>
      </c>
      <c r="C49" s="483"/>
      <c r="D49" s="483"/>
      <c r="E49" s="483"/>
      <c r="F49" s="483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52" t="str">
        <f>+VLOOKUP($A50,Master!$D$27:$G$225,4,FALSE)</f>
        <v>Pozajmice i krediti</v>
      </c>
      <c r="C50" s="453"/>
      <c r="D50" s="453"/>
      <c r="E50" s="453"/>
      <c r="F50" s="453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52" t="str">
        <f>+VLOOKUP($A51,Master!$D$27:$G$225,4,FALSE)</f>
        <v>Rezerve</v>
      </c>
      <c r="C51" s="453"/>
      <c r="D51" s="453"/>
      <c r="E51" s="453"/>
      <c r="F51" s="453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70" t="str">
        <f>+VLOOKUP($A52,Master!$D$27:$G$225,4,FALSE)</f>
        <v>Otplata garancija</v>
      </c>
      <c r="C52" s="471"/>
      <c r="D52" s="471"/>
      <c r="E52" s="471"/>
      <c r="F52" s="471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70" t="str">
        <f>+VLOOKUP($A53,Master!$D$27:$G$225,4,TRUE)</f>
        <v>Otplata obaveza iz prethodnih godina</v>
      </c>
      <c r="C53" s="471"/>
      <c r="D53" s="471"/>
      <c r="E53" s="471"/>
      <c r="F53" s="471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56" t="str">
        <f>+VLOOKUP($A54,Master!$D$27:$G$227,4,FALSE)</f>
        <v>Neto povećanje obaveza</v>
      </c>
      <c r="C54" s="557"/>
      <c r="D54" s="557"/>
      <c r="E54" s="557"/>
      <c r="F54" s="557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58" t="str">
        <f>+VLOOKUP($A55,Master!$D$27:$G$225,4,FALSE)</f>
        <v>Suficit / deficit</v>
      </c>
      <c r="C55" s="559"/>
      <c r="D55" s="559"/>
      <c r="E55" s="559"/>
      <c r="F55" s="559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78" t="str">
        <f>+VLOOKUP($A56,Master!$D$27:$G$225,4,FALSE)</f>
        <v>Primarni bilans</v>
      </c>
      <c r="C56" s="479"/>
      <c r="D56" s="479"/>
      <c r="E56" s="479"/>
      <c r="F56" s="479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80" t="str">
        <f>+VLOOKUP($A57,Master!$D$27:$G$225,4,FALSE)</f>
        <v>Otplata dugova</v>
      </c>
      <c r="C57" s="481"/>
      <c r="D57" s="481"/>
      <c r="E57" s="481"/>
      <c r="F57" s="481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68" t="str">
        <f>+VLOOKUP($A58,Master!$D$27:$G$225,4,FALSE)</f>
        <v>Otplata hartija od vrijednosti i kredita rezidentima</v>
      </c>
      <c r="C58" s="469"/>
      <c r="D58" s="469"/>
      <c r="E58" s="469"/>
      <c r="F58" s="469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52" t="str">
        <f>+VLOOKUP($A59,Master!$D$27:$G$225,4,FALSE)</f>
        <v>Otplata hartija od vrijednosti i kredita nerezidentima</v>
      </c>
      <c r="C59" s="453"/>
      <c r="D59" s="453"/>
      <c r="E59" s="453"/>
      <c r="F59" s="453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72" t="str">
        <f>+VLOOKUP($A60,Master!$D$27:$G$225,4,FALSE)</f>
        <v>Nedostajuća sredstva</v>
      </c>
      <c r="C60" s="473"/>
      <c r="D60" s="473"/>
      <c r="E60" s="473"/>
      <c r="F60" s="473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74" t="str">
        <f>+VLOOKUP($A61,Master!$D$27:$G$225,4,FALSE)</f>
        <v>Finansiranje</v>
      </c>
      <c r="C61" s="475"/>
      <c r="D61" s="475"/>
      <c r="E61" s="475"/>
      <c r="F61" s="475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68" t="str">
        <f>+VLOOKUP($A62,Master!$D$27:$G$225,4,FALSE)</f>
        <v>Pozajmice i krediti od domaćih izvora</v>
      </c>
      <c r="C62" s="469"/>
      <c r="D62" s="469"/>
      <c r="E62" s="469"/>
      <c r="F62" s="469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52" t="str">
        <f>+VLOOKUP($A63,Master!$D$27:$G$225,4,FALSE)</f>
        <v>Pozajmice i krediti od inostranih izvora</v>
      </c>
      <c r="C63" s="453"/>
      <c r="D63" s="453"/>
      <c r="E63" s="453"/>
      <c r="F63" s="453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52" t="str">
        <f>+VLOOKUP($A64,Master!$D$27:$G$225,4,FALSE)</f>
        <v>Primici od prodaje imovine</v>
      </c>
      <c r="C64" s="453"/>
      <c r="D64" s="453"/>
      <c r="E64" s="453"/>
      <c r="F64" s="453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+VLOOKUP($A65,Master!$D$27:$G$225,4,FALSE)</f>
        <v>Povećanje / smanjenje depozita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37" t="str">
        <f>+Master!G252</f>
        <v>Plan ostvarenja budžeta</v>
      </c>
      <c r="C101" s="538"/>
      <c r="D101" s="538"/>
      <c r="E101" s="538"/>
      <c r="F101" s="538"/>
      <c r="G101" s="530">
        <v>2014</v>
      </c>
      <c r="H101" s="531"/>
      <c r="I101" s="531"/>
      <c r="J101" s="531"/>
      <c r="K101" s="531"/>
      <c r="L101" s="531"/>
      <c r="M101" s="531"/>
      <c r="N101" s="531"/>
      <c r="O101" s="531"/>
      <c r="P101" s="531"/>
      <c r="Q101" s="531"/>
      <c r="R101" s="532"/>
      <c r="S101" s="115" t="str">
        <f>+S7</f>
        <v>BDP</v>
      </c>
      <c r="T101" s="116">
        <v>3393200615</v>
      </c>
    </row>
    <row r="102" spans="1:21" ht="15.75" customHeight="1">
      <c r="B102" s="539"/>
      <c r="C102" s="540"/>
      <c r="D102" s="540"/>
      <c r="E102" s="540"/>
      <c r="F102" s="541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30" t="str">
        <f>+Master!G246</f>
        <v>Jan - Dec</v>
      </c>
      <c r="T102" s="532">
        <f>+T8</f>
        <v>0</v>
      </c>
    </row>
    <row r="103" spans="1:21" ht="13.5" thickBot="1">
      <c r="B103" s="542"/>
      <c r="C103" s="543"/>
      <c r="D103" s="543"/>
      <c r="E103" s="543"/>
      <c r="F103" s="544"/>
      <c r="G103" s="68" t="s">
        <v>423</v>
      </c>
      <c r="H103" s="68" t="s">
        <v>423</v>
      </c>
      <c r="I103" s="68" t="s">
        <v>423</v>
      </c>
      <c r="J103" s="68" t="s">
        <v>423</v>
      </c>
      <c r="K103" s="68" t="s">
        <v>423</v>
      </c>
      <c r="L103" s="68" t="s">
        <v>423</v>
      </c>
      <c r="M103" s="68" t="s">
        <v>423</v>
      </c>
      <c r="N103" s="68" t="s">
        <v>423</v>
      </c>
      <c r="O103" s="68" t="s">
        <v>423</v>
      </c>
      <c r="P103" s="68" t="s">
        <v>423</v>
      </c>
      <c r="Q103" s="68" t="s">
        <v>423</v>
      </c>
      <c r="R103" s="68" t="s">
        <v>423</v>
      </c>
      <c r="S103" s="66" t="s">
        <v>423</v>
      </c>
      <c r="T103" s="67" t="str">
        <f>+T9</f>
        <v>% BDP</v>
      </c>
    </row>
    <row r="104" spans="1:21" ht="13.5" thickBot="1">
      <c r="A104" s="137" t="str">
        <f t="shared" ref="A104:A111" si="16">+CONCATENATE(A10,"p")</f>
        <v>7p</v>
      </c>
      <c r="B104" s="533" t="str">
        <f>+VLOOKUP(LEFT($A104,LEN(A104)-1)*1,Master!$D$27:$G$225,4,FALSE)</f>
        <v>Prihodi budžeta</v>
      </c>
      <c r="C104" s="534"/>
      <c r="D104" s="534"/>
      <c r="E104" s="534"/>
      <c r="F104" s="534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35" t="str">
        <f>+VLOOKUP(LEFT($A105,LEN(A105)-1)*1,Master!$D$27:$G$225,4,FALSE)</f>
        <v>Porezi</v>
      </c>
      <c r="C105" s="536"/>
      <c r="D105" s="536"/>
      <c r="E105" s="536"/>
      <c r="F105" s="536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16" t="str">
        <f>+VLOOKUP(LEFT($A106,LEN(A106)-1)*1,Master!$D$27:$G$225,4,FALSE)</f>
        <v>Porez na dohodak fizičkih lica</v>
      </c>
      <c r="C106" s="517"/>
      <c r="D106" s="517"/>
      <c r="E106" s="517"/>
      <c r="F106" s="517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16" t="str">
        <f>+VLOOKUP(LEFT($A107,LEN(A107)-1)*1,Master!$D$27:$G$225,4,FALSE)</f>
        <v>Porez na dobit pravnih lica</v>
      </c>
      <c r="C107" s="517"/>
      <c r="D107" s="517"/>
      <c r="E107" s="517"/>
      <c r="F107" s="517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16" t="str">
        <f>+VLOOKUP(LEFT($A108,LEN(A108)-1)*1,Master!$D$27:$G$225,4,FALSE)</f>
        <v>Porez na promet nepokretnosti</v>
      </c>
      <c r="C108" s="517"/>
      <c r="D108" s="517"/>
      <c r="E108" s="517"/>
      <c r="F108" s="517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16" t="str">
        <f>+VLOOKUP(LEFT($A109,LEN(A109)-1)*1,Master!$D$27:$G$225,4,FALSE)</f>
        <v>Porez na dodatu vrijednost</v>
      </c>
      <c r="C109" s="517"/>
      <c r="D109" s="517"/>
      <c r="E109" s="517"/>
      <c r="F109" s="517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16" t="str">
        <f>+VLOOKUP(LEFT($A110,LEN(A110)-1)*1,Master!$D$27:$G$225,4,FALSE)</f>
        <v>Akcize</v>
      </c>
      <c r="C110" s="517"/>
      <c r="D110" s="517"/>
      <c r="E110" s="517"/>
      <c r="F110" s="517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16" t="str">
        <f>+VLOOKUP(LEFT($A111,LEN(A111)-1)*1,Master!$D$27:$G$225,4,FALSE)</f>
        <v>Porez na međunarodnu trgovinu i transakcije</v>
      </c>
      <c r="C111" s="517"/>
      <c r="D111" s="517"/>
      <c r="E111" s="517"/>
      <c r="F111" s="517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16" t="e">
        <f>+VLOOKUP(LEFT($A112,LEN(A112)-1)*1,Master!$D$27:$G$225,4,FALSE)</f>
        <v>#REF!</v>
      </c>
      <c r="C112" s="517"/>
      <c r="D112" s="517"/>
      <c r="E112" s="517"/>
      <c r="F112" s="517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16" t="str">
        <f>+VLOOKUP(LEFT($A113,LEN(A113)-1)*1,Master!$D$27:$G$225,4,FALSE)</f>
        <v>Ostali državni porezi</v>
      </c>
      <c r="C113" s="517"/>
      <c r="D113" s="517"/>
      <c r="E113" s="517"/>
      <c r="F113" s="517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28" t="str">
        <f>+VLOOKUP(LEFT($A114,LEN(A114)-1)*1,Master!$D$27:$G$225,4,FALSE)</f>
        <v>Doprinosi</v>
      </c>
      <c r="C114" s="529"/>
      <c r="D114" s="529"/>
      <c r="E114" s="529"/>
      <c r="F114" s="529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16" t="str">
        <f>+VLOOKUP(LEFT($A115,LEN(A115)-1)*1,Master!$D$27:$G$225,4,FALSE)</f>
        <v>Doprinosi za penzijsko i invalidsko osiguranje</v>
      </c>
      <c r="C115" s="517"/>
      <c r="D115" s="517"/>
      <c r="E115" s="517"/>
      <c r="F115" s="517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16" t="str">
        <f>+VLOOKUP(LEFT($A116,LEN(A116)-1)*1,Master!$D$27:$G$225,4,FALSE)</f>
        <v>Doprinosi za zdravstveno osiguranje</v>
      </c>
      <c r="C116" s="517"/>
      <c r="D116" s="517"/>
      <c r="E116" s="517"/>
      <c r="F116" s="517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16" t="str">
        <f>+VLOOKUP(LEFT($A117,LEN(A117)-1)*1,Master!$D$27:$G$225,4,FALSE)</f>
        <v>Doprinosi za osiguranje od nezaposlenosti</v>
      </c>
      <c r="C117" s="517"/>
      <c r="D117" s="517"/>
      <c r="E117" s="517"/>
      <c r="F117" s="517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16" t="str">
        <f>+VLOOKUP(LEFT($A118,LEN(A118)-1)*1,Master!$D$27:$G$225,4,FALSE)</f>
        <v>Ostali doprinosi</v>
      </c>
      <c r="C118" s="517"/>
      <c r="D118" s="517"/>
      <c r="E118" s="517"/>
      <c r="F118" s="517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20" t="str">
        <f>+VLOOKUP(LEFT($A119,LEN(A119)-1)*1,Master!$D$27:$G$225,4,FALSE)</f>
        <v>Takse</v>
      </c>
      <c r="C119" s="521"/>
      <c r="D119" s="521"/>
      <c r="E119" s="521"/>
      <c r="F119" s="521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20" t="str">
        <f>+VLOOKUP(LEFT($A120,LEN(A120)-1)*1,Master!$D$27:$G$225,4,FALSE)</f>
        <v>Naknade</v>
      </c>
      <c r="C120" s="521"/>
      <c r="D120" s="521"/>
      <c r="E120" s="521"/>
      <c r="F120" s="521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20" t="str">
        <f>+VLOOKUP(LEFT($A121,LEN(A121)-1)*1,Master!$D$27:$G$225,4,FALSE)</f>
        <v>Ostali prihodi</v>
      </c>
      <c r="C121" s="521"/>
      <c r="D121" s="521"/>
      <c r="E121" s="521"/>
      <c r="F121" s="521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20" t="str">
        <f>+VLOOKUP(LEFT($A122,LEN(A122)-1)*1,Master!$D$27:$G$225,4,FALSE)</f>
        <v>Primici od otplate kredita i sredstva prenesena iz prethodne godine</v>
      </c>
      <c r="C122" s="521"/>
      <c r="D122" s="521"/>
      <c r="E122" s="521"/>
      <c r="F122" s="521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22" t="str">
        <f>+VLOOKUP(LEFT($A123,LEN(A123)-1)*1,Master!$D$27:$G$225,4,FALSE)</f>
        <v>Donacije i transferi</v>
      </c>
      <c r="C123" s="523"/>
      <c r="D123" s="523"/>
      <c r="E123" s="523"/>
      <c r="F123" s="523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08" t="str">
        <f>+VLOOKUP(LEFT($A124,LEN(A124)-1)*1,Master!$D$27:$G$225,4,FALSE)</f>
        <v>Budžetski izdaci</v>
      </c>
      <c r="C124" s="509"/>
      <c r="D124" s="509"/>
      <c r="E124" s="509"/>
      <c r="F124" s="509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24" t="str">
        <f>+VLOOKUP(LEFT($A125,LEN(A125)-1)*1,Master!$D$27:$G$225,4,FALSE)</f>
        <v>Tekuća budžetska potrošnja</v>
      </c>
      <c r="C125" s="525"/>
      <c r="D125" s="525"/>
      <c r="E125" s="525"/>
      <c r="F125" s="525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26" t="str">
        <f>+VLOOKUP(LEFT($A126,LEN(A126)-1)*1,Master!$D$27:$G$225,4,FALSE)</f>
        <v>Tekući izdaci</v>
      </c>
      <c r="C126" s="527"/>
      <c r="D126" s="527"/>
      <c r="E126" s="527"/>
      <c r="F126" s="527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16" t="str">
        <f>+VLOOKUP(LEFT($A127,LEN(A127)-1)*1,Master!$D$27:$G$225,4,FALSE)</f>
        <v>Bruto zarade i doprinosi na teret poslodavca</v>
      </c>
      <c r="C127" s="517"/>
      <c r="D127" s="517"/>
      <c r="E127" s="517"/>
      <c r="F127" s="517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16" t="str">
        <f>+VLOOKUP(LEFT($A128,LEN(A128)-1)*1,Master!$D$27:$G$225,4,FALSE)</f>
        <v>Ostala lična primanja</v>
      </c>
      <c r="C128" s="517"/>
      <c r="D128" s="517"/>
      <c r="E128" s="517"/>
      <c r="F128" s="517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16" t="str">
        <f>+VLOOKUP(LEFT($A129,LEN(A129)-1)*1,Master!$D$27:$G$225,4,FALSE)</f>
        <v>Rashodi za materijal</v>
      </c>
      <c r="C129" s="517"/>
      <c r="D129" s="517"/>
      <c r="E129" s="517"/>
      <c r="F129" s="517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16" t="str">
        <f>+VLOOKUP(LEFT($A130,LEN(A130)-1)*1,Master!$D$27:$G$225,4,FALSE)</f>
        <v>Rashodi za usluge</v>
      </c>
      <c r="C130" s="517"/>
      <c r="D130" s="517"/>
      <c r="E130" s="517"/>
      <c r="F130" s="517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16" t="str">
        <f>+VLOOKUP(LEFT($A131,LEN(A131)-1)*1,Master!$D$27:$G$225,4,FALSE)</f>
        <v>Rashodi za tekuće održavanje</v>
      </c>
      <c r="C131" s="517"/>
      <c r="D131" s="517"/>
      <c r="E131" s="517"/>
      <c r="F131" s="517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16" t="str">
        <f>+VLOOKUP(LEFT($A132,LEN(A132)-1)*1,Master!$D$27:$G$225,4,FALSE)</f>
        <v>Kamate</v>
      </c>
      <c r="C132" s="517"/>
      <c r="D132" s="517"/>
      <c r="E132" s="517"/>
      <c r="F132" s="517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16" t="str">
        <f>+VLOOKUP(LEFT($A133,LEN(A133)-1)*1,Master!$D$27:$G$225,4,FALSE)</f>
        <v>Renta</v>
      </c>
      <c r="C133" s="517"/>
      <c r="D133" s="517"/>
      <c r="E133" s="517"/>
      <c r="F133" s="517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16" t="str">
        <f>+VLOOKUP(LEFT($A134,LEN(A134)-1)*1,Master!$D$27:$G$225,4,FALSE)</f>
        <v>Subvencije</v>
      </c>
      <c r="C134" s="517"/>
      <c r="D134" s="517"/>
      <c r="E134" s="517"/>
      <c r="F134" s="517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16" t="str">
        <f>+VLOOKUP(LEFT($A135,LEN(A135)-1)*1,Master!$D$27:$G$225,4,FALSE)</f>
        <v>Ostali izdaci</v>
      </c>
      <c r="C135" s="517"/>
      <c r="D135" s="517"/>
      <c r="E135" s="517"/>
      <c r="F135" s="517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16" t="str">
        <f>+VLOOKUP(LEFT($A136,LEN(A136)-1)*1,Master!$D$27:$G$225,4,FALSE)</f>
        <v>Kapitalni izdaci u tekućem budžetu</v>
      </c>
      <c r="C136" s="517"/>
      <c r="D136" s="517"/>
      <c r="E136" s="517"/>
      <c r="F136" s="517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14" t="str">
        <f>+VLOOKUP(LEFT($A137,LEN(A137)-1)*1,Master!$D$27:$G$225,4,FALSE)</f>
        <v>Transferi za socijalnu zaštitu</v>
      </c>
      <c r="C137" s="515"/>
      <c r="D137" s="515"/>
      <c r="E137" s="515"/>
      <c r="F137" s="515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16" t="str">
        <f>+VLOOKUP(LEFT($A138,LEN(A138)-1)*1,Master!$D$27:$G$225,4,FALSE)</f>
        <v>Prava iz oblasti socijalne zaštite</v>
      </c>
      <c r="C138" s="517"/>
      <c r="D138" s="517"/>
      <c r="E138" s="517"/>
      <c r="F138" s="517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16" t="str">
        <f>+VLOOKUP(LEFT($A139,LEN(A139)-1)*1,Master!$D$27:$G$225,4,FALSE)</f>
        <v>Sredstva za tehnološke viškove</v>
      </c>
      <c r="C139" s="517"/>
      <c r="D139" s="517"/>
      <c r="E139" s="517"/>
      <c r="F139" s="517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16" t="str">
        <f>+VLOOKUP(LEFT($A140,LEN(A140)-1)*1,Master!$D$27:$G$225,4,FALSE)</f>
        <v>Prava iz oblasti penzijskog i invalidskog osiguranja</v>
      </c>
      <c r="C140" s="517"/>
      <c r="D140" s="517"/>
      <c r="E140" s="517"/>
      <c r="F140" s="517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16" t="str">
        <f>+VLOOKUP(LEFT($A141,LEN(A141)-1)*1,Master!$D$27:$G$225,4,FALSE)</f>
        <v>Ostala prava iz oblasti zdravstvene zaštite</v>
      </c>
      <c r="C141" s="517"/>
      <c r="D141" s="517"/>
      <c r="E141" s="517"/>
      <c r="F141" s="517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16" t="str">
        <f>+VLOOKUP(LEFT($A142,LEN(A142)-1)*1,Master!$D$27:$G$225,4,FALSE)</f>
        <v>Ostala prava iz zdravstvenog osiguranja</v>
      </c>
      <c r="C142" s="517"/>
      <c r="D142" s="517"/>
      <c r="E142" s="517"/>
      <c r="F142" s="517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18" t="str">
        <f>+VLOOKUP(LEFT($A143,LEN(A143)-1)*1,Master!$D$27:$G$225,4,FALSE)</f>
        <v xml:space="preserve">Transferi institucijama, pojedincima, nevladinom i javnom sektoru </v>
      </c>
      <c r="C143" s="519"/>
      <c r="D143" s="519"/>
      <c r="E143" s="519"/>
      <c r="F143" s="519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18" t="str">
        <f>+VLOOKUP(LEFT($A144,LEN(A144)-1)*1,Master!$D$27:$G$225,4,FALSE)</f>
        <v>Kapitalni budžet</v>
      </c>
      <c r="C144" s="519"/>
      <c r="D144" s="519"/>
      <c r="E144" s="519"/>
      <c r="F144" s="519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02" t="str">
        <f>+VLOOKUP(LEFT($A145,LEN(A145)-1)*1,Master!$D$27:$G$225,4,FALSE)</f>
        <v>Pozajmice i krediti</v>
      </c>
      <c r="C145" s="503"/>
      <c r="D145" s="503"/>
      <c r="E145" s="503"/>
      <c r="F145" s="503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02" t="str">
        <f>+VLOOKUP(LEFT($A146,LEN(A146)-1)*1,Master!$D$27:$G$225,4,FALSE)</f>
        <v>Rezerve</v>
      </c>
      <c r="C146" s="503"/>
      <c r="D146" s="503"/>
      <c r="E146" s="503"/>
      <c r="F146" s="503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56" t="str">
        <f>+VLOOKUP(LEFT($A147,LEN(A147)-1)*1,Master!$D$27:$G$225,4,FALSE)</f>
        <v>Otplata garancija</v>
      </c>
      <c r="C147" s="557"/>
      <c r="D147" s="557"/>
      <c r="E147" s="557"/>
      <c r="F147" s="557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10" t="str">
        <f>+VLOOKUP(LEFT($A148,LEN(A148)-1)*1,Master!$D$27:$G$225,4,FALSE)</f>
        <v>Suficit / deficit</v>
      </c>
      <c r="C148" s="511"/>
      <c r="D148" s="511"/>
      <c r="E148" s="511"/>
      <c r="F148" s="511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12" t="str">
        <f>+VLOOKUP(LEFT($A149,LEN(A149)-1)*1,Master!$D$27:$G$225,4,FALSE)</f>
        <v>Primarni bilans</v>
      </c>
      <c r="C149" s="513"/>
      <c r="D149" s="513"/>
      <c r="E149" s="513"/>
      <c r="F149" s="513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14" t="str">
        <f>+VLOOKUP(LEFT($A150,LEN(A150)-1)*1,Master!$D$27:$G$225,4,FALSE)</f>
        <v>Otplata dugova</v>
      </c>
      <c r="C150" s="515"/>
      <c r="D150" s="515"/>
      <c r="E150" s="515"/>
      <c r="F150" s="515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04" t="str">
        <f>+VLOOKUP(LEFT($A151,LEN(A151)-1)*1,Master!$D$27:$G$225,4,FALSE)</f>
        <v>Otplata hartija od vrijednosti i kredita rezidentima</v>
      </c>
      <c r="C151" s="505"/>
      <c r="D151" s="505"/>
      <c r="E151" s="505"/>
      <c r="F151" s="505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02" t="str">
        <f>+VLOOKUP(LEFT($A152,LEN(A152)-1)*1,Master!$D$27:$G$225,4,FALSE)</f>
        <v>Otplata hartija od vrijednosti i kredita nerezidentima</v>
      </c>
      <c r="C152" s="503"/>
      <c r="D152" s="503"/>
      <c r="E152" s="503"/>
      <c r="F152" s="503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56" t="str">
        <f>+VLOOKUP(LEFT($A153,LEN(A153)-1)*1,Master!$D$27:$G$225,4,FALSE)</f>
        <v>Otplata obaveza iz prethodnih godina</v>
      </c>
      <c r="C153" s="557"/>
      <c r="D153" s="557"/>
      <c r="E153" s="557"/>
      <c r="F153" s="557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06" t="str">
        <f>+VLOOKUP(LEFT($A154,LEN(A154)-1)*1,Master!$D$27:$G$225,4,FALSE)</f>
        <v>Nedostajuća sredstva</v>
      </c>
      <c r="C154" s="507"/>
      <c r="D154" s="507"/>
      <c r="E154" s="507"/>
      <c r="F154" s="507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08" t="str">
        <f>+VLOOKUP(LEFT($A155,LEN(A155)-1)*1,Master!$D$27:$G$225,4,FALSE)</f>
        <v>Finansiranje</v>
      </c>
      <c r="C155" s="509"/>
      <c r="D155" s="509"/>
      <c r="E155" s="509"/>
      <c r="F155" s="509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04" t="str">
        <f>+VLOOKUP(LEFT($A156,LEN(A156)-1)*1,Master!$D$27:$G$225,4,FALSE)</f>
        <v>Pozajmice i krediti od domaćih izvora</v>
      </c>
      <c r="C156" s="505"/>
      <c r="D156" s="505"/>
      <c r="E156" s="505"/>
      <c r="F156" s="505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02" t="str">
        <f>+VLOOKUP(LEFT($A157,LEN(A157)-1)*1,Master!$D$27:$G$225,4,FALSE)</f>
        <v>Pozajmice i krediti od inostranih izvora</v>
      </c>
      <c r="C157" s="503"/>
      <c r="D157" s="503"/>
      <c r="E157" s="503"/>
      <c r="F157" s="503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02" t="str">
        <f>+VLOOKUP(LEFT($A158,LEN(A158)-1)*1,Master!$D$27:$G$225,4,FALSE)</f>
        <v>Primici od prodaje imovine</v>
      </c>
      <c r="C158" s="503"/>
      <c r="D158" s="503"/>
      <c r="E158" s="503"/>
      <c r="F158" s="503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- 2019</vt:lpstr>
      <vt:lpstr>2019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  <vt:lpstr>'2019'!_2015plan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2017-03-01T13:10:49Z</cp:lastPrinted>
  <dcterms:created xsi:type="dcterms:W3CDTF">2014-09-15T13:41:17Z</dcterms:created>
  <dcterms:modified xsi:type="dcterms:W3CDTF">2019-07-02T12:26:26Z</dcterms:modified>
</cp:coreProperties>
</file>