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ordana.stanisic\Desktop\"/>
    </mc:Choice>
  </mc:AlternateContent>
  <workbookProtection workbookAlgorithmName="SHA-512" workbookHashValue="Q1FL3qQ0V/6MHixO9sQWDKlYzt0TeR2QRN10jEtl+7N2UBsNs0Ot1MVnFnPPwfKVLA8ui9YzWl132ZRHXUhUYg==" workbookSaltValue="UgjonBOAry2DgOi0i4ijCg==" workbookSpinCount="100000" lockStructure="1"/>
  <bookViews>
    <workbookView xWindow="0" yWindow="0" windowWidth="24000" windowHeight="9600" tabRatio="587" firstSheet="1" activeTab="1"/>
  </bookViews>
  <sheets>
    <sheet name="Analitika - 2014" sheetId="1" state="hidden" r:id="rId1"/>
    <sheet name="Pregled" sheetId="2" r:id="rId2"/>
    <sheet name="Analitika 2022" sheetId="3" r:id="rId3"/>
    <sheet name="2022" sheetId="4" r:id="rId4"/>
    <sheet name="2021" sheetId="5" state="hidden" r:id="rId5"/>
    <sheet name="2020" sheetId="6" state="hidden" r:id="rId6"/>
    <sheet name="2019" sheetId="7" state="hidden" r:id="rId7"/>
    <sheet name="2018" sheetId="8" state="hidden" r:id="rId8"/>
    <sheet name="DataEx" sheetId="9" state="hidden" r:id="rId9"/>
    <sheet name="Master" sheetId="10" state="hidden" r:id="rId10"/>
  </sheets>
  <externalReferences>
    <externalReference r:id="rId11"/>
  </externalReferences>
  <definedNames>
    <definedName name="_2015plan" localSheetId="7">'2018'!$A$103:$A$162</definedName>
    <definedName name="_2015plan" localSheetId="6">'2019'!$A$100:$A$159</definedName>
    <definedName name="_2015plan" localSheetId="5">'2020'!$A$100:$A$157</definedName>
    <definedName name="_2015plan" localSheetId="4">'2021'!$A$81:$A$138</definedName>
    <definedName name="_2015plan" localSheetId="3">'2022'!$A$81:$A$138</definedName>
    <definedName name="Z_59E4E612_301A_4B15_B14A_FF0442744080_.wvu.Cols" localSheetId="8" hidden="1">DataEx!$F:$FQ</definedName>
  </definedNames>
  <calcPr calcId="162913"/>
  <customWorkbookViews>
    <customWorkbookView name="Gordana Stanisic - Personal View" guid="{59E4E612-301A-4B15-B14A-FF0442744080}" mergeInterval="0" personalView="1" maximized="1" xWindow="-8" yWindow="-8" windowWidth="1616" windowHeight="876" tabRatio="587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53" i="4" l="1"/>
  <c r="R64" i="3" l="1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R10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N64" i="3"/>
  <c r="N63" i="3"/>
  <c r="N62" i="3"/>
  <c r="N61" i="3"/>
  <c r="N58" i="3"/>
  <c r="N57" i="3"/>
  <c r="N56" i="3"/>
  <c r="N52" i="3"/>
  <c r="N51" i="3"/>
  <c r="N50" i="3"/>
  <c r="N49" i="3"/>
  <c r="N48" i="3"/>
  <c r="N47" i="3"/>
  <c r="N46" i="3"/>
  <c r="N45" i="3"/>
  <c r="N44" i="3"/>
  <c r="N43" i="3"/>
  <c r="N42" i="3"/>
  <c r="N41" i="3"/>
  <c r="N39" i="3"/>
  <c r="N38" i="3"/>
  <c r="N37" i="3"/>
  <c r="N36" i="3"/>
  <c r="N35" i="3"/>
  <c r="N34" i="3"/>
  <c r="N33" i="3"/>
  <c r="N32" i="3"/>
  <c r="N31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N19" i="4"/>
  <c r="O19" i="4"/>
  <c r="E4" i="2" l="1"/>
  <c r="E2" i="2"/>
  <c r="S121" i="4" l="1"/>
  <c r="B138" i="4" l="1"/>
  <c r="A138" i="4"/>
  <c r="S137" i="4"/>
  <c r="T137" i="4" s="1"/>
  <c r="B137" i="4"/>
  <c r="A137" i="4"/>
  <c r="S136" i="4"/>
  <c r="T136" i="4" s="1"/>
  <c r="B136" i="4"/>
  <c r="A136" i="4"/>
  <c r="S135" i="4"/>
  <c r="T135" i="4" s="1"/>
  <c r="B135" i="4"/>
  <c r="A135" i="4"/>
  <c r="B134" i="4"/>
  <c r="A134" i="4"/>
  <c r="B133" i="4"/>
  <c r="A133" i="4"/>
  <c r="S132" i="4"/>
  <c r="T132" i="4" s="1"/>
  <c r="B132" i="4"/>
  <c r="A132" i="4"/>
  <c r="S131" i="4"/>
  <c r="T131" i="4" s="1"/>
  <c r="B131" i="4"/>
  <c r="A131" i="4"/>
  <c r="S130" i="4"/>
  <c r="T130" i="4" s="1"/>
  <c r="B130" i="4"/>
  <c r="A130" i="4"/>
  <c r="R129" i="4"/>
  <c r="Q129" i="4"/>
  <c r="P129" i="4"/>
  <c r="O129" i="4"/>
  <c r="N129" i="4"/>
  <c r="M129" i="4"/>
  <c r="L129" i="4"/>
  <c r="K129" i="4"/>
  <c r="J129" i="4"/>
  <c r="I129" i="4"/>
  <c r="H129" i="4"/>
  <c r="G129" i="4"/>
  <c r="B129" i="4"/>
  <c r="A129" i="4"/>
  <c r="B128" i="4"/>
  <c r="A128" i="4"/>
  <c r="B127" i="4"/>
  <c r="A127" i="4"/>
  <c r="S126" i="4"/>
  <c r="T126" i="4" s="1"/>
  <c r="B126" i="4"/>
  <c r="A126" i="4"/>
  <c r="S125" i="4"/>
  <c r="T125" i="4" s="1"/>
  <c r="B125" i="4"/>
  <c r="A125" i="4"/>
  <c r="S124" i="4"/>
  <c r="T124" i="4" s="1"/>
  <c r="B124" i="4"/>
  <c r="A124" i="4"/>
  <c r="S123" i="4"/>
  <c r="T123" i="4" s="1"/>
  <c r="B123" i="4"/>
  <c r="A123" i="4"/>
  <c r="S122" i="4"/>
  <c r="T122" i="4" s="1"/>
  <c r="B122" i="4"/>
  <c r="A122" i="4"/>
  <c r="T121" i="4"/>
  <c r="B121" i="4"/>
  <c r="A121" i="4"/>
  <c r="S120" i="4"/>
  <c r="T120" i="4" s="1"/>
  <c r="B120" i="4"/>
  <c r="A120" i="4"/>
  <c r="S119" i="4"/>
  <c r="T119" i="4" s="1"/>
  <c r="B119" i="4"/>
  <c r="A119" i="4"/>
  <c r="S118" i="4"/>
  <c r="T118" i="4" s="1"/>
  <c r="B118" i="4"/>
  <c r="A118" i="4"/>
  <c r="S117" i="4"/>
  <c r="T117" i="4" s="1"/>
  <c r="B117" i="4"/>
  <c r="A117" i="4"/>
  <c r="S116" i="4"/>
  <c r="T116" i="4" s="1"/>
  <c r="B116" i="4"/>
  <c r="A116" i="4"/>
  <c r="S115" i="4"/>
  <c r="T115" i="4" s="1"/>
  <c r="B115" i="4"/>
  <c r="A115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B114" i="4"/>
  <c r="A114" i="4"/>
  <c r="S113" i="4"/>
  <c r="T113" i="4" s="1"/>
  <c r="B113" i="4"/>
  <c r="A113" i="4"/>
  <c r="S112" i="4"/>
  <c r="T112" i="4" s="1"/>
  <c r="B112" i="4"/>
  <c r="A112" i="4"/>
  <c r="S111" i="4"/>
  <c r="T111" i="4" s="1"/>
  <c r="B111" i="4"/>
  <c r="A111" i="4"/>
  <c r="S110" i="4"/>
  <c r="T110" i="4" s="1"/>
  <c r="B110" i="4"/>
  <c r="A110" i="4"/>
  <c r="S109" i="4"/>
  <c r="T109" i="4" s="1"/>
  <c r="B109" i="4"/>
  <c r="A109" i="4"/>
  <c r="S108" i="4"/>
  <c r="T108" i="4" s="1"/>
  <c r="B108" i="4"/>
  <c r="A108" i="4"/>
  <c r="S107" i="4"/>
  <c r="T107" i="4" s="1"/>
  <c r="B107" i="4"/>
  <c r="A107" i="4"/>
  <c r="S106" i="4"/>
  <c r="T106" i="4" s="1"/>
  <c r="B106" i="4"/>
  <c r="A106" i="4"/>
  <c r="S105" i="4"/>
  <c r="T105" i="4" s="1"/>
  <c r="B105" i="4"/>
  <c r="A105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B104" i="4"/>
  <c r="A104" i="4"/>
  <c r="B103" i="4"/>
  <c r="A103" i="4"/>
  <c r="S102" i="4"/>
  <c r="T102" i="4" s="1"/>
  <c r="B102" i="4"/>
  <c r="A102" i="4"/>
  <c r="S101" i="4"/>
  <c r="T101" i="4" s="1"/>
  <c r="B101" i="4"/>
  <c r="A101" i="4"/>
  <c r="S100" i="4"/>
  <c r="T100" i="4" s="1"/>
  <c r="B100" i="4"/>
  <c r="A100" i="4"/>
  <c r="S99" i="4"/>
  <c r="T99" i="4" s="1"/>
  <c r="B99" i="4"/>
  <c r="A99" i="4"/>
  <c r="S98" i="4"/>
  <c r="T98" i="4" s="1"/>
  <c r="B98" i="4"/>
  <c r="A98" i="4"/>
  <c r="S97" i="4"/>
  <c r="T97" i="4" s="1"/>
  <c r="B97" i="4"/>
  <c r="A97" i="4"/>
  <c r="S96" i="4"/>
  <c r="T96" i="4" s="1"/>
  <c r="B96" i="4"/>
  <c r="A96" i="4"/>
  <c r="S95" i="4"/>
  <c r="T95" i="4" s="1"/>
  <c r="B95" i="4"/>
  <c r="A95" i="4"/>
  <c r="S94" i="4"/>
  <c r="T94" i="4" s="1"/>
  <c r="B94" i="4"/>
  <c r="A94" i="4"/>
  <c r="R93" i="4"/>
  <c r="R84" i="4" s="1"/>
  <c r="Q93" i="4"/>
  <c r="P93" i="4"/>
  <c r="O93" i="4"/>
  <c r="N93" i="4"/>
  <c r="N84" i="4" s="1"/>
  <c r="M93" i="4"/>
  <c r="L93" i="4"/>
  <c r="K93" i="4"/>
  <c r="J93" i="4"/>
  <c r="J84" i="4" s="1"/>
  <c r="I93" i="4"/>
  <c r="H93" i="4"/>
  <c r="G93" i="4"/>
  <c r="B93" i="4"/>
  <c r="A93" i="4"/>
  <c r="S92" i="4"/>
  <c r="T92" i="4" s="1"/>
  <c r="B92" i="4"/>
  <c r="A92" i="4"/>
  <c r="S91" i="4"/>
  <c r="T91" i="4" s="1"/>
  <c r="B91" i="4"/>
  <c r="A91" i="4"/>
  <c r="S90" i="4"/>
  <c r="T90" i="4" s="1"/>
  <c r="B90" i="4"/>
  <c r="A90" i="4"/>
  <c r="S89" i="4"/>
  <c r="T89" i="4" s="1"/>
  <c r="B89" i="4"/>
  <c r="A89" i="4"/>
  <c r="S88" i="4"/>
  <c r="T88" i="4" s="1"/>
  <c r="B88" i="4"/>
  <c r="A88" i="4"/>
  <c r="S87" i="4"/>
  <c r="T87" i="4" s="1"/>
  <c r="B87" i="4"/>
  <c r="A87" i="4"/>
  <c r="S86" i="4"/>
  <c r="T86" i="4" s="1"/>
  <c r="B86" i="4"/>
  <c r="A86" i="4"/>
  <c r="R85" i="4"/>
  <c r="Q85" i="4"/>
  <c r="P85" i="4"/>
  <c r="O85" i="4"/>
  <c r="N85" i="4"/>
  <c r="M85" i="4"/>
  <c r="L85" i="4"/>
  <c r="K85" i="4"/>
  <c r="J85" i="4"/>
  <c r="I85" i="4"/>
  <c r="H85" i="4"/>
  <c r="G85" i="4"/>
  <c r="B85" i="4"/>
  <c r="A85" i="4"/>
  <c r="P84" i="4"/>
  <c r="H84" i="4"/>
  <c r="B84" i="4"/>
  <c r="A84" i="4"/>
  <c r="T83" i="4"/>
  <c r="T82" i="4"/>
  <c r="S82" i="4"/>
  <c r="B81" i="4"/>
  <c r="R80" i="4"/>
  <c r="Q80" i="4"/>
  <c r="P80" i="4"/>
  <c r="O80" i="4"/>
  <c r="N80" i="4"/>
  <c r="M80" i="4"/>
  <c r="L80" i="4"/>
  <c r="K80" i="4"/>
  <c r="J80" i="4"/>
  <c r="I80" i="4"/>
  <c r="H80" i="4"/>
  <c r="G80" i="4"/>
  <c r="B64" i="4"/>
  <c r="S63" i="4"/>
  <c r="B63" i="4"/>
  <c r="S62" i="4"/>
  <c r="B62" i="4"/>
  <c r="S61" i="4"/>
  <c r="B61" i="4"/>
  <c r="B60" i="4"/>
  <c r="B59" i="4"/>
  <c r="S58" i="4"/>
  <c r="B58" i="4"/>
  <c r="S57" i="4"/>
  <c r="B57" i="4"/>
  <c r="S56" i="4"/>
  <c r="B56" i="4"/>
  <c r="R55" i="4"/>
  <c r="Q55" i="4"/>
  <c r="P55" i="4"/>
  <c r="O55" i="4"/>
  <c r="N55" i="3" s="1"/>
  <c r="N55" i="4"/>
  <c r="M55" i="4"/>
  <c r="L55" i="4"/>
  <c r="K55" i="4"/>
  <c r="J55" i="4"/>
  <c r="I55" i="4"/>
  <c r="H55" i="4"/>
  <c r="G55" i="4"/>
  <c r="B55" i="4"/>
  <c r="B54" i="4"/>
  <c r="B53" i="4"/>
  <c r="S52" i="4"/>
  <c r="B52" i="4"/>
  <c r="S51" i="4"/>
  <c r="B51" i="4"/>
  <c r="S50" i="4"/>
  <c r="B50" i="4"/>
  <c r="S49" i="4"/>
  <c r="B49" i="4"/>
  <c r="S48" i="4"/>
  <c r="B48" i="4"/>
  <c r="S47" i="4"/>
  <c r="B47" i="4"/>
  <c r="S46" i="4"/>
  <c r="B46" i="4"/>
  <c r="S45" i="4"/>
  <c r="B45" i="4"/>
  <c r="S44" i="4"/>
  <c r="B44" i="4"/>
  <c r="S43" i="4"/>
  <c r="B43" i="4"/>
  <c r="S42" i="4"/>
  <c r="B42" i="4"/>
  <c r="S41" i="4"/>
  <c r="B41" i="4"/>
  <c r="R40" i="4"/>
  <c r="Q40" i="4"/>
  <c r="Q29" i="4" s="1"/>
  <c r="P40" i="4"/>
  <c r="O40" i="4"/>
  <c r="N40" i="3" s="1"/>
  <c r="N40" i="4"/>
  <c r="M40" i="4"/>
  <c r="L40" i="4"/>
  <c r="K40" i="4"/>
  <c r="J40" i="4"/>
  <c r="I40" i="4"/>
  <c r="H40" i="4"/>
  <c r="G40" i="4"/>
  <c r="B40" i="4"/>
  <c r="S39" i="4"/>
  <c r="B39" i="4"/>
  <c r="S38" i="4"/>
  <c r="B38" i="4"/>
  <c r="S37" i="4"/>
  <c r="B37" i="4"/>
  <c r="S36" i="4"/>
  <c r="B36" i="4"/>
  <c r="S35" i="4"/>
  <c r="B35" i="4"/>
  <c r="S34" i="4"/>
  <c r="B34" i="4"/>
  <c r="S33" i="4"/>
  <c r="B33" i="4"/>
  <c r="S32" i="4"/>
  <c r="G32" i="3" s="1"/>
  <c r="B32" i="4"/>
  <c r="S31" i="4"/>
  <c r="B31" i="4"/>
  <c r="R30" i="4"/>
  <c r="Q30" i="4"/>
  <c r="P30" i="4"/>
  <c r="O30" i="4"/>
  <c r="N30" i="4"/>
  <c r="M30" i="4"/>
  <c r="L30" i="4"/>
  <c r="K30" i="4"/>
  <c r="J30" i="4"/>
  <c r="I30" i="4"/>
  <c r="H30" i="4"/>
  <c r="G30" i="4"/>
  <c r="B30" i="4"/>
  <c r="B29" i="4"/>
  <c r="S28" i="4"/>
  <c r="B28" i="4"/>
  <c r="S27" i="4"/>
  <c r="B27" i="4"/>
  <c r="S26" i="4"/>
  <c r="B26" i="4"/>
  <c r="S25" i="4"/>
  <c r="B25" i="4"/>
  <c r="S24" i="4"/>
  <c r="B24" i="4"/>
  <c r="S23" i="4"/>
  <c r="B23" i="4"/>
  <c r="S22" i="4"/>
  <c r="B22" i="4"/>
  <c r="S21" i="4"/>
  <c r="B21" i="4"/>
  <c r="S20" i="4"/>
  <c r="B20" i="4"/>
  <c r="R19" i="4"/>
  <c r="Q19" i="4"/>
  <c r="P19" i="4"/>
  <c r="B19" i="4"/>
  <c r="S18" i="4"/>
  <c r="B18" i="4"/>
  <c r="S17" i="4"/>
  <c r="B17" i="4"/>
  <c r="S16" i="4"/>
  <c r="B16" i="4"/>
  <c r="S15" i="4"/>
  <c r="B15" i="4"/>
  <c r="S14" i="4"/>
  <c r="B14" i="4"/>
  <c r="S13" i="4"/>
  <c r="B13" i="4"/>
  <c r="S12" i="4"/>
  <c r="B12" i="4"/>
  <c r="R11" i="4"/>
  <c r="R10" i="4" s="1"/>
  <c r="Q11" i="4"/>
  <c r="P11" i="4"/>
  <c r="O11" i="4"/>
  <c r="N11" i="3" s="1"/>
  <c r="N11" i="4"/>
  <c r="M11" i="4"/>
  <c r="L11" i="4"/>
  <c r="K11" i="4"/>
  <c r="J11" i="4"/>
  <c r="I11" i="4"/>
  <c r="H11" i="4"/>
  <c r="G11" i="4"/>
  <c r="B11" i="4"/>
  <c r="B10" i="4"/>
  <c r="T9" i="4"/>
  <c r="S8" i="4"/>
  <c r="R8" i="4"/>
  <c r="R82" i="4" s="1"/>
  <c r="Q8" i="4"/>
  <c r="Q82" i="4" s="1"/>
  <c r="P8" i="4"/>
  <c r="P82" i="4" s="1"/>
  <c r="O8" i="4"/>
  <c r="O82" i="4" s="1"/>
  <c r="N8" i="4"/>
  <c r="N82" i="4" s="1"/>
  <c r="M8" i="4"/>
  <c r="M82" i="4" s="1"/>
  <c r="L8" i="4"/>
  <c r="L82" i="4" s="1"/>
  <c r="K8" i="4"/>
  <c r="K82" i="4" s="1"/>
  <c r="J8" i="4"/>
  <c r="J82" i="4" s="1"/>
  <c r="I8" i="4"/>
  <c r="I82" i="4" s="1"/>
  <c r="H8" i="4"/>
  <c r="H82" i="4" s="1"/>
  <c r="G8" i="4"/>
  <c r="G82" i="4" s="1"/>
  <c r="S7" i="4"/>
  <c r="S81" i="4" s="1"/>
  <c r="B7" i="4"/>
  <c r="R5" i="4"/>
  <c r="Q5" i="4"/>
  <c r="P5" i="4"/>
  <c r="O5" i="4"/>
  <c r="N5" i="4"/>
  <c r="M5" i="4"/>
  <c r="L5" i="4"/>
  <c r="K5" i="4"/>
  <c r="J5" i="4"/>
  <c r="I5" i="4"/>
  <c r="H5" i="4"/>
  <c r="G5" i="4"/>
  <c r="E4" i="4"/>
  <c r="E2" i="4"/>
  <c r="O29" i="4" l="1"/>
  <c r="N30" i="3"/>
  <c r="N10" i="4"/>
  <c r="M29" i="4"/>
  <c r="L84" i="4"/>
  <c r="K29" i="4"/>
  <c r="G10" i="4"/>
  <c r="T61" i="4"/>
  <c r="G61" i="3"/>
  <c r="T58" i="4"/>
  <c r="G58" i="3"/>
  <c r="T50" i="4"/>
  <c r="G50" i="3"/>
  <c r="T52" i="4"/>
  <c r="G52" i="3"/>
  <c r="J10" i="4"/>
  <c r="I29" i="4"/>
  <c r="T62" i="4"/>
  <c r="G62" i="3"/>
  <c r="T63" i="4"/>
  <c r="G63" i="3"/>
  <c r="T57" i="4"/>
  <c r="G57" i="3"/>
  <c r="T56" i="4"/>
  <c r="G56" i="3"/>
  <c r="T51" i="4"/>
  <c r="G51" i="3"/>
  <c r="T49" i="4"/>
  <c r="G49" i="3"/>
  <c r="T48" i="4"/>
  <c r="G48" i="3"/>
  <c r="T47" i="4"/>
  <c r="G47" i="3"/>
  <c r="T46" i="4"/>
  <c r="G46" i="3"/>
  <c r="T45" i="4"/>
  <c r="G45" i="3"/>
  <c r="T44" i="4"/>
  <c r="G44" i="3"/>
  <c r="T43" i="4"/>
  <c r="G43" i="3"/>
  <c r="T42" i="4"/>
  <c r="G42" i="3"/>
  <c r="T41" i="4"/>
  <c r="G41" i="3"/>
  <c r="T31" i="4"/>
  <c r="G31" i="3"/>
  <c r="T39" i="4"/>
  <c r="G39" i="3"/>
  <c r="T38" i="4"/>
  <c r="G38" i="3"/>
  <c r="T37" i="4"/>
  <c r="G37" i="3"/>
  <c r="T36" i="4"/>
  <c r="G36" i="3"/>
  <c r="T35" i="4"/>
  <c r="G35" i="3"/>
  <c r="T34" i="4"/>
  <c r="G34" i="3"/>
  <c r="T33" i="4"/>
  <c r="G33" i="3"/>
  <c r="T32" i="4"/>
  <c r="T27" i="4"/>
  <c r="G27" i="3"/>
  <c r="T28" i="4"/>
  <c r="G28" i="3"/>
  <c r="T26" i="4"/>
  <c r="G26" i="3"/>
  <c r="T25" i="4"/>
  <c r="G25" i="3"/>
  <c r="T24" i="4"/>
  <c r="G24" i="3"/>
  <c r="T20" i="4"/>
  <c r="G20" i="3"/>
  <c r="T21" i="4"/>
  <c r="G21" i="3"/>
  <c r="T22" i="4"/>
  <c r="G22" i="3"/>
  <c r="T23" i="4"/>
  <c r="G23" i="3"/>
  <c r="T14" i="4"/>
  <c r="G14" i="3"/>
  <c r="T15" i="4"/>
  <c r="G15" i="3"/>
  <c r="T17" i="4"/>
  <c r="G17" i="3"/>
  <c r="T12" i="4"/>
  <c r="G12" i="3"/>
  <c r="T13" i="4"/>
  <c r="G13" i="3"/>
  <c r="T16" i="4"/>
  <c r="G16" i="3"/>
  <c r="T18" i="4"/>
  <c r="G18" i="3"/>
  <c r="I103" i="4"/>
  <c r="M103" i="4"/>
  <c r="Q103" i="4"/>
  <c r="H103" i="4"/>
  <c r="J103" i="4"/>
  <c r="L103" i="4"/>
  <c r="N103" i="4"/>
  <c r="P103" i="4"/>
  <c r="R103" i="4"/>
  <c r="S85" i="4"/>
  <c r="T85" i="4" s="1"/>
  <c r="S114" i="4"/>
  <c r="T114" i="4" s="1"/>
  <c r="K103" i="4"/>
  <c r="O103" i="4"/>
  <c r="S30" i="4"/>
  <c r="I10" i="4"/>
  <c r="I53" i="4" s="1"/>
  <c r="K10" i="4"/>
  <c r="M10" i="4"/>
  <c r="O10" i="4"/>
  <c r="D12" i="2" s="1"/>
  <c r="Q10" i="4"/>
  <c r="L10" i="4"/>
  <c r="P10" i="4"/>
  <c r="H10" i="4"/>
  <c r="G84" i="4"/>
  <c r="I84" i="4"/>
  <c r="I127" i="4" s="1"/>
  <c r="I133" i="4" s="1"/>
  <c r="I138" i="4" s="1"/>
  <c r="I134" i="4" s="1"/>
  <c r="K84" i="4"/>
  <c r="M84" i="4"/>
  <c r="O84" i="4"/>
  <c r="Q84" i="4"/>
  <c r="Q127" i="4" s="1"/>
  <c r="Q133" i="4" s="1"/>
  <c r="Q138" i="4" s="1"/>
  <c r="Q134" i="4" s="1"/>
  <c r="G103" i="4"/>
  <c r="H29" i="4"/>
  <c r="J29" i="4"/>
  <c r="L29" i="4"/>
  <c r="N29" i="4"/>
  <c r="P29" i="4"/>
  <c r="P53" i="4" s="1"/>
  <c r="R29" i="4"/>
  <c r="R53" i="4" s="1"/>
  <c r="S40" i="4"/>
  <c r="Q53" i="4"/>
  <c r="Q54" i="4" s="1"/>
  <c r="G29" i="4"/>
  <c r="S19" i="4"/>
  <c r="S11" i="4"/>
  <c r="S55" i="4"/>
  <c r="S93" i="4"/>
  <c r="T93" i="4" s="1"/>
  <c r="S104" i="4"/>
  <c r="T104" i="4" s="1"/>
  <c r="S129" i="4"/>
  <c r="T129" i="4" s="1"/>
  <c r="N29" i="3" l="1"/>
  <c r="D16" i="2"/>
  <c r="M53" i="4"/>
  <c r="M54" i="4" s="1"/>
  <c r="O53" i="4"/>
  <c r="O59" i="4" s="1"/>
  <c r="N10" i="3"/>
  <c r="N53" i="4"/>
  <c r="N54" i="4" s="1"/>
  <c r="E16" i="2"/>
  <c r="E12" i="2"/>
  <c r="K53" i="4"/>
  <c r="J53" i="4"/>
  <c r="J54" i="4" s="1"/>
  <c r="I54" i="4"/>
  <c r="T55" i="4"/>
  <c r="G55" i="3"/>
  <c r="T40" i="4"/>
  <c r="G40" i="3"/>
  <c r="T30" i="4"/>
  <c r="G30" i="3"/>
  <c r="T19" i="4"/>
  <c r="G19" i="3"/>
  <c r="T11" i="4"/>
  <c r="G11" i="3"/>
  <c r="M127" i="4"/>
  <c r="M128" i="4" s="1"/>
  <c r="O127" i="4"/>
  <c r="O128" i="4" s="1"/>
  <c r="N127" i="4"/>
  <c r="N128" i="4" s="1"/>
  <c r="K127" i="4"/>
  <c r="K133" i="4" s="1"/>
  <c r="K138" i="4" s="1"/>
  <c r="K134" i="4" s="1"/>
  <c r="L127" i="4"/>
  <c r="R127" i="4"/>
  <c r="R128" i="4" s="1"/>
  <c r="J127" i="4"/>
  <c r="J128" i="4" s="1"/>
  <c r="P127" i="4"/>
  <c r="P133" i="4" s="1"/>
  <c r="P138" i="4" s="1"/>
  <c r="P134" i="4" s="1"/>
  <c r="H127" i="4"/>
  <c r="H133" i="4" s="1"/>
  <c r="H138" i="4" s="1"/>
  <c r="H134" i="4" s="1"/>
  <c r="G53" i="4"/>
  <c r="G59" i="4" s="1"/>
  <c r="G127" i="4"/>
  <c r="Q59" i="4"/>
  <c r="Q60" i="4" s="1"/>
  <c r="I59" i="4"/>
  <c r="L53" i="4"/>
  <c r="S10" i="4"/>
  <c r="G12" i="2" s="1"/>
  <c r="H12" i="2" s="1"/>
  <c r="H53" i="4"/>
  <c r="M133" i="4"/>
  <c r="M138" i="4" s="1"/>
  <c r="M134" i="4" s="1"/>
  <c r="I128" i="4"/>
  <c r="S84" i="4"/>
  <c r="T84" i="4" s="1"/>
  <c r="Q128" i="4"/>
  <c r="S103" i="4"/>
  <c r="T103" i="4" s="1"/>
  <c r="S29" i="4"/>
  <c r="G16" i="2" s="1"/>
  <c r="H16" i="2" s="1"/>
  <c r="P59" i="4"/>
  <c r="P60" i="4" s="1"/>
  <c r="P54" i="4"/>
  <c r="R54" i="4"/>
  <c r="R59" i="4"/>
  <c r="R60" i="4" s="1"/>
  <c r="M59" i="4" l="1"/>
  <c r="N53" i="3"/>
  <c r="D20" i="2"/>
  <c r="E20" i="2" s="1"/>
  <c r="O54" i="4"/>
  <c r="N54" i="3" s="1"/>
  <c r="N59" i="4"/>
  <c r="O60" i="4"/>
  <c r="N60" i="3" s="1"/>
  <c r="N59" i="3"/>
  <c r="N60" i="4"/>
  <c r="L54" i="4"/>
  <c r="L133" i="4"/>
  <c r="K54" i="4"/>
  <c r="K59" i="4"/>
  <c r="J59" i="4"/>
  <c r="T29" i="4"/>
  <c r="G29" i="3"/>
  <c r="H54" i="4"/>
  <c r="T10" i="4"/>
  <c r="G10" i="3"/>
  <c r="O133" i="4"/>
  <c r="O138" i="4" s="1"/>
  <c r="O134" i="4" s="1"/>
  <c r="G54" i="4"/>
  <c r="G128" i="4"/>
  <c r="L128" i="4"/>
  <c r="K128" i="4"/>
  <c r="N133" i="4"/>
  <c r="N138" i="4" s="1"/>
  <c r="N134" i="4" s="1"/>
  <c r="R133" i="4"/>
  <c r="R138" i="4" s="1"/>
  <c r="R134" i="4" s="1"/>
  <c r="J133" i="4"/>
  <c r="J138" i="4" s="1"/>
  <c r="J134" i="4" s="1"/>
  <c r="H128" i="4"/>
  <c r="P128" i="4"/>
  <c r="S127" i="4"/>
  <c r="T127" i="4" s="1"/>
  <c r="G133" i="4"/>
  <c r="L59" i="4"/>
  <c r="H59" i="4"/>
  <c r="S53" i="4"/>
  <c r="G20" i="2" s="1"/>
  <c r="H20" i="2" s="1"/>
  <c r="G5" i="5"/>
  <c r="H5" i="5"/>
  <c r="I5" i="5"/>
  <c r="J5" i="5"/>
  <c r="K5" i="5"/>
  <c r="L5" i="5"/>
  <c r="M5" i="5"/>
  <c r="N5" i="5"/>
  <c r="O5" i="5"/>
  <c r="M60" i="4" l="1"/>
  <c r="L138" i="4"/>
  <c r="J60" i="4"/>
  <c r="I60" i="4"/>
  <c r="T53" i="4"/>
  <c r="G53" i="3"/>
  <c r="S54" i="4"/>
  <c r="S133" i="4"/>
  <c r="T133" i="4" s="1"/>
  <c r="S128" i="4"/>
  <c r="T128" i="4" s="1"/>
  <c r="G138" i="4"/>
  <c r="S59" i="4"/>
  <c r="G60" i="4"/>
  <c r="P19" i="5"/>
  <c r="L60" i="4" l="1"/>
  <c r="L134" i="4"/>
  <c r="S64" i="4"/>
  <c r="T64" i="4" s="1"/>
  <c r="K60" i="4"/>
  <c r="T54" i="4"/>
  <c r="G54" i="3"/>
  <c r="T59" i="4"/>
  <c r="G59" i="3"/>
  <c r="H60" i="4"/>
  <c r="S138" i="4"/>
  <c r="T138" i="4" s="1"/>
  <c r="G134" i="4"/>
  <c r="S121" i="5"/>
  <c r="G64" i="3" l="1"/>
  <c r="S60" i="4"/>
  <c r="T60" i="4" s="1"/>
  <c r="S134" i="4"/>
  <c r="T134" i="4" s="1"/>
  <c r="M129" i="5"/>
  <c r="G60" i="3" l="1"/>
  <c r="G5" i="6"/>
  <c r="H5" i="6"/>
  <c r="I5" i="6"/>
  <c r="J5" i="6"/>
  <c r="K5" i="6"/>
  <c r="L5" i="6"/>
  <c r="M5" i="6"/>
  <c r="N5" i="6"/>
  <c r="O5" i="6"/>
  <c r="P5" i="6"/>
  <c r="Q5" i="6"/>
  <c r="R5" i="6"/>
  <c r="G129" i="5" l="1"/>
  <c r="Q31" i="3"/>
  <c r="P31" i="3"/>
  <c r="G11" i="10" l="1"/>
  <c r="Q28" i="3" l="1"/>
  <c r="Q26" i="3"/>
  <c r="Q24" i="3"/>
  <c r="Q22" i="3"/>
  <c r="Q20" i="3"/>
  <c r="Q63" i="3"/>
  <c r="Q61" i="3"/>
  <c r="Q57" i="3"/>
  <c r="Q51" i="3"/>
  <c r="Q49" i="3"/>
  <c r="Q47" i="3"/>
  <c r="Q45" i="3"/>
  <c r="Q43" i="3"/>
  <c r="Q41" i="3"/>
  <c r="Q39" i="3"/>
  <c r="Q37" i="3"/>
  <c r="Q35" i="3"/>
  <c r="Q33" i="3"/>
  <c r="Q17" i="3"/>
  <c r="Q15" i="3"/>
  <c r="Q13" i="3"/>
  <c r="Q62" i="3"/>
  <c r="Q58" i="3"/>
  <c r="Q56" i="3"/>
  <c r="Q52" i="3"/>
  <c r="Q50" i="3"/>
  <c r="Q48" i="3"/>
  <c r="Q46" i="3"/>
  <c r="Q44" i="3"/>
  <c r="Q42" i="3"/>
  <c r="Q38" i="3"/>
  <c r="Q36" i="3"/>
  <c r="Q34" i="3"/>
  <c r="Q32" i="3"/>
  <c r="Q27" i="3"/>
  <c r="Q25" i="3"/>
  <c r="Q23" i="3"/>
  <c r="Q21" i="3"/>
  <c r="Q18" i="3"/>
  <c r="Q16" i="3"/>
  <c r="Q14" i="3"/>
  <c r="Q12" i="3"/>
  <c r="H19" i="5"/>
  <c r="I19" i="5"/>
  <c r="J19" i="5"/>
  <c r="K19" i="5"/>
  <c r="L19" i="5"/>
  <c r="M19" i="5"/>
  <c r="N19" i="5"/>
  <c r="O19" i="5"/>
  <c r="Q19" i="5"/>
  <c r="R19" i="5"/>
  <c r="G19" i="5"/>
  <c r="S27" i="5"/>
  <c r="T27" i="5" s="1"/>
  <c r="S28" i="5"/>
  <c r="T28" i="5" s="1"/>
  <c r="A138" i="5"/>
  <c r="S137" i="5"/>
  <c r="A137" i="5"/>
  <c r="S136" i="5"/>
  <c r="A136" i="5"/>
  <c r="S135" i="5"/>
  <c r="A135" i="5"/>
  <c r="A134" i="5"/>
  <c r="A133" i="5"/>
  <c r="S132" i="5"/>
  <c r="A132" i="5"/>
  <c r="S131" i="5"/>
  <c r="A131" i="5"/>
  <c r="S130" i="5"/>
  <c r="A130" i="5"/>
  <c r="R129" i="5"/>
  <c r="Q129" i="5"/>
  <c r="P129" i="5"/>
  <c r="O129" i="5"/>
  <c r="N129" i="5"/>
  <c r="L129" i="5"/>
  <c r="K129" i="5"/>
  <c r="J129" i="5"/>
  <c r="I129" i="5"/>
  <c r="H129" i="5"/>
  <c r="A129" i="5"/>
  <c r="A128" i="5"/>
  <c r="A127" i="5"/>
  <c r="S126" i="5"/>
  <c r="A126" i="5"/>
  <c r="S125" i="5"/>
  <c r="A125" i="5"/>
  <c r="S124" i="5"/>
  <c r="A124" i="5"/>
  <c r="S123" i="5"/>
  <c r="A123" i="5"/>
  <c r="S122" i="5"/>
  <c r="A122" i="5"/>
  <c r="A121" i="5"/>
  <c r="S120" i="5"/>
  <c r="A120" i="5"/>
  <c r="S119" i="5"/>
  <c r="A119" i="5"/>
  <c r="S118" i="5"/>
  <c r="A118" i="5"/>
  <c r="S117" i="5"/>
  <c r="A117" i="5"/>
  <c r="S116" i="5"/>
  <c r="A116" i="5"/>
  <c r="S115" i="5"/>
  <c r="A115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A114" i="5"/>
  <c r="S113" i="5"/>
  <c r="A113" i="5"/>
  <c r="S112" i="5"/>
  <c r="A112" i="5"/>
  <c r="S111" i="5"/>
  <c r="A111" i="5"/>
  <c r="S110" i="5"/>
  <c r="A110" i="5"/>
  <c r="S109" i="5"/>
  <c r="A109" i="5"/>
  <c r="S108" i="5"/>
  <c r="A108" i="5"/>
  <c r="S107" i="5"/>
  <c r="A107" i="5"/>
  <c r="S106" i="5"/>
  <c r="A106" i="5"/>
  <c r="S105" i="5"/>
  <c r="A105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A104" i="5"/>
  <c r="A103" i="5"/>
  <c r="S102" i="5"/>
  <c r="A102" i="5"/>
  <c r="S101" i="5"/>
  <c r="A101" i="5"/>
  <c r="S100" i="5"/>
  <c r="A100" i="5"/>
  <c r="S99" i="5"/>
  <c r="A99" i="5"/>
  <c r="S98" i="5"/>
  <c r="A98" i="5"/>
  <c r="S97" i="5"/>
  <c r="A97" i="5"/>
  <c r="S96" i="5"/>
  <c r="A96" i="5"/>
  <c r="S95" i="5"/>
  <c r="A95" i="5"/>
  <c r="S94" i="5"/>
  <c r="A94" i="5"/>
  <c r="R93" i="5"/>
  <c r="Q93" i="5"/>
  <c r="P93" i="5"/>
  <c r="O93" i="5"/>
  <c r="N93" i="5"/>
  <c r="M93" i="5"/>
  <c r="L93" i="5"/>
  <c r="K93" i="5"/>
  <c r="J93" i="5"/>
  <c r="I93" i="5"/>
  <c r="H93" i="5"/>
  <c r="G93" i="5"/>
  <c r="A93" i="5"/>
  <c r="S92" i="5"/>
  <c r="A92" i="5"/>
  <c r="S91" i="5"/>
  <c r="A91" i="5"/>
  <c r="S90" i="5"/>
  <c r="A90" i="5"/>
  <c r="S89" i="5"/>
  <c r="A89" i="5"/>
  <c r="S88" i="5"/>
  <c r="A88" i="5"/>
  <c r="S87" i="5"/>
  <c r="A87" i="5"/>
  <c r="S86" i="5"/>
  <c r="A86" i="5"/>
  <c r="R85" i="5"/>
  <c r="Q85" i="5"/>
  <c r="P85" i="5"/>
  <c r="O85" i="5"/>
  <c r="N85" i="5"/>
  <c r="M85" i="5"/>
  <c r="L85" i="5"/>
  <c r="K85" i="5"/>
  <c r="J85" i="5"/>
  <c r="I85" i="5"/>
  <c r="H85" i="5"/>
  <c r="G85" i="5"/>
  <c r="A85" i="5"/>
  <c r="A84" i="5"/>
  <c r="T82" i="5"/>
  <c r="R80" i="5"/>
  <c r="Q80" i="5"/>
  <c r="P80" i="5"/>
  <c r="O80" i="5"/>
  <c r="N80" i="5"/>
  <c r="M80" i="5"/>
  <c r="L80" i="5"/>
  <c r="K80" i="5"/>
  <c r="J80" i="5"/>
  <c r="I80" i="5"/>
  <c r="H80" i="5"/>
  <c r="G80" i="5"/>
  <c r="S63" i="5"/>
  <c r="T63" i="5" s="1"/>
  <c r="S62" i="5"/>
  <c r="T62" i="5" s="1"/>
  <c r="S61" i="5"/>
  <c r="T61" i="5" s="1"/>
  <c r="S58" i="5"/>
  <c r="T58" i="5" s="1"/>
  <c r="S57" i="5"/>
  <c r="T57" i="5" s="1"/>
  <c r="H55" i="5"/>
  <c r="S56" i="5"/>
  <c r="T56" i="5" s="1"/>
  <c r="R55" i="5"/>
  <c r="Q55" i="5"/>
  <c r="P55" i="5"/>
  <c r="O55" i="5"/>
  <c r="N55" i="5"/>
  <c r="M55" i="5"/>
  <c r="L55" i="5"/>
  <c r="K55" i="5"/>
  <c r="J55" i="5"/>
  <c r="I55" i="5"/>
  <c r="G55" i="5"/>
  <c r="S52" i="5"/>
  <c r="T52" i="5" s="1"/>
  <c r="S51" i="5"/>
  <c r="T51" i="5" s="1"/>
  <c r="S50" i="5"/>
  <c r="T50" i="5" s="1"/>
  <c r="S49" i="5"/>
  <c r="T49" i="5" s="1"/>
  <c r="S48" i="5"/>
  <c r="T48" i="5" s="1"/>
  <c r="S47" i="5"/>
  <c r="T47" i="5" s="1"/>
  <c r="S46" i="5"/>
  <c r="T46" i="5" s="1"/>
  <c r="S45" i="5"/>
  <c r="T45" i="5" s="1"/>
  <c r="S44" i="5"/>
  <c r="T44" i="5" s="1"/>
  <c r="S43" i="5"/>
  <c r="T43" i="5" s="1"/>
  <c r="S42" i="5"/>
  <c r="T42" i="5" s="1"/>
  <c r="R40" i="5"/>
  <c r="P40" i="5"/>
  <c r="N40" i="5"/>
  <c r="L40" i="5"/>
  <c r="J40" i="5"/>
  <c r="H40" i="5"/>
  <c r="S41" i="5"/>
  <c r="T41" i="5" s="1"/>
  <c r="Q40" i="5"/>
  <c r="O40" i="5"/>
  <c r="M40" i="5"/>
  <c r="K40" i="5"/>
  <c r="I40" i="5"/>
  <c r="G40" i="5"/>
  <c r="S39" i="5"/>
  <c r="T39" i="5" s="1"/>
  <c r="S38" i="5"/>
  <c r="T38" i="5" s="1"/>
  <c r="S37" i="5"/>
  <c r="T37" i="5" s="1"/>
  <c r="S36" i="5"/>
  <c r="T36" i="5" s="1"/>
  <c r="S35" i="5"/>
  <c r="T35" i="5" s="1"/>
  <c r="S34" i="5"/>
  <c r="S33" i="5"/>
  <c r="T33" i="5" s="1"/>
  <c r="S32" i="5"/>
  <c r="T32" i="5" s="1"/>
  <c r="R30" i="5"/>
  <c r="P30" i="5"/>
  <c r="N30" i="5"/>
  <c r="L30" i="5"/>
  <c r="J30" i="5"/>
  <c r="H30" i="5"/>
  <c r="S31" i="5"/>
  <c r="T31" i="5" s="1"/>
  <c r="Q30" i="5"/>
  <c r="O30" i="5"/>
  <c r="M30" i="5"/>
  <c r="K30" i="5"/>
  <c r="I30" i="5"/>
  <c r="G30" i="5"/>
  <c r="S26" i="5"/>
  <c r="S25" i="5"/>
  <c r="T25" i="5" s="1"/>
  <c r="S24" i="5"/>
  <c r="T24" i="5" s="1"/>
  <c r="S23" i="5"/>
  <c r="T23" i="5" s="1"/>
  <c r="S22" i="5"/>
  <c r="T22" i="5" s="1"/>
  <c r="S21" i="5"/>
  <c r="T21" i="5" s="1"/>
  <c r="S20" i="5"/>
  <c r="T20" i="5" s="1"/>
  <c r="S18" i="5"/>
  <c r="T18" i="5" s="1"/>
  <c r="S17" i="5"/>
  <c r="T17" i="5" s="1"/>
  <c r="S16" i="5"/>
  <c r="T16" i="5" s="1"/>
  <c r="S15" i="5"/>
  <c r="T15" i="5" s="1"/>
  <c r="S14" i="5"/>
  <c r="T14" i="5" s="1"/>
  <c r="S13" i="5"/>
  <c r="T13" i="5" s="1"/>
  <c r="R11" i="5"/>
  <c r="P11" i="5"/>
  <c r="N11" i="5"/>
  <c r="L11" i="5"/>
  <c r="J11" i="5"/>
  <c r="H11" i="5"/>
  <c r="S12" i="5"/>
  <c r="T12" i="5" s="1"/>
  <c r="Q11" i="5"/>
  <c r="O11" i="5"/>
  <c r="M11" i="5"/>
  <c r="K11" i="5"/>
  <c r="K10" i="5" s="1"/>
  <c r="I11" i="5"/>
  <c r="G11" i="5"/>
  <c r="R5" i="5"/>
  <c r="Q5" i="5"/>
  <c r="P5" i="5"/>
  <c r="T34" i="5" l="1"/>
  <c r="P10" i="5"/>
  <c r="T26" i="5"/>
  <c r="P103" i="5"/>
  <c r="M103" i="5"/>
  <c r="T135" i="5"/>
  <c r="O10" i="5"/>
  <c r="O103" i="5"/>
  <c r="I10" i="5"/>
  <c r="Q10" i="5"/>
  <c r="L10" i="5"/>
  <c r="P11" i="3"/>
  <c r="Q103" i="5"/>
  <c r="L103" i="5"/>
  <c r="T132" i="5"/>
  <c r="K103" i="5"/>
  <c r="T137" i="5"/>
  <c r="T136" i="5"/>
  <c r="T131" i="5"/>
  <c r="T130" i="5"/>
  <c r="T113" i="5"/>
  <c r="T112" i="5"/>
  <c r="T111" i="5"/>
  <c r="T109" i="5"/>
  <c r="T107" i="5"/>
  <c r="T105" i="5"/>
  <c r="I103" i="5"/>
  <c r="T101" i="5"/>
  <c r="T99" i="5"/>
  <c r="T95" i="5"/>
  <c r="T97" i="5"/>
  <c r="T86" i="5"/>
  <c r="T88" i="5"/>
  <c r="T90" i="5"/>
  <c r="T92" i="5"/>
  <c r="H103" i="5"/>
  <c r="H10" i="5"/>
  <c r="G29" i="5"/>
  <c r="N84" i="5"/>
  <c r="S11" i="5"/>
  <c r="T11" i="5" s="1"/>
  <c r="G10" i="5"/>
  <c r="J103" i="5"/>
  <c r="N103" i="5"/>
  <c r="R103" i="5"/>
  <c r="M10" i="5"/>
  <c r="J84" i="5"/>
  <c r="R84" i="5"/>
  <c r="G103" i="5"/>
  <c r="K29" i="5"/>
  <c r="O29" i="5"/>
  <c r="L29" i="5"/>
  <c r="P29" i="5"/>
  <c r="H29" i="5"/>
  <c r="J10" i="5"/>
  <c r="N10" i="5"/>
  <c r="R10" i="5"/>
  <c r="S129" i="5"/>
  <c r="L84" i="5"/>
  <c r="P84" i="5"/>
  <c r="I84" i="5"/>
  <c r="K84" i="5"/>
  <c r="M84" i="5"/>
  <c r="O84" i="5"/>
  <c r="Q84" i="5"/>
  <c r="H84" i="5"/>
  <c r="S55" i="5"/>
  <c r="T55" i="5" s="1"/>
  <c r="I47" i="3"/>
  <c r="Q40" i="3"/>
  <c r="S93" i="5"/>
  <c r="Q19" i="3"/>
  <c r="S85" i="5"/>
  <c r="Q11" i="3"/>
  <c r="T87" i="5"/>
  <c r="T89" i="5"/>
  <c r="T91" i="5"/>
  <c r="T94" i="5"/>
  <c r="T96" i="5"/>
  <c r="T98" i="5"/>
  <c r="T100" i="5"/>
  <c r="T102" i="5"/>
  <c r="T106" i="5"/>
  <c r="T108" i="5"/>
  <c r="T110" i="5"/>
  <c r="T115" i="5"/>
  <c r="T116" i="5"/>
  <c r="T117" i="5"/>
  <c r="T118" i="5"/>
  <c r="T119" i="5"/>
  <c r="T120" i="5"/>
  <c r="T121" i="5"/>
  <c r="T122" i="5"/>
  <c r="T123" i="5"/>
  <c r="T124" i="5"/>
  <c r="T125" i="5"/>
  <c r="T126" i="5"/>
  <c r="S114" i="5"/>
  <c r="S104" i="5"/>
  <c r="G84" i="5"/>
  <c r="I29" i="5"/>
  <c r="M29" i="5"/>
  <c r="Q29" i="5"/>
  <c r="J29" i="5"/>
  <c r="N29" i="5"/>
  <c r="R29" i="5"/>
  <c r="S40" i="5"/>
  <c r="T40" i="5" s="1"/>
  <c r="S19" i="5"/>
  <c r="T19" i="5" s="1"/>
  <c r="S30" i="5"/>
  <c r="T30" i="5" s="1"/>
  <c r="Q53" i="5" l="1"/>
  <c r="P53" i="5"/>
  <c r="P59" i="5" s="1"/>
  <c r="Q29" i="3"/>
  <c r="P127" i="5"/>
  <c r="O127" i="5"/>
  <c r="O128" i="5" s="1"/>
  <c r="Q127" i="5"/>
  <c r="Q133" i="5" s="1"/>
  <c r="Q138" i="5" s="1"/>
  <c r="Q134" i="5" s="1"/>
  <c r="M127" i="5"/>
  <c r="M128" i="5" s="1"/>
  <c r="L127" i="5"/>
  <c r="L128" i="5" s="1"/>
  <c r="O53" i="5"/>
  <c r="L53" i="5"/>
  <c r="L59" i="5" s="1"/>
  <c r="K127" i="5"/>
  <c r="K53" i="5"/>
  <c r="K54" i="5" s="1"/>
  <c r="J127" i="5"/>
  <c r="J128" i="5" s="1"/>
  <c r="I53" i="5"/>
  <c r="T129" i="5"/>
  <c r="T114" i="5"/>
  <c r="T104" i="5"/>
  <c r="T93" i="5"/>
  <c r="I127" i="5"/>
  <c r="I128" i="5" s="1"/>
  <c r="P10" i="3"/>
  <c r="T85" i="5"/>
  <c r="H127" i="5"/>
  <c r="H133" i="5" s="1"/>
  <c r="Q10" i="3"/>
  <c r="H53" i="5"/>
  <c r="S10" i="5"/>
  <c r="T10" i="5" s="1"/>
  <c r="M53" i="5"/>
  <c r="M54" i="5" s="1"/>
  <c r="R127" i="5"/>
  <c r="R133" i="5" s="1"/>
  <c r="R138" i="5" s="1"/>
  <c r="R134" i="5" s="1"/>
  <c r="N127" i="5"/>
  <c r="N53" i="5"/>
  <c r="N54" i="5" s="1"/>
  <c r="S103" i="5"/>
  <c r="R53" i="5"/>
  <c r="I59" i="5"/>
  <c r="Q59" i="5"/>
  <c r="P128" i="5"/>
  <c r="O133" i="5"/>
  <c r="O138" i="5" s="1"/>
  <c r="O134" i="5" s="1"/>
  <c r="S84" i="5"/>
  <c r="J43" i="3"/>
  <c r="I43" i="3"/>
  <c r="J31" i="3"/>
  <c r="I31" i="3"/>
  <c r="J58" i="3"/>
  <c r="I58" i="3"/>
  <c r="J57" i="3"/>
  <c r="I57" i="3"/>
  <c r="J56" i="3"/>
  <c r="I56" i="3"/>
  <c r="Q55" i="3"/>
  <c r="J52" i="3"/>
  <c r="I52" i="3"/>
  <c r="J51" i="3"/>
  <c r="I51" i="3"/>
  <c r="J50" i="3"/>
  <c r="I50" i="3"/>
  <c r="J49" i="3"/>
  <c r="I49" i="3"/>
  <c r="J48" i="3"/>
  <c r="I48" i="3"/>
  <c r="J47" i="3"/>
  <c r="J46" i="3"/>
  <c r="I46" i="3"/>
  <c r="J45" i="3"/>
  <c r="I45" i="3"/>
  <c r="J44" i="3"/>
  <c r="I44" i="3"/>
  <c r="J42" i="3"/>
  <c r="I42" i="3"/>
  <c r="J41" i="3"/>
  <c r="I41" i="3"/>
  <c r="J39" i="3"/>
  <c r="I39" i="3"/>
  <c r="J38" i="3"/>
  <c r="I38" i="3"/>
  <c r="J37" i="3"/>
  <c r="I37" i="3"/>
  <c r="J36" i="3"/>
  <c r="I36" i="3"/>
  <c r="J35" i="3"/>
  <c r="I35" i="3"/>
  <c r="J34" i="3"/>
  <c r="I34" i="3"/>
  <c r="J33" i="3"/>
  <c r="I33" i="3"/>
  <c r="S29" i="5"/>
  <c r="Q30" i="3"/>
  <c r="J32" i="3"/>
  <c r="I32" i="3"/>
  <c r="J61" i="3"/>
  <c r="I61" i="3"/>
  <c r="J62" i="3"/>
  <c r="I62" i="3"/>
  <c r="J63" i="3"/>
  <c r="I63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8" i="3"/>
  <c r="I18" i="3"/>
  <c r="J17" i="3"/>
  <c r="I17" i="3"/>
  <c r="J16" i="3"/>
  <c r="I16" i="3"/>
  <c r="J15" i="3"/>
  <c r="I15" i="3"/>
  <c r="J14" i="3"/>
  <c r="I14" i="3"/>
  <c r="J13" i="3"/>
  <c r="I13" i="3"/>
  <c r="J12" i="3"/>
  <c r="I12" i="3"/>
  <c r="G53" i="5"/>
  <c r="G127" i="5"/>
  <c r="O54" i="5"/>
  <c r="J53" i="5"/>
  <c r="A145" i="6"/>
  <c r="A144" i="6"/>
  <c r="A151" i="6"/>
  <c r="A157" i="6"/>
  <c r="A152" i="6"/>
  <c r="A153" i="6"/>
  <c r="G54" i="5" l="1"/>
  <c r="T29" i="5"/>
  <c r="R54" i="5"/>
  <c r="Q64" i="5"/>
  <c r="Q54" i="5"/>
  <c r="P133" i="5"/>
  <c r="P54" i="5"/>
  <c r="P64" i="5"/>
  <c r="P60" i="5" s="1"/>
  <c r="O59" i="5"/>
  <c r="N59" i="5"/>
  <c r="G128" i="5"/>
  <c r="L133" i="5"/>
  <c r="L138" i="5" s="1"/>
  <c r="Q128" i="5"/>
  <c r="M133" i="5"/>
  <c r="M59" i="5"/>
  <c r="L64" i="5"/>
  <c r="L54" i="5"/>
  <c r="K128" i="5"/>
  <c r="K133" i="5"/>
  <c r="K59" i="5"/>
  <c r="K64" i="5" s="1"/>
  <c r="J133" i="5"/>
  <c r="J138" i="5" s="1"/>
  <c r="I64" i="5"/>
  <c r="I54" i="5"/>
  <c r="T103" i="5"/>
  <c r="T84" i="5"/>
  <c r="I133" i="5"/>
  <c r="H128" i="5"/>
  <c r="H138" i="5"/>
  <c r="H54" i="5"/>
  <c r="H59" i="5"/>
  <c r="N128" i="5"/>
  <c r="N133" i="5"/>
  <c r="N138" i="5" s="1"/>
  <c r="N134" i="5" s="1"/>
  <c r="S127" i="5"/>
  <c r="R128" i="5"/>
  <c r="R59" i="5"/>
  <c r="J55" i="3"/>
  <c r="I55" i="3"/>
  <c r="J40" i="3"/>
  <c r="I40" i="3"/>
  <c r="J30" i="3"/>
  <c r="I30" i="3"/>
  <c r="S53" i="5"/>
  <c r="T53" i="5" s="1"/>
  <c r="J19" i="3"/>
  <c r="I19" i="3"/>
  <c r="G59" i="5"/>
  <c r="J11" i="3"/>
  <c r="I11" i="3"/>
  <c r="G133" i="5"/>
  <c r="J59" i="5"/>
  <c r="J54" i="5"/>
  <c r="R64" i="5" l="1"/>
  <c r="Q60" i="5"/>
  <c r="P138" i="5"/>
  <c r="O64" i="5"/>
  <c r="N64" i="5"/>
  <c r="M138" i="5"/>
  <c r="M64" i="5"/>
  <c r="L60" i="5"/>
  <c r="L134" i="5"/>
  <c r="K138" i="5"/>
  <c r="K134" i="5" s="1"/>
  <c r="K60" i="5"/>
  <c r="J134" i="5"/>
  <c r="J64" i="5"/>
  <c r="I60" i="5"/>
  <c r="S54" i="5"/>
  <c r="T54" i="5" s="1"/>
  <c r="T127" i="5"/>
  <c r="I138" i="5"/>
  <c r="H134" i="5"/>
  <c r="H64" i="5"/>
  <c r="I10" i="3"/>
  <c r="J10" i="3"/>
  <c r="Q53" i="3"/>
  <c r="P53" i="3"/>
  <c r="G64" i="5"/>
  <c r="J29" i="3"/>
  <c r="I29" i="3"/>
  <c r="S59" i="5"/>
  <c r="T59" i="5" s="1"/>
  <c r="G138" i="5"/>
  <c r="S133" i="5"/>
  <c r="Q54" i="3"/>
  <c r="S128" i="5"/>
  <c r="R60" i="5" l="1"/>
  <c r="P134" i="5"/>
  <c r="O60" i="5"/>
  <c r="N60" i="5"/>
  <c r="Q59" i="3"/>
  <c r="M134" i="5"/>
  <c r="M60" i="5"/>
  <c r="J60" i="5"/>
  <c r="T128" i="5"/>
  <c r="T133" i="5"/>
  <c r="I134" i="5"/>
  <c r="H60" i="5"/>
  <c r="I53" i="3"/>
  <c r="S64" i="5"/>
  <c r="T64" i="5" s="1"/>
  <c r="J53" i="3"/>
  <c r="G60" i="5"/>
  <c r="S138" i="5"/>
  <c r="G134" i="5"/>
  <c r="GC35" i="9"/>
  <c r="GC28" i="9"/>
  <c r="GC23" i="9"/>
  <c r="GC18" i="9"/>
  <c r="GC10" i="9"/>
  <c r="I54" i="3" l="1"/>
  <c r="Q64" i="3"/>
  <c r="S60" i="5"/>
  <c r="T60" i="5" s="1"/>
  <c r="J54" i="3"/>
  <c r="T138" i="5"/>
  <c r="J59" i="3"/>
  <c r="I59" i="3"/>
  <c r="S134" i="5"/>
  <c r="Q60" i="3"/>
  <c r="GB35" i="9"/>
  <c r="GB28" i="9"/>
  <c r="GB23" i="9"/>
  <c r="GB18" i="9"/>
  <c r="GB10" i="9"/>
  <c r="J60" i="3" l="1"/>
  <c r="T134" i="5"/>
  <c r="I64" i="3"/>
  <c r="J64" i="3"/>
  <c r="FS320" i="9"/>
  <c r="FT320" i="9"/>
  <c r="FU320" i="9"/>
  <c r="FV320" i="9"/>
  <c r="FW320" i="9"/>
  <c r="FX320" i="9"/>
  <c r="FY320" i="9"/>
  <c r="FZ320" i="9"/>
  <c r="GA320" i="9"/>
  <c r="GB320" i="9"/>
  <c r="GC320" i="9"/>
  <c r="FR320" i="9"/>
  <c r="FS244" i="9"/>
  <c r="FT244" i="9"/>
  <c r="FU244" i="9"/>
  <c r="FV244" i="9"/>
  <c r="FW244" i="9"/>
  <c r="FX244" i="9"/>
  <c r="FY244" i="9"/>
  <c r="FZ244" i="9"/>
  <c r="GA244" i="9"/>
  <c r="GB244" i="9"/>
  <c r="GC244" i="9"/>
  <c r="FR244" i="9"/>
  <c r="FS237" i="9"/>
  <c r="FT237" i="9"/>
  <c r="FU237" i="9"/>
  <c r="FV237" i="9"/>
  <c r="FW237" i="9"/>
  <c r="FX237" i="9"/>
  <c r="FY237" i="9"/>
  <c r="FZ237" i="9"/>
  <c r="GA237" i="9"/>
  <c r="GB237" i="9"/>
  <c r="GC237" i="9"/>
  <c r="FR237" i="9"/>
  <c r="FS232" i="9"/>
  <c r="FT232" i="9"/>
  <c r="FU232" i="9"/>
  <c r="FV232" i="9"/>
  <c r="FW232" i="9"/>
  <c r="FX232" i="9"/>
  <c r="FY232" i="9"/>
  <c r="FZ232" i="9"/>
  <c r="GA232" i="9"/>
  <c r="GB232" i="9"/>
  <c r="GC232" i="9"/>
  <c r="FR232" i="9"/>
  <c r="FS227" i="9"/>
  <c r="FT227" i="9"/>
  <c r="FU227" i="9"/>
  <c r="FV227" i="9"/>
  <c r="FW227" i="9"/>
  <c r="FX227" i="9"/>
  <c r="FY227" i="9"/>
  <c r="FZ227" i="9"/>
  <c r="GA227" i="9"/>
  <c r="GB227" i="9"/>
  <c r="GC227" i="9"/>
  <c r="FR227" i="9"/>
  <c r="FX218" i="9"/>
  <c r="FY218" i="9"/>
  <c r="FZ218" i="9"/>
  <c r="GA218" i="9"/>
  <c r="GB218" i="9"/>
  <c r="GC218" i="9"/>
  <c r="FS218" i="9"/>
  <c r="FT218" i="9"/>
  <c r="FU218" i="9"/>
  <c r="FV218" i="9"/>
  <c r="FW218" i="9"/>
  <c r="FR218" i="9"/>
  <c r="I60" i="3" l="1"/>
  <c r="GA35" i="9"/>
  <c r="GA28" i="9"/>
  <c r="GA23" i="9"/>
  <c r="GA18" i="9"/>
  <c r="GA10" i="9"/>
  <c r="GE253" i="9" l="1"/>
  <c r="GE393" i="9"/>
  <c r="GE392" i="9"/>
  <c r="GE388" i="9"/>
  <c r="GE387" i="9"/>
  <c r="GE386" i="9"/>
  <c r="GE385" i="9"/>
  <c r="GE378" i="9"/>
  <c r="GE376" i="9"/>
  <c r="GE368" i="9"/>
  <c r="GE361" i="9"/>
  <c r="GE351" i="9"/>
  <c r="GE350" i="9"/>
  <c r="GE346" i="9"/>
  <c r="GE344" i="9"/>
  <c r="GE336" i="9"/>
  <c r="GE330" i="9"/>
  <c r="GE321" i="9"/>
  <c r="GE320" i="9"/>
  <c r="GE310" i="9"/>
  <c r="GE306" i="9"/>
  <c r="GE302" i="9"/>
  <c r="GE299" i="9"/>
  <c r="GE295" i="9"/>
  <c r="GE285" i="9"/>
  <c r="GE278" i="9"/>
  <c r="GE270" i="9"/>
  <c r="GE264" i="9"/>
  <c r="GE255" i="9"/>
  <c r="GE252" i="9"/>
  <c r="GE249" i="9"/>
  <c r="GE248" i="9"/>
  <c r="GE247" i="9"/>
  <c r="GE246" i="9"/>
  <c r="GE245" i="9"/>
  <c r="GE244" i="9"/>
  <c r="GE243" i="9"/>
  <c r="GE242" i="9"/>
  <c r="GE241" i="9"/>
  <c r="GE240" i="9"/>
  <c r="GE239" i="9"/>
  <c r="GE238" i="9"/>
  <c r="GE237" i="9"/>
  <c r="GE236" i="9"/>
  <c r="GE235" i="9"/>
  <c r="GE234" i="9"/>
  <c r="GE233" i="9"/>
  <c r="GE232" i="9"/>
  <c r="GE231" i="9"/>
  <c r="GE230" i="9"/>
  <c r="GE229" i="9"/>
  <c r="GE228" i="9"/>
  <c r="GE227" i="9" l="1"/>
  <c r="GE226" i="9"/>
  <c r="GE225" i="9"/>
  <c r="GE224" i="9"/>
  <c r="GE223" i="9"/>
  <c r="GE222" i="9"/>
  <c r="GE221" i="9"/>
  <c r="GE220" i="9"/>
  <c r="GE219" i="9"/>
  <c r="GE218" i="9"/>
  <c r="FS259" i="9"/>
  <c r="FT259" i="9"/>
  <c r="FU259" i="9"/>
  <c r="FV259" i="9"/>
  <c r="FW259" i="9"/>
  <c r="FX259" i="9"/>
  <c r="FY259" i="9"/>
  <c r="FZ259" i="9"/>
  <c r="GA259" i="9"/>
  <c r="GB259" i="9"/>
  <c r="GC259" i="9"/>
  <c r="FR259" i="9"/>
  <c r="GE261" i="9"/>
  <c r="GE259" i="9" l="1"/>
  <c r="FY35" i="9"/>
  <c r="FX35" i="9"/>
  <c r="FW35" i="9"/>
  <c r="FV35" i="9"/>
  <c r="FU35" i="9"/>
  <c r="FT35" i="9"/>
  <c r="FS35" i="9"/>
  <c r="FR35" i="9"/>
  <c r="FY28" i="9"/>
  <c r="FX28" i="9"/>
  <c r="FW28" i="9"/>
  <c r="FV28" i="9"/>
  <c r="FU28" i="9"/>
  <c r="FT28" i="9"/>
  <c r="FS28" i="9"/>
  <c r="FR28" i="9"/>
  <c r="FY18" i="9"/>
  <c r="FX18" i="9"/>
  <c r="FW18" i="9"/>
  <c r="FV18" i="9"/>
  <c r="FU18" i="9"/>
  <c r="FT18" i="9"/>
  <c r="FS18" i="9"/>
  <c r="FR18" i="9"/>
  <c r="FY10" i="9"/>
  <c r="FX10" i="9"/>
  <c r="FW10" i="9"/>
  <c r="FV10" i="9"/>
  <c r="FU10" i="9"/>
  <c r="FT10" i="9"/>
  <c r="FS10" i="9"/>
  <c r="FR10" i="9"/>
  <c r="FY23" i="9"/>
  <c r="FX23" i="9"/>
  <c r="FW23" i="9"/>
  <c r="FV23" i="9"/>
  <c r="FU23" i="9"/>
  <c r="FT23" i="9"/>
  <c r="FS23" i="9"/>
  <c r="FR23" i="9"/>
  <c r="FZ35" i="9" l="1"/>
  <c r="FZ28" i="9"/>
  <c r="FZ23" i="9"/>
  <c r="FZ18" i="9"/>
  <c r="FZ10" i="9"/>
  <c r="H31" i="7" l="1"/>
  <c r="I31" i="7"/>
  <c r="J31" i="7"/>
  <c r="K31" i="7"/>
  <c r="L31" i="7"/>
  <c r="M31" i="7"/>
  <c r="N31" i="7"/>
  <c r="O31" i="7"/>
  <c r="P31" i="7"/>
  <c r="Q31" i="7"/>
  <c r="R31" i="7"/>
  <c r="G31" i="7"/>
  <c r="S31" i="7" l="1"/>
  <c r="FY127" i="9"/>
  <c r="FW127" i="9" l="1"/>
  <c r="FX127" i="9" l="1"/>
  <c r="FU127" i="9"/>
  <c r="FT127" i="9"/>
  <c r="FS127" i="9"/>
  <c r="FR127" i="9" l="1"/>
  <c r="FV127" i="9" l="1"/>
  <c r="H46" i="7" l="1"/>
  <c r="I46" i="7"/>
  <c r="J46" i="7"/>
  <c r="K46" i="7"/>
  <c r="L46" i="7"/>
  <c r="M46" i="7"/>
  <c r="N46" i="7"/>
  <c r="O46" i="7"/>
  <c r="P46" i="7"/>
  <c r="Q46" i="7"/>
  <c r="R46" i="7"/>
  <c r="H42" i="7"/>
  <c r="I42" i="7"/>
  <c r="J42" i="7"/>
  <c r="K42" i="7"/>
  <c r="L42" i="7"/>
  <c r="M42" i="7"/>
  <c r="N42" i="7"/>
  <c r="O42" i="7"/>
  <c r="P42" i="7"/>
  <c r="Q42" i="7"/>
  <c r="R42" i="7"/>
  <c r="G42" i="7"/>
  <c r="H41" i="7"/>
  <c r="I41" i="7"/>
  <c r="J41" i="7"/>
  <c r="K41" i="7"/>
  <c r="L41" i="7"/>
  <c r="M41" i="7"/>
  <c r="N41" i="7"/>
  <c r="O41" i="7"/>
  <c r="P41" i="7"/>
  <c r="Q41" i="7"/>
  <c r="R41" i="7"/>
  <c r="G41" i="7"/>
  <c r="H49" i="7"/>
  <c r="I49" i="7"/>
  <c r="J49" i="7"/>
  <c r="K49" i="7"/>
  <c r="L49" i="7"/>
  <c r="M49" i="7"/>
  <c r="N49" i="7"/>
  <c r="O49" i="7"/>
  <c r="P49" i="7"/>
  <c r="Q49" i="7"/>
  <c r="R49" i="7"/>
  <c r="G49" i="7"/>
  <c r="H48" i="7"/>
  <c r="I48" i="7"/>
  <c r="J48" i="7"/>
  <c r="K48" i="7"/>
  <c r="L48" i="7"/>
  <c r="M48" i="7"/>
  <c r="N48" i="7"/>
  <c r="O48" i="7"/>
  <c r="P48" i="7"/>
  <c r="Q48" i="7"/>
  <c r="R48" i="7"/>
  <c r="G48" i="7"/>
  <c r="H47" i="7"/>
  <c r="I47" i="7"/>
  <c r="J47" i="7"/>
  <c r="K47" i="7"/>
  <c r="L47" i="7"/>
  <c r="M47" i="7"/>
  <c r="N47" i="7"/>
  <c r="O47" i="7"/>
  <c r="P47" i="7"/>
  <c r="Q47" i="7"/>
  <c r="R47" i="7"/>
  <c r="G47" i="7"/>
  <c r="G46" i="7"/>
  <c r="H45" i="7"/>
  <c r="I45" i="7"/>
  <c r="J45" i="7"/>
  <c r="K45" i="7"/>
  <c r="L45" i="7"/>
  <c r="M45" i="7"/>
  <c r="N45" i="7"/>
  <c r="O45" i="7"/>
  <c r="P45" i="7"/>
  <c r="Q45" i="7"/>
  <c r="R45" i="7"/>
  <c r="G45" i="7"/>
  <c r="H44" i="7"/>
  <c r="I44" i="7"/>
  <c r="J44" i="7"/>
  <c r="K44" i="7"/>
  <c r="L44" i="7"/>
  <c r="M44" i="7"/>
  <c r="N44" i="7"/>
  <c r="O44" i="7"/>
  <c r="P44" i="7"/>
  <c r="Q44" i="7"/>
  <c r="R44" i="7"/>
  <c r="G44" i="7"/>
  <c r="R43" i="7"/>
  <c r="H43" i="7"/>
  <c r="I43" i="7"/>
  <c r="J43" i="7"/>
  <c r="K43" i="7"/>
  <c r="L43" i="7"/>
  <c r="M43" i="7"/>
  <c r="N43" i="7"/>
  <c r="O43" i="7"/>
  <c r="P43" i="7"/>
  <c r="Q43" i="7"/>
  <c r="G43" i="7"/>
  <c r="H39" i="7"/>
  <c r="I39" i="7"/>
  <c r="J39" i="7"/>
  <c r="K39" i="7"/>
  <c r="L39" i="7"/>
  <c r="N39" i="7"/>
  <c r="O39" i="7"/>
  <c r="P39" i="7"/>
  <c r="Q39" i="7"/>
  <c r="R39" i="7"/>
  <c r="G39" i="7"/>
  <c r="H38" i="7"/>
  <c r="I38" i="7"/>
  <c r="J38" i="7"/>
  <c r="K38" i="7"/>
  <c r="L38" i="7"/>
  <c r="M38" i="7"/>
  <c r="N38" i="7"/>
  <c r="O38" i="7"/>
  <c r="P38" i="7"/>
  <c r="Q38" i="7"/>
  <c r="R38" i="7"/>
  <c r="G38" i="7"/>
  <c r="H37" i="7"/>
  <c r="I37" i="7"/>
  <c r="J37" i="7"/>
  <c r="K37" i="7"/>
  <c r="L37" i="7"/>
  <c r="M37" i="7"/>
  <c r="N37" i="7"/>
  <c r="O37" i="7"/>
  <c r="P37" i="7"/>
  <c r="Q37" i="7"/>
  <c r="R37" i="7"/>
  <c r="G37" i="7"/>
  <c r="H36" i="7"/>
  <c r="I36" i="7"/>
  <c r="J36" i="7"/>
  <c r="K36" i="7"/>
  <c r="L36" i="7"/>
  <c r="M36" i="7"/>
  <c r="N36" i="7"/>
  <c r="O36" i="7"/>
  <c r="P36" i="7"/>
  <c r="Q36" i="7"/>
  <c r="R36" i="7"/>
  <c r="G36" i="7"/>
  <c r="H35" i="7"/>
  <c r="I35" i="7"/>
  <c r="J35" i="7"/>
  <c r="K35" i="7"/>
  <c r="L35" i="7"/>
  <c r="M35" i="7"/>
  <c r="N35" i="7"/>
  <c r="O35" i="7"/>
  <c r="P35" i="7"/>
  <c r="Q35" i="7"/>
  <c r="R35" i="7"/>
  <c r="G35" i="7"/>
  <c r="H34" i="7"/>
  <c r="I34" i="7"/>
  <c r="J34" i="7"/>
  <c r="K34" i="7"/>
  <c r="L34" i="7"/>
  <c r="M34" i="7"/>
  <c r="N34" i="7"/>
  <c r="O34" i="7"/>
  <c r="P34" i="7"/>
  <c r="Q34" i="7"/>
  <c r="R34" i="7"/>
  <c r="G34" i="7"/>
  <c r="H33" i="7"/>
  <c r="I33" i="7"/>
  <c r="J33" i="7"/>
  <c r="K33" i="7"/>
  <c r="L33" i="7"/>
  <c r="M33" i="7"/>
  <c r="N33" i="7"/>
  <c r="O33" i="7"/>
  <c r="P33" i="7"/>
  <c r="Q33" i="7"/>
  <c r="R33" i="7"/>
  <c r="G33" i="7"/>
  <c r="H32" i="7"/>
  <c r="I32" i="7"/>
  <c r="J32" i="7"/>
  <c r="K32" i="7"/>
  <c r="L32" i="7"/>
  <c r="M32" i="7"/>
  <c r="N32" i="7"/>
  <c r="N30" i="7" s="1"/>
  <c r="O32" i="7"/>
  <c r="O30" i="7" s="1"/>
  <c r="P32" i="7"/>
  <c r="Q32" i="7"/>
  <c r="Q30" i="7" s="1"/>
  <c r="R32" i="7"/>
  <c r="R30" i="7" s="1"/>
  <c r="G32" i="7"/>
  <c r="L30" i="7"/>
  <c r="H63" i="7"/>
  <c r="I63" i="7"/>
  <c r="J63" i="7"/>
  <c r="K63" i="7"/>
  <c r="L63" i="7"/>
  <c r="M63" i="7"/>
  <c r="N63" i="7"/>
  <c r="O63" i="7"/>
  <c r="P63" i="7"/>
  <c r="Q63" i="7"/>
  <c r="R63" i="7"/>
  <c r="G63" i="7"/>
  <c r="H62" i="7"/>
  <c r="I62" i="7"/>
  <c r="J62" i="7"/>
  <c r="K62" i="7"/>
  <c r="L62" i="7"/>
  <c r="M62" i="7"/>
  <c r="N62" i="7"/>
  <c r="O62" i="7"/>
  <c r="P62" i="7"/>
  <c r="Q62" i="7"/>
  <c r="R62" i="7"/>
  <c r="G62" i="7"/>
  <c r="H61" i="7"/>
  <c r="I61" i="7"/>
  <c r="J61" i="7"/>
  <c r="K61" i="7"/>
  <c r="L61" i="7"/>
  <c r="M61" i="7"/>
  <c r="N61" i="7"/>
  <c r="O61" i="7"/>
  <c r="P61" i="7"/>
  <c r="Q61" i="7"/>
  <c r="R61" i="7"/>
  <c r="G61" i="7"/>
  <c r="H28" i="7"/>
  <c r="I28" i="7"/>
  <c r="J28" i="7"/>
  <c r="K28" i="7"/>
  <c r="L28" i="7"/>
  <c r="M28" i="7"/>
  <c r="N28" i="7"/>
  <c r="O28" i="7"/>
  <c r="P28" i="7"/>
  <c r="Q28" i="7"/>
  <c r="R28" i="7"/>
  <c r="G28" i="7"/>
  <c r="H27" i="7"/>
  <c r="I27" i="7"/>
  <c r="J27" i="7"/>
  <c r="K27" i="7"/>
  <c r="L27" i="7"/>
  <c r="M27" i="7"/>
  <c r="N27" i="7"/>
  <c r="O27" i="7"/>
  <c r="P27" i="7"/>
  <c r="Q27" i="7"/>
  <c r="R27" i="7"/>
  <c r="G27" i="7"/>
  <c r="H26" i="7"/>
  <c r="I26" i="7"/>
  <c r="J26" i="7"/>
  <c r="K26" i="7"/>
  <c r="L26" i="7"/>
  <c r="M26" i="7"/>
  <c r="N26" i="7"/>
  <c r="O26" i="7"/>
  <c r="P26" i="7"/>
  <c r="Q26" i="7"/>
  <c r="R26" i="7"/>
  <c r="G26" i="7"/>
  <c r="H25" i="7"/>
  <c r="I25" i="7"/>
  <c r="J25" i="7"/>
  <c r="K25" i="7"/>
  <c r="L25" i="7"/>
  <c r="M25" i="7"/>
  <c r="N25" i="7"/>
  <c r="O25" i="7"/>
  <c r="P25" i="7"/>
  <c r="Q25" i="7"/>
  <c r="R25" i="7"/>
  <c r="G25" i="7"/>
  <c r="H24" i="7"/>
  <c r="I24" i="7"/>
  <c r="J24" i="7"/>
  <c r="K24" i="7"/>
  <c r="L24" i="7"/>
  <c r="M24" i="7"/>
  <c r="N24" i="7"/>
  <c r="O24" i="7"/>
  <c r="P24" i="7"/>
  <c r="Q24" i="7"/>
  <c r="R24" i="7"/>
  <c r="G24" i="7"/>
  <c r="H20" i="7"/>
  <c r="I20" i="7"/>
  <c r="J20" i="7"/>
  <c r="K20" i="7"/>
  <c r="L20" i="7"/>
  <c r="M20" i="7"/>
  <c r="N20" i="7"/>
  <c r="O20" i="7"/>
  <c r="P20" i="7"/>
  <c r="Q20" i="7"/>
  <c r="R20" i="7"/>
  <c r="H21" i="7"/>
  <c r="I21" i="7"/>
  <c r="J21" i="7"/>
  <c r="K21" i="7"/>
  <c r="L21" i="7"/>
  <c r="M21" i="7"/>
  <c r="N21" i="7"/>
  <c r="O21" i="7"/>
  <c r="P21" i="7"/>
  <c r="Q21" i="7"/>
  <c r="R21" i="7"/>
  <c r="H22" i="7"/>
  <c r="I22" i="7"/>
  <c r="J22" i="7"/>
  <c r="K22" i="7"/>
  <c r="L22" i="7"/>
  <c r="M22" i="7"/>
  <c r="N22" i="7"/>
  <c r="O22" i="7"/>
  <c r="P22" i="7"/>
  <c r="Q22" i="7"/>
  <c r="R22" i="7"/>
  <c r="H23" i="7"/>
  <c r="I23" i="7"/>
  <c r="J23" i="7"/>
  <c r="K23" i="7"/>
  <c r="L23" i="7"/>
  <c r="M23" i="7"/>
  <c r="N23" i="7"/>
  <c r="O23" i="7"/>
  <c r="P23" i="7"/>
  <c r="Q23" i="7"/>
  <c r="R23" i="7"/>
  <c r="G21" i="7"/>
  <c r="G22" i="7"/>
  <c r="G23" i="7"/>
  <c r="G20" i="7"/>
  <c r="H12" i="7"/>
  <c r="I12" i="7"/>
  <c r="J12" i="7"/>
  <c r="K12" i="7"/>
  <c r="L12" i="7"/>
  <c r="M12" i="7"/>
  <c r="N12" i="7"/>
  <c r="O12" i="7"/>
  <c r="P12" i="7"/>
  <c r="Q12" i="7"/>
  <c r="R12" i="7"/>
  <c r="H13" i="7"/>
  <c r="I13" i="7"/>
  <c r="J13" i="7"/>
  <c r="K13" i="7"/>
  <c r="L13" i="7"/>
  <c r="M13" i="7"/>
  <c r="N13" i="7"/>
  <c r="O13" i="7"/>
  <c r="P13" i="7"/>
  <c r="Q13" i="7"/>
  <c r="R13" i="7"/>
  <c r="H14" i="7"/>
  <c r="I14" i="7"/>
  <c r="J14" i="7"/>
  <c r="K14" i="7"/>
  <c r="L14" i="7"/>
  <c r="M14" i="7"/>
  <c r="N14" i="7"/>
  <c r="O14" i="7"/>
  <c r="P14" i="7"/>
  <c r="Q14" i="7"/>
  <c r="R14" i="7"/>
  <c r="H15" i="7"/>
  <c r="I15" i="7"/>
  <c r="J15" i="7"/>
  <c r="K15" i="7"/>
  <c r="L15" i="7"/>
  <c r="M15" i="7"/>
  <c r="N15" i="7"/>
  <c r="O15" i="7"/>
  <c r="P15" i="7"/>
  <c r="Q15" i="7"/>
  <c r="R15" i="7"/>
  <c r="H16" i="7"/>
  <c r="I16" i="7"/>
  <c r="J16" i="7"/>
  <c r="K16" i="7"/>
  <c r="L16" i="7"/>
  <c r="M16" i="7"/>
  <c r="N16" i="7"/>
  <c r="O16" i="7"/>
  <c r="P16" i="7"/>
  <c r="Q16" i="7"/>
  <c r="R16" i="7"/>
  <c r="H17" i="7"/>
  <c r="I17" i="7"/>
  <c r="J17" i="7"/>
  <c r="K17" i="7"/>
  <c r="L17" i="7"/>
  <c r="M17" i="7"/>
  <c r="N17" i="7"/>
  <c r="O17" i="7"/>
  <c r="P17" i="7"/>
  <c r="Q17" i="7"/>
  <c r="R17" i="7"/>
  <c r="H18" i="7"/>
  <c r="I18" i="7"/>
  <c r="J18" i="7"/>
  <c r="K18" i="7"/>
  <c r="L18" i="7"/>
  <c r="M18" i="7"/>
  <c r="N18" i="7"/>
  <c r="O18" i="7"/>
  <c r="P18" i="7"/>
  <c r="Q18" i="7"/>
  <c r="R18" i="7"/>
  <c r="G13" i="7"/>
  <c r="G14" i="7"/>
  <c r="G15" i="7"/>
  <c r="G16" i="7"/>
  <c r="G17" i="7"/>
  <c r="G18" i="7"/>
  <c r="G12" i="7"/>
  <c r="H58" i="7"/>
  <c r="I58" i="7"/>
  <c r="J58" i="7"/>
  <c r="K58" i="7"/>
  <c r="L58" i="7"/>
  <c r="M58" i="7"/>
  <c r="N58" i="7"/>
  <c r="O58" i="7"/>
  <c r="P58" i="7"/>
  <c r="Q58" i="7"/>
  <c r="R58" i="7"/>
  <c r="G58" i="7"/>
  <c r="H57" i="7"/>
  <c r="I57" i="7"/>
  <c r="J57" i="7"/>
  <c r="K57" i="7"/>
  <c r="L57" i="7"/>
  <c r="M57" i="7"/>
  <c r="N57" i="7"/>
  <c r="O57" i="7"/>
  <c r="P57" i="7"/>
  <c r="Q57" i="7"/>
  <c r="R57" i="7"/>
  <c r="G57" i="7"/>
  <c r="H56" i="7"/>
  <c r="H55" i="7" s="1"/>
  <c r="I56" i="7"/>
  <c r="I55" i="7" s="1"/>
  <c r="J56" i="7"/>
  <c r="J55" i="7" s="1"/>
  <c r="K56" i="7"/>
  <c r="K55" i="7" s="1"/>
  <c r="L56" i="7"/>
  <c r="L55" i="7" s="1"/>
  <c r="M56" i="7"/>
  <c r="N56" i="7"/>
  <c r="N55" i="7" s="1"/>
  <c r="O56" i="7"/>
  <c r="O55" i="7" s="1"/>
  <c r="P56" i="7"/>
  <c r="Q56" i="7"/>
  <c r="Q55" i="7" s="1"/>
  <c r="R56" i="7"/>
  <c r="R55" i="7" s="1"/>
  <c r="G56" i="7"/>
  <c r="H51" i="7"/>
  <c r="I51" i="7"/>
  <c r="J51" i="7"/>
  <c r="K51" i="7"/>
  <c r="L51" i="7"/>
  <c r="M51" i="7"/>
  <c r="N51" i="7"/>
  <c r="O51" i="7"/>
  <c r="P51" i="7"/>
  <c r="Q51" i="7"/>
  <c r="R51" i="7"/>
  <c r="G51" i="7"/>
  <c r="H50" i="7"/>
  <c r="I50" i="7"/>
  <c r="J50" i="7"/>
  <c r="K50" i="7"/>
  <c r="L50" i="7"/>
  <c r="M50" i="7"/>
  <c r="N50" i="7"/>
  <c r="O50" i="7"/>
  <c r="P50" i="7"/>
  <c r="Q50" i="7"/>
  <c r="R50" i="7"/>
  <c r="G50" i="7"/>
  <c r="FL101" i="9"/>
  <c r="M39" i="7" s="1"/>
  <c r="H30" i="7" l="1"/>
  <c r="I30" i="7"/>
  <c r="P40" i="7"/>
  <c r="L40" i="7"/>
  <c r="L29" i="7" s="1"/>
  <c r="H40" i="7"/>
  <c r="P55" i="7"/>
  <c r="P30" i="7"/>
  <c r="H29" i="7"/>
  <c r="G30" i="7"/>
  <c r="K30" i="7"/>
  <c r="P29" i="7"/>
  <c r="J30" i="7"/>
  <c r="M55" i="7"/>
  <c r="M30" i="7"/>
  <c r="R40" i="7"/>
  <c r="R29" i="7" s="1"/>
  <c r="G40" i="7"/>
  <c r="O40" i="7"/>
  <c r="O29" i="7" s="1"/>
  <c r="K40" i="7"/>
  <c r="N40" i="7"/>
  <c r="N29" i="7" s="1"/>
  <c r="J40" i="7"/>
  <c r="Q40" i="7"/>
  <c r="Q29" i="7" s="1"/>
  <c r="M40" i="7"/>
  <c r="I40" i="7"/>
  <c r="I29" i="7" s="1"/>
  <c r="I48" i="6"/>
  <c r="J48" i="6"/>
  <c r="K48" i="6"/>
  <c r="L48" i="6"/>
  <c r="M48" i="6"/>
  <c r="N48" i="6"/>
  <c r="O48" i="6"/>
  <c r="P48" i="6"/>
  <c r="Q48" i="6"/>
  <c r="R48" i="6"/>
  <c r="H48" i="6"/>
  <c r="G48" i="6"/>
  <c r="T48" i="3" l="1"/>
  <c r="M48" i="3"/>
  <c r="L48" i="3"/>
  <c r="K29" i="7"/>
  <c r="M29" i="7"/>
  <c r="J29" i="7"/>
  <c r="G29" i="7"/>
  <c r="H151" i="6" l="1"/>
  <c r="I151" i="6"/>
  <c r="J151" i="6"/>
  <c r="K151" i="6"/>
  <c r="L151" i="6"/>
  <c r="M151" i="6"/>
  <c r="M140" i="6" s="1"/>
  <c r="N151" i="6"/>
  <c r="N140" i="6" s="1"/>
  <c r="O151" i="6"/>
  <c r="O140" i="6" s="1"/>
  <c r="P151" i="6"/>
  <c r="P140" i="6" s="1"/>
  <c r="Q151" i="6"/>
  <c r="Q140" i="6" s="1"/>
  <c r="R151" i="6"/>
  <c r="R140" i="6" s="1"/>
  <c r="A162" i="8"/>
  <c r="A161" i="8"/>
  <c r="A160" i="8"/>
  <c r="A159" i="8"/>
  <c r="A158" i="8"/>
  <c r="A157" i="8"/>
  <c r="A155" i="8"/>
  <c r="A154" i="8"/>
  <c r="A153" i="8"/>
  <c r="A152" i="8"/>
  <c r="A151" i="8"/>
  <c r="A150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T104" i="8"/>
  <c r="T103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T105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S103" i="8"/>
  <c r="R5" i="8"/>
  <c r="Q5" i="8"/>
  <c r="P5" i="8"/>
  <c r="O5" i="8"/>
  <c r="N5" i="8"/>
  <c r="M5" i="8"/>
  <c r="L5" i="8"/>
  <c r="K5" i="8"/>
  <c r="J5" i="8"/>
  <c r="I5" i="8"/>
  <c r="H5" i="8"/>
  <c r="G5" i="8"/>
  <c r="A159" i="7"/>
  <c r="A158" i="7"/>
  <c r="A157" i="7"/>
  <c r="A156" i="7"/>
  <c r="A155" i="7"/>
  <c r="A154" i="7"/>
  <c r="A152" i="7"/>
  <c r="A151" i="7"/>
  <c r="A150" i="7"/>
  <c r="A149" i="7"/>
  <c r="A148" i="7"/>
  <c r="A146" i="7"/>
  <c r="A145" i="7"/>
  <c r="A144" i="7"/>
  <c r="A143" i="7"/>
  <c r="A142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T101" i="7"/>
  <c r="T100" i="7"/>
  <c r="R99" i="7"/>
  <c r="Q99" i="7"/>
  <c r="P99" i="7"/>
  <c r="O99" i="7"/>
  <c r="N99" i="7"/>
  <c r="M99" i="7"/>
  <c r="L99" i="7"/>
  <c r="K99" i="7"/>
  <c r="J99" i="7"/>
  <c r="I99" i="7"/>
  <c r="H99" i="7"/>
  <c r="G99" i="7"/>
  <c r="T102" i="7"/>
  <c r="R101" i="7"/>
  <c r="Q101" i="7"/>
  <c r="P101" i="7"/>
  <c r="O101" i="7"/>
  <c r="N101" i="7"/>
  <c r="M101" i="7"/>
  <c r="L101" i="7"/>
  <c r="K101" i="7"/>
  <c r="J101" i="7"/>
  <c r="I101" i="7"/>
  <c r="H101" i="7"/>
  <c r="G101" i="7"/>
  <c r="S100" i="7"/>
  <c r="R5" i="7"/>
  <c r="Q5" i="7"/>
  <c r="P5" i="7"/>
  <c r="O5" i="7"/>
  <c r="N5" i="7"/>
  <c r="M5" i="7"/>
  <c r="L5" i="7"/>
  <c r="K5" i="7"/>
  <c r="J5" i="7"/>
  <c r="I5" i="7"/>
  <c r="H5" i="7"/>
  <c r="G5" i="7"/>
  <c r="H150" i="7" l="1"/>
  <c r="L150" i="7"/>
  <c r="P150" i="7"/>
  <c r="I152" i="8"/>
  <c r="M152" i="8"/>
  <c r="Q152" i="8"/>
  <c r="R58" i="8"/>
  <c r="G150" i="7"/>
  <c r="K150" i="7"/>
  <c r="O150" i="7"/>
  <c r="M58" i="8"/>
  <c r="Q58" i="8"/>
  <c r="J58" i="8"/>
  <c r="N58" i="8"/>
  <c r="H152" i="8"/>
  <c r="L152" i="8"/>
  <c r="P152" i="8"/>
  <c r="N152" i="8"/>
  <c r="P104" i="7"/>
  <c r="P135" i="7"/>
  <c r="J152" i="8"/>
  <c r="Q124" i="7"/>
  <c r="P11" i="8"/>
  <c r="P10" i="8" s="1"/>
  <c r="O42" i="8"/>
  <c r="J112" i="7"/>
  <c r="I124" i="7"/>
  <c r="N150" i="7"/>
  <c r="H31" i="8"/>
  <c r="H107" i="8"/>
  <c r="P107" i="8"/>
  <c r="O107" i="8"/>
  <c r="K127" i="8"/>
  <c r="H138" i="8"/>
  <c r="L138" i="8"/>
  <c r="P138" i="8"/>
  <c r="K104" i="7"/>
  <c r="S113" i="7"/>
  <c r="T113" i="7" s="1"/>
  <c r="K112" i="7"/>
  <c r="O112" i="7"/>
  <c r="N112" i="7"/>
  <c r="I112" i="7"/>
  <c r="M112" i="7"/>
  <c r="Q112" i="7"/>
  <c r="P112" i="7"/>
  <c r="S117" i="7"/>
  <c r="T117" i="7" s="1"/>
  <c r="S121" i="7"/>
  <c r="T121" i="7" s="1"/>
  <c r="I11" i="8"/>
  <c r="I10" i="8" s="1"/>
  <c r="M11" i="8"/>
  <c r="M10" i="8" s="1"/>
  <c r="Q11" i="8"/>
  <c r="Q10" i="8" s="1"/>
  <c r="H11" i="8"/>
  <c r="H10" i="8" s="1"/>
  <c r="L11" i="8"/>
  <c r="L10" i="8" s="1"/>
  <c r="S14" i="8"/>
  <c r="T14" i="8" s="1"/>
  <c r="K124" i="7"/>
  <c r="G107" i="8"/>
  <c r="G115" i="8"/>
  <c r="K115" i="8"/>
  <c r="O115" i="8"/>
  <c r="H112" i="7"/>
  <c r="L112" i="7"/>
  <c r="S19" i="8"/>
  <c r="T19" i="8" s="1"/>
  <c r="S23" i="8"/>
  <c r="T23" i="8" s="1"/>
  <c r="S27" i="8"/>
  <c r="T27" i="8" s="1"/>
  <c r="I42" i="8"/>
  <c r="M42" i="8"/>
  <c r="Q42" i="8"/>
  <c r="S45" i="8"/>
  <c r="T45" i="8" s="1"/>
  <c r="K42" i="8"/>
  <c r="S49" i="8"/>
  <c r="T49" i="8" s="1"/>
  <c r="S53" i="8"/>
  <c r="T53" i="8" s="1"/>
  <c r="K107" i="8"/>
  <c r="L107" i="8"/>
  <c r="H115" i="8"/>
  <c r="L115" i="8"/>
  <c r="P115" i="8"/>
  <c r="S117" i="8"/>
  <c r="T117" i="8" s="1"/>
  <c r="S123" i="8"/>
  <c r="T123" i="8" s="1"/>
  <c r="L127" i="8"/>
  <c r="G138" i="8"/>
  <c r="K138" i="8"/>
  <c r="O138" i="8"/>
  <c r="L11" i="7"/>
  <c r="P11" i="7"/>
  <c r="N104" i="7"/>
  <c r="I127" i="8"/>
  <c r="M127" i="8"/>
  <c r="Q127" i="8"/>
  <c r="H127" i="8"/>
  <c r="P127" i="8"/>
  <c r="R152" i="8"/>
  <c r="H104" i="7"/>
  <c r="L104" i="7"/>
  <c r="S106" i="7"/>
  <c r="T106" i="7" s="1"/>
  <c r="O104" i="7"/>
  <c r="J104" i="7"/>
  <c r="R104" i="7"/>
  <c r="S110" i="7"/>
  <c r="T110" i="7" s="1"/>
  <c r="R112" i="7"/>
  <c r="H124" i="7"/>
  <c r="L124" i="7"/>
  <c r="P124" i="7"/>
  <c r="S126" i="7"/>
  <c r="T126" i="7" s="1"/>
  <c r="O124" i="7"/>
  <c r="J124" i="7"/>
  <c r="N124" i="7"/>
  <c r="R124" i="7"/>
  <c r="M124" i="7"/>
  <c r="S130" i="7"/>
  <c r="T130" i="7" s="1"/>
  <c r="S134" i="7"/>
  <c r="T134" i="7" s="1"/>
  <c r="H135" i="7"/>
  <c r="L135" i="7"/>
  <c r="G135" i="7"/>
  <c r="K135" i="7"/>
  <c r="O135" i="7"/>
  <c r="N135" i="7"/>
  <c r="R135" i="7"/>
  <c r="J150" i="7"/>
  <c r="R150" i="7"/>
  <c r="G31" i="8"/>
  <c r="K31" i="8"/>
  <c r="O31" i="8"/>
  <c r="S36" i="8"/>
  <c r="T36" i="8" s="1"/>
  <c r="S40" i="8"/>
  <c r="T40" i="8" s="1"/>
  <c r="O127" i="8"/>
  <c r="G152" i="8"/>
  <c r="K152" i="8"/>
  <c r="S25" i="7"/>
  <c r="T25" i="7" s="1"/>
  <c r="S34" i="7"/>
  <c r="T34" i="7" s="1"/>
  <c r="S38" i="7"/>
  <c r="T38" i="7" s="1"/>
  <c r="S62" i="7"/>
  <c r="T62" i="7" s="1"/>
  <c r="M11" i="7"/>
  <c r="S35" i="7"/>
  <c r="T35" i="7" s="1"/>
  <c r="S39" i="7"/>
  <c r="T39" i="7" s="1"/>
  <c r="S43" i="7"/>
  <c r="T43" i="7" s="1"/>
  <c r="S47" i="7"/>
  <c r="T47" i="7" s="1"/>
  <c r="S50" i="7"/>
  <c r="T50" i="7" s="1"/>
  <c r="G104" i="7"/>
  <c r="S114" i="7"/>
  <c r="T114" i="7" s="1"/>
  <c r="G124" i="7"/>
  <c r="S127" i="7"/>
  <c r="T127" i="7" s="1"/>
  <c r="S131" i="7"/>
  <c r="T131" i="7" s="1"/>
  <c r="I135" i="7"/>
  <c r="M135" i="7"/>
  <c r="Q135" i="7"/>
  <c r="S138" i="7"/>
  <c r="T138" i="7" s="1"/>
  <c r="S142" i="7"/>
  <c r="T142" i="7" s="1"/>
  <c r="S146" i="7"/>
  <c r="T146" i="7" s="1"/>
  <c r="S147" i="7"/>
  <c r="T147" i="7" s="1"/>
  <c r="J11" i="8"/>
  <c r="J10" i="8" s="1"/>
  <c r="N11" i="8"/>
  <c r="N10" i="8" s="1"/>
  <c r="R11" i="8"/>
  <c r="R10" i="8" s="1"/>
  <c r="S15" i="8"/>
  <c r="T15" i="8" s="1"/>
  <c r="S42" i="7"/>
  <c r="T42" i="7" s="1"/>
  <c r="S49" i="7"/>
  <c r="T49" i="7" s="1"/>
  <c r="S58" i="7"/>
  <c r="T58" i="7" s="1"/>
  <c r="I11" i="7"/>
  <c r="I10" i="7" s="1"/>
  <c r="S14" i="7"/>
  <c r="T14" i="7" s="1"/>
  <c r="S18" i="7"/>
  <c r="T18" i="7" s="1"/>
  <c r="S22" i="7"/>
  <c r="T22" i="7" s="1"/>
  <c r="S26" i="7"/>
  <c r="T26" i="7" s="1"/>
  <c r="S15" i="7"/>
  <c r="T15" i="7" s="1"/>
  <c r="S19" i="7"/>
  <c r="T19" i="7" s="1"/>
  <c r="S23" i="7"/>
  <c r="T23" i="7" s="1"/>
  <c r="S27" i="7"/>
  <c r="T27" i="7" s="1"/>
  <c r="S36" i="7"/>
  <c r="T36" i="7" s="1"/>
  <c r="S40" i="7"/>
  <c r="T40" i="7" s="1"/>
  <c r="S44" i="7"/>
  <c r="T44" i="7" s="1"/>
  <c r="S51" i="7"/>
  <c r="T51" i="7" s="1"/>
  <c r="G55" i="7"/>
  <c r="G112" i="7"/>
  <c r="J135" i="7"/>
  <c r="I150" i="7"/>
  <c r="M150" i="7"/>
  <c r="Q150" i="7"/>
  <c r="S158" i="7"/>
  <c r="T158" i="7" s="1"/>
  <c r="L31" i="8"/>
  <c r="P31" i="8"/>
  <c r="S21" i="7"/>
  <c r="T21" i="7" s="1"/>
  <c r="S46" i="7"/>
  <c r="T46" i="7" s="1"/>
  <c r="Q11" i="7"/>
  <c r="Q10" i="7" s="1"/>
  <c r="G11" i="7"/>
  <c r="K11" i="7"/>
  <c r="O11" i="7"/>
  <c r="O10" i="7" s="1"/>
  <c r="J11" i="7"/>
  <c r="N11" i="7"/>
  <c r="N10" i="7" s="1"/>
  <c r="R11" i="7"/>
  <c r="R10" i="7" s="1"/>
  <c r="H11" i="7"/>
  <c r="S20" i="7"/>
  <c r="T20" i="7" s="1"/>
  <c r="S24" i="7"/>
  <c r="T24" i="7" s="1"/>
  <c r="S28" i="7"/>
  <c r="T28" i="7" s="1"/>
  <c r="S33" i="7"/>
  <c r="T33" i="7" s="1"/>
  <c r="S37" i="7"/>
  <c r="T37" i="7" s="1"/>
  <c r="S45" i="7"/>
  <c r="T45" i="7" s="1"/>
  <c r="S48" i="7"/>
  <c r="T48" i="7" s="1"/>
  <c r="S52" i="7"/>
  <c r="T52" i="7" s="1"/>
  <c r="S57" i="7"/>
  <c r="T57" i="7" s="1"/>
  <c r="S61" i="7"/>
  <c r="T61" i="7" s="1"/>
  <c r="S105" i="7"/>
  <c r="T105" i="7" s="1"/>
  <c r="I104" i="7"/>
  <c r="M104" i="7"/>
  <c r="Q104" i="7"/>
  <c r="S109" i="7"/>
  <c r="T109" i="7" s="1"/>
  <c r="S18" i="8"/>
  <c r="T18" i="8" s="1"/>
  <c r="S22" i="8"/>
  <c r="T22" i="8" s="1"/>
  <c r="S26" i="8"/>
  <c r="T26" i="8" s="1"/>
  <c r="J31" i="8"/>
  <c r="N31" i="8"/>
  <c r="R31" i="8"/>
  <c r="S35" i="8"/>
  <c r="T35" i="8" s="1"/>
  <c r="S39" i="8"/>
  <c r="T39" i="8" s="1"/>
  <c r="H42" i="8"/>
  <c r="L42" i="8"/>
  <c r="P42" i="8"/>
  <c r="S44" i="8"/>
  <c r="T44" i="8" s="1"/>
  <c r="S48" i="8"/>
  <c r="T48" i="8" s="1"/>
  <c r="S52" i="8"/>
  <c r="T52" i="8" s="1"/>
  <c r="S109" i="8"/>
  <c r="T109" i="8" s="1"/>
  <c r="S113" i="8"/>
  <c r="T113" i="8" s="1"/>
  <c r="I115" i="8"/>
  <c r="M115" i="8"/>
  <c r="Q115" i="8"/>
  <c r="S128" i="8"/>
  <c r="T128" i="8" s="1"/>
  <c r="J127" i="8"/>
  <c r="N127" i="8"/>
  <c r="R127" i="8"/>
  <c r="S134" i="8"/>
  <c r="T134" i="8" s="1"/>
  <c r="S140" i="8"/>
  <c r="T140" i="8" s="1"/>
  <c r="S146" i="8"/>
  <c r="T146" i="8" s="1"/>
  <c r="S155" i="8"/>
  <c r="T155" i="8" s="1"/>
  <c r="S156" i="8"/>
  <c r="T156" i="8" s="1"/>
  <c r="S139" i="7"/>
  <c r="T139" i="7" s="1"/>
  <c r="S143" i="7"/>
  <c r="T143" i="7" s="1"/>
  <c r="S151" i="7"/>
  <c r="T151" i="7" s="1"/>
  <c r="G11" i="8"/>
  <c r="G10" i="8" s="1"/>
  <c r="S16" i="8"/>
  <c r="T16" i="8" s="1"/>
  <c r="S20" i="8"/>
  <c r="T20" i="8" s="1"/>
  <c r="S24" i="8"/>
  <c r="T24" i="8" s="1"/>
  <c r="S28" i="8"/>
  <c r="T28" i="8" s="1"/>
  <c r="S33" i="8"/>
  <c r="T33" i="8" s="1"/>
  <c r="S37" i="8"/>
  <c r="T37" i="8" s="1"/>
  <c r="S41" i="8"/>
  <c r="T41" i="8" s="1"/>
  <c r="J42" i="8"/>
  <c r="N42" i="8"/>
  <c r="R42" i="8"/>
  <c r="S46" i="8"/>
  <c r="T46" i="8" s="1"/>
  <c r="S50" i="8"/>
  <c r="T50" i="8" s="1"/>
  <c r="S54" i="8"/>
  <c r="T54" i="8" s="1"/>
  <c r="I58" i="8"/>
  <c r="S66" i="8"/>
  <c r="T66" i="8" s="1"/>
  <c r="S121" i="8"/>
  <c r="T121" i="8" s="1"/>
  <c r="G127" i="8"/>
  <c r="S132" i="8"/>
  <c r="T132" i="8" s="1"/>
  <c r="S144" i="8"/>
  <c r="T144" i="8" s="1"/>
  <c r="S118" i="7"/>
  <c r="T118" i="7" s="1"/>
  <c r="S152" i="7"/>
  <c r="T152" i="7" s="1"/>
  <c r="S153" i="7"/>
  <c r="T153" i="7" s="1"/>
  <c r="S157" i="7"/>
  <c r="T157" i="7" s="1"/>
  <c r="S13" i="8"/>
  <c r="T13" i="8" s="1"/>
  <c r="K11" i="8"/>
  <c r="K10" i="8" s="1"/>
  <c r="O11" i="8"/>
  <c r="O10" i="8" s="1"/>
  <c r="S17" i="8"/>
  <c r="T17" i="8" s="1"/>
  <c r="S21" i="8"/>
  <c r="T21" i="8" s="1"/>
  <c r="S25" i="8"/>
  <c r="T25" i="8" s="1"/>
  <c r="I31" i="8"/>
  <c r="M31" i="8"/>
  <c r="Q31" i="8"/>
  <c r="S34" i="8"/>
  <c r="T34" i="8" s="1"/>
  <c r="S38" i="8"/>
  <c r="T38" i="8" s="1"/>
  <c r="G42" i="8"/>
  <c r="S43" i="8"/>
  <c r="T43" i="8" s="1"/>
  <c r="S47" i="8"/>
  <c r="T47" i="8" s="1"/>
  <c r="S51" i="8"/>
  <c r="T51" i="8" s="1"/>
  <c r="S59" i="8"/>
  <c r="T59" i="8" s="1"/>
  <c r="K58" i="8"/>
  <c r="O58" i="8"/>
  <c r="S111" i="8"/>
  <c r="T111" i="8" s="1"/>
  <c r="S119" i="8"/>
  <c r="T119" i="8" s="1"/>
  <c r="S130" i="8"/>
  <c r="T130" i="8" s="1"/>
  <c r="S136" i="8"/>
  <c r="T136" i="8" s="1"/>
  <c r="S142" i="8"/>
  <c r="T142" i="8" s="1"/>
  <c r="S148" i="8"/>
  <c r="T148" i="8" s="1"/>
  <c r="S149" i="8"/>
  <c r="T149" i="8" s="1"/>
  <c r="S153" i="8"/>
  <c r="T153" i="8" s="1"/>
  <c r="O152" i="8"/>
  <c r="G58" i="8"/>
  <c r="H58" i="8"/>
  <c r="L58" i="8"/>
  <c r="P58" i="8"/>
  <c r="S61" i="8"/>
  <c r="T61" i="8" s="1"/>
  <c r="S65" i="8"/>
  <c r="T65" i="8" s="1"/>
  <c r="J115" i="8"/>
  <c r="N115" i="8"/>
  <c r="R115" i="8"/>
  <c r="I138" i="8"/>
  <c r="M138" i="8"/>
  <c r="Q138" i="8"/>
  <c r="S12" i="8"/>
  <c r="T12" i="8" s="1"/>
  <c r="S32" i="8"/>
  <c r="T32" i="8" s="1"/>
  <c r="I107" i="8"/>
  <c r="M107" i="8"/>
  <c r="Q107" i="8"/>
  <c r="J138" i="8"/>
  <c r="N138" i="8"/>
  <c r="R138" i="8"/>
  <c r="S154" i="8"/>
  <c r="T154" i="8" s="1"/>
  <c r="S60" i="8"/>
  <c r="T60" i="8" s="1"/>
  <c r="S64" i="8"/>
  <c r="T64" i="8" s="1"/>
  <c r="J107" i="8"/>
  <c r="N107" i="8"/>
  <c r="R107" i="8"/>
  <c r="S108" i="8"/>
  <c r="T108" i="8" s="1"/>
  <c r="S110" i="8"/>
  <c r="T110" i="8" s="1"/>
  <c r="S112" i="8"/>
  <c r="T112" i="8" s="1"/>
  <c r="S114" i="8"/>
  <c r="T114" i="8" s="1"/>
  <c r="S116" i="8"/>
  <c r="T116" i="8" s="1"/>
  <c r="S118" i="8"/>
  <c r="T118" i="8" s="1"/>
  <c r="S120" i="8"/>
  <c r="T120" i="8" s="1"/>
  <c r="S122" i="8"/>
  <c r="T122" i="8" s="1"/>
  <c r="S124" i="8"/>
  <c r="T124" i="8" s="1"/>
  <c r="S129" i="8"/>
  <c r="T129" i="8" s="1"/>
  <c r="S131" i="8"/>
  <c r="T131" i="8" s="1"/>
  <c r="S133" i="8"/>
  <c r="T133" i="8" s="1"/>
  <c r="S135" i="8"/>
  <c r="T135" i="8" s="1"/>
  <c r="S137" i="8"/>
  <c r="T137" i="8" s="1"/>
  <c r="S139" i="8"/>
  <c r="T139" i="8" s="1"/>
  <c r="S141" i="8"/>
  <c r="T141" i="8" s="1"/>
  <c r="S143" i="8"/>
  <c r="T143" i="8" s="1"/>
  <c r="S145" i="8"/>
  <c r="T145" i="8" s="1"/>
  <c r="S147" i="8"/>
  <c r="T147" i="8" s="1"/>
  <c r="S16" i="7"/>
  <c r="T16" i="7" s="1"/>
  <c r="S17" i="7"/>
  <c r="T17" i="7" s="1"/>
  <c r="S13" i="7"/>
  <c r="T13" i="7" s="1"/>
  <c r="S56" i="7"/>
  <c r="T56" i="7" s="1"/>
  <c r="S63" i="7"/>
  <c r="T63" i="7" s="1"/>
  <c r="S32" i="7"/>
  <c r="T32" i="7" s="1"/>
  <c r="S107" i="7"/>
  <c r="T107" i="7" s="1"/>
  <c r="S111" i="7"/>
  <c r="T111" i="7" s="1"/>
  <c r="S115" i="7"/>
  <c r="T115" i="7" s="1"/>
  <c r="S119" i="7"/>
  <c r="T119" i="7" s="1"/>
  <c r="S128" i="7"/>
  <c r="T128" i="7" s="1"/>
  <c r="S132" i="7"/>
  <c r="T132" i="7" s="1"/>
  <c r="S136" i="7"/>
  <c r="T136" i="7" s="1"/>
  <c r="S140" i="7"/>
  <c r="T140" i="7" s="1"/>
  <c r="S144" i="7"/>
  <c r="T144" i="7" s="1"/>
  <c r="S156" i="7"/>
  <c r="T156" i="7" s="1"/>
  <c r="S12" i="7"/>
  <c r="T12" i="7" s="1"/>
  <c r="S108" i="7"/>
  <c r="T108" i="7" s="1"/>
  <c r="S116" i="7"/>
  <c r="T116" i="7" s="1"/>
  <c r="S120" i="7"/>
  <c r="T120" i="7" s="1"/>
  <c r="S125" i="7"/>
  <c r="T125" i="7" s="1"/>
  <c r="S129" i="7"/>
  <c r="T129" i="7" s="1"/>
  <c r="S133" i="7"/>
  <c r="T133" i="7" s="1"/>
  <c r="S137" i="7"/>
  <c r="T137" i="7" s="1"/>
  <c r="S141" i="7"/>
  <c r="T141" i="7" s="1"/>
  <c r="S145" i="7"/>
  <c r="T145" i="7" s="1"/>
  <c r="N106" i="8" l="1"/>
  <c r="N150" i="8" s="1"/>
  <c r="N125" i="8"/>
  <c r="N126" i="8" s="1"/>
  <c r="M125" i="8"/>
  <c r="M126" i="8" s="1"/>
  <c r="P125" i="8"/>
  <c r="P126" i="8" s="1"/>
  <c r="P10" i="7"/>
  <c r="I125" i="8"/>
  <c r="O103" i="7"/>
  <c r="M10" i="7"/>
  <c r="J29" i="8"/>
  <c r="J30" i="8" s="1"/>
  <c r="N29" i="8"/>
  <c r="N30" i="8" s="1"/>
  <c r="Q29" i="8"/>
  <c r="Q30" i="8" s="1"/>
  <c r="S127" i="8"/>
  <c r="T127" i="8" s="1"/>
  <c r="S55" i="7"/>
  <c r="T55" i="7" s="1"/>
  <c r="S112" i="7"/>
  <c r="T112" i="7" s="1"/>
  <c r="I122" i="7"/>
  <c r="I123" i="7" s="1"/>
  <c r="L10" i="7"/>
  <c r="M29" i="8"/>
  <c r="M55" i="8" s="1"/>
  <c r="M56" i="8" s="1"/>
  <c r="M57" i="8" s="1"/>
  <c r="Q103" i="7"/>
  <c r="Q122" i="7"/>
  <c r="Q123" i="7" s="1"/>
  <c r="K10" i="7"/>
  <c r="P103" i="7"/>
  <c r="J10" i="7"/>
  <c r="T31" i="7"/>
  <c r="M122" i="7"/>
  <c r="M123" i="7" s="1"/>
  <c r="K106" i="8"/>
  <c r="J106" i="8"/>
  <c r="M106" i="8"/>
  <c r="M150" i="8" s="1"/>
  <c r="G125" i="8"/>
  <c r="G126" i="8" s="1"/>
  <c r="P122" i="7"/>
  <c r="P123" i="7" s="1"/>
  <c r="N103" i="7"/>
  <c r="L122" i="7"/>
  <c r="L123" i="7" s="1"/>
  <c r="K103" i="7"/>
  <c r="K29" i="8"/>
  <c r="K30" i="8" s="1"/>
  <c r="S124" i="7"/>
  <c r="T124" i="7" s="1"/>
  <c r="L103" i="7"/>
  <c r="P106" i="8"/>
  <c r="P150" i="8" s="1"/>
  <c r="L125" i="8"/>
  <c r="L126" i="8" s="1"/>
  <c r="S135" i="7"/>
  <c r="T135" i="7" s="1"/>
  <c r="S11" i="7"/>
  <c r="T11" i="7" s="1"/>
  <c r="M103" i="7"/>
  <c r="S41" i="7"/>
  <c r="T41" i="7" s="1"/>
  <c r="S104" i="7"/>
  <c r="T104" i="7" s="1"/>
  <c r="R106" i="8"/>
  <c r="J125" i="8"/>
  <c r="J126" i="8" s="1"/>
  <c r="S152" i="8"/>
  <c r="T152" i="8" s="1"/>
  <c r="O29" i="8"/>
  <c r="O30" i="8" s="1"/>
  <c r="K122" i="7"/>
  <c r="K123" i="7" s="1"/>
  <c r="H125" i="8"/>
  <c r="H126" i="8" s="1"/>
  <c r="Q125" i="8"/>
  <c r="Q126" i="8" s="1"/>
  <c r="I103" i="7"/>
  <c r="J122" i="7"/>
  <c r="J123" i="7" s="1"/>
  <c r="G122" i="7"/>
  <c r="G123" i="7" s="1"/>
  <c r="J103" i="7"/>
  <c r="H103" i="7"/>
  <c r="I106" i="8"/>
  <c r="H106" i="8"/>
  <c r="H10" i="7"/>
  <c r="R29" i="8"/>
  <c r="R30" i="8" s="1"/>
  <c r="S115" i="8"/>
  <c r="T115" i="8" s="1"/>
  <c r="S42" i="8"/>
  <c r="T42" i="8" s="1"/>
  <c r="S31" i="8"/>
  <c r="T31" i="8" s="1"/>
  <c r="O55" i="8"/>
  <c r="O56" i="8" s="1"/>
  <c r="K125" i="8"/>
  <c r="K126" i="8" s="1"/>
  <c r="O106" i="8"/>
  <c r="H29" i="8"/>
  <c r="H30" i="8" s="1"/>
  <c r="O125" i="8"/>
  <c r="O126" i="8" s="1"/>
  <c r="G106" i="8"/>
  <c r="I29" i="8"/>
  <c r="I30" i="8" s="1"/>
  <c r="S150" i="7"/>
  <c r="T150" i="7" s="1"/>
  <c r="O122" i="7"/>
  <c r="O123" i="7" s="1"/>
  <c r="H122" i="7"/>
  <c r="H123" i="7" s="1"/>
  <c r="R122" i="7"/>
  <c r="R123" i="7" s="1"/>
  <c r="N122" i="7"/>
  <c r="N123" i="7" s="1"/>
  <c r="R103" i="7"/>
  <c r="L106" i="8"/>
  <c r="S138" i="8"/>
  <c r="T138" i="8" s="1"/>
  <c r="R125" i="8"/>
  <c r="R126" i="8" s="1"/>
  <c r="Q106" i="8"/>
  <c r="S11" i="8"/>
  <c r="T11" i="8" s="1"/>
  <c r="G29" i="8"/>
  <c r="P29" i="8"/>
  <c r="G103" i="7"/>
  <c r="L29" i="8"/>
  <c r="G10" i="7"/>
  <c r="E5" i="7" s="1"/>
  <c r="I126" i="8"/>
  <c r="S58" i="8"/>
  <c r="T58" i="8" s="1"/>
  <c r="S160" i="8"/>
  <c r="T160" i="8" s="1"/>
  <c r="S10" i="8"/>
  <c r="T10" i="8" s="1"/>
  <c r="S159" i="8"/>
  <c r="T159" i="8" s="1"/>
  <c r="S161" i="8"/>
  <c r="T161" i="8" s="1"/>
  <c r="S107" i="8"/>
  <c r="T107" i="8" s="1"/>
  <c r="R53" i="7"/>
  <c r="N55" i="8" l="1"/>
  <c r="N56" i="8" s="1"/>
  <c r="N62" i="8" s="1"/>
  <c r="N67" i="8" s="1"/>
  <c r="N63" i="8" s="1"/>
  <c r="R54" i="7"/>
  <c r="I150" i="8"/>
  <c r="Q55" i="8"/>
  <c r="Q56" i="8" s="1"/>
  <c r="Q62" i="8" s="1"/>
  <c r="Q67" i="8" s="1"/>
  <c r="Q63" i="8" s="1"/>
  <c r="M30" i="8"/>
  <c r="J55" i="8"/>
  <c r="J56" i="8" s="1"/>
  <c r="J57" i="8" s="1"/>
  <c r="I148" i="7"/>
  <c r="M148" i="7"/>
  <c r="M154" i="7" s="1"/>
  <c r="M159" i="7" s="1"/>
  <c r="M155" i="7" s="1"/>
  <c r="Q148" i="7"/>
  <c r="Q149" i="7" s="1"/>
  <c r="L53" i="7"/>
  <c r="P148" i="7"/>
  <c r="P154" i="7" s="1"/>
  <c r="P159" i="7" s="1"/>
  <c r="P155" i="7" s="1"/>
  <c r="P53" i="7"/>
  <c r="O53" i="7"/>
  <c r="K53" i="7"/>
  <c r="K54" i="7" s="1"/>
  <c r="N53" i="7"/>
  <c r="L148" i="7"/>
  <c r="L149" i="7" s="1"/>
  <c r="H150" i="8"/>
  <c r="H151" i="8" s="1"/>
  <c r="J148" i="7"/>
  <c r="J154" i="7" s="1"/>
  <c r="J159" i="7" s="1"/>
  <c r="J155" i="7" s="1"/>
  <c r="R150" i="8"/>
  <c r="R151" i="8" s="1"/>
  <c r="J150" i="8"/>
  <c r="J151" i="8" s="1"/>
  <c r="I53" i="7"/>
  <c r="M53" i="7"/>
  <c r="H55" i="8"/>
  <c r="H56" i="8" s="1"/>
  <c r="G150" i="8"/>
  <c r="G151" i="8" s="1"/>
  <c r="L150" i="8"/>
  <c r="L151" i="8" s="1"/>
  <c r="Q53" i="7"/>
  <c r="R55" i="8"/>
  <c r="R56" i="8" s="1"/>
  <c r="R57" i="8" s="1"/>
  <c r="K55" i="8"/>
  <c r="K56" i="8" s="1"/>
  <c r="K57" i="8" s="1"/>
  <c r="H53" i="7"/>
  <c r="K148" i="7"/>
  <c r="K149" i="7" s="1"/>
  <c r="O148" i="7"/>
  <c r="O149" i="7" s="1"/>
  <c r="Q150" i="8"/>
  <c r="Q157" i="8" s="1"/>
  <c r="Q162" i="8" s="1"/>
  <c r="Q158" i="8" s="1"/>
  <c r="G53" i="7"/>
  <c r="M62" i="8"/>
  <c r="M67" i="8" s="1"/>
  <c r="M63" i="8" s="1"/>
  <c r="S126" i="8"/>
  <c r="T126" i="8" s="1"/>
  <c r="O150" i="8"/>
  <c r="O151" i="8" s="1"/>
  <c r="S29" i="8"/>
  <c r="T29" i="8" s="1"/>
  <c r="G55" i="8"/>
  <c r="G56" i="8" s="1"/>
  <c r="G30" i="8"/>
  <c r="I55" i="8"/>
  <c r="I56" i="8" s="1"/>
  <c r="S123" i="7"/>
  <c r="T123" i="7" s="1"/>
  <c r="S106" i="8"/>
  <c r="T106" i="8" s="1"/>
  <c r="K150" i="8"/>
  <c r="O62" i="8"/>
  <c r="O67" i="8" s="1"/>
  <c r="O63" i="8" s="1"/>
  <c r="O57" i="8"/>
  <c r="S125" i="8"/>
  <c r="T125" i="8" s="1"/>
  <c r="S122" i="7"/>
  <c r="T122" i="7" s="1"/>
  <c r="R148" i="7"/>
  <c r="N148" i="7"/>
  <c r="H148" i="7"/>
  <c r="L157" i="8"/>
  <c r="L162" i="8" s="1"/>
  <c r="L158" i="8" s="1"/>
  <c r="H157" i="8"/>
  <c r="H162" i="8" s="1"/>
  <c r="H158" i="8" s="1"/>
  <c r="S10" i="7"/>
  <c r="T10" i="7" s="1"/>
  <c r="L30" i="8"/>
  <c r="L55" i="8"/>
  <c r="L56" i="8" s="1"/>
  <c r="P157" i="8"/>
  <c r="P162" i="8" s="1"/>
  <c r="P158" i="8" s="1"/>
  <c r="P151" i="8"/>
  <c r="I149" i="7"/>
  <c r="I154" i="7"/>
  <c r="I159" i="7" s="1"/>
  <c r="I155" i="7" s="1"/>
  <c r="S29" i="7"/>
  <c r="T29" i="7" s="1"/>
  <c r="J53" i="7"/>
  <c r="J54" i="7" s="1"/>
  <c r="G148" i="7"/>
  <c r="S103" i="7"/>
  <c r="T103" i="7" s="1"/>
  <c r="P30" i="8"/>
  <c r="P55" i="8"/>
  <c r="P56" i="8" s="1"/>
  <c r="M151" i="8"/>
  <c r="M157" i="8"/>
  <c r="M162" i="8" s="1"/>
  <c r="M158" i="8" s="1"/>
  <c r="N151" i="8"/>
  <c r="N157" i="8"/>
  <c r="N162" i="8" s="1"/>
  <c r="N158" i="8" s="1"/>
  <c r="I151" i="8"/>
  <c r="I157" i="8"/>
  <c r="R59" i="7"/>
  <c r="S53" i="7" l="1"/>
  <c r="R62" i="8"/>
  <c r="R67" i="8" s="1"/>
  <c r="R63" i="8" s="1"/>
  <c r="N57" i="8"/>
  <c r="R64" i="7"/>
  <c r="M149" i="7"/>
  <c r="G157" i="8"/>
  <c r="G162" i="8" s="1"/>
  <c r="G158" i="8" s="1"/>
  <c r="Q54" i="7"/>
  <c r="Q57" i="8"/>
  <c r="P54" i="7"/>
  <c r="O54" i="7"/>
  <c r="K62" i="8"/>
  <c r="K67" i="8" s="1"/>
  <c r="K63" i="8" s="1"/>
  <c r="J62" i="8"/>
  <c r="J67" i="8" s="1"/>
  <c r="J63" i="8" s="1"/>
  <c r="N54" i="7"/>
  <c r="J157" i="8"/>
  <c r="J162" i="8" s="1"/>
  <c r="J158" i="8" s="1"/>
  <c r="M54" i="7"/>
  <c r="R157" i="8"/>
  <c r="R162" i="8" s="1"/>
  <c r="R158" i="8" s="1"/>
  <c r="Q154" i="7"/>
  <c r="Q159" i="7" s="1"/>
  <c r="Q155" i="7" s="1"/>
  <c r="J149" i="7"/>
  <c r="L54" i="7"/>
  <c r="H59" i="7"/>
  <c r="H64" i="7" s="1"/>
  <c r="H54" i="7"/>
  <c r="I59" i="7"/>
  <c r="I64" i="7" s="1"/>
  <c r="I60" i="7" s="1"/>
  <c r="I54" i="7"/>
  <c r="G59" i="7"/>
  <c r="G54" i="7"/>
  <c r="O154" i="7"/>
  <c r="O159" i="7" s="1"/>
  <c r="O155" i="7" s="1"/>
  <c r="P149" i="7"/>
  <c r="O59" i="7"/>
  <c r="L59" i="7"/>
  <c r="L64" i="7" s="1"/>
  <c r="N59" i="7"/>
  <c r="P59" i="7"/>
  <c r="S30" i="7"/>
  <c r="T30" i="7" s="1"/>
  <c r="L154" i="7"/>
  <c r="L159" i="7" s="1"/>
  <c r="L155" i="7" s="1"/>
  <c r="M59" i="7"/>
  <c r="O157" i="8"/>
  <c r="O162" i="8" s="1"/>
  <c r="O158" i="8" s="1"/>
  <c r="K59" i="7"/>
  <c r="Q151" i="8"/>
  <c r="S30" i="8"/>
  <c r="T30" i="8" s="1"/>
  <c r="H62" i="8"/>
  <c r="H67" i="8" s="1"/>
  <c r="H63" i="8" s="1"/>
  <c r="H57" i="8"/>
  <c r="Q59" i="7"/>
  <c r="K154" i="7"/>
  <c r="K159" i="7" s="1"/>
  <c r="K155" i="7" s="1"/>
  <c r="S150" i="8"/>
  <c r="T150" i="8" s="1"/>
  <c r="I62" i="8"/>
  <c r="I67" i="8" s="1"/>
  <c r="I63" i="8" s="1"/>
  <c r="I57" i="8"/>
  <c r="K157" i="8"/>
  <c r="K162" i="8" s="1"/>
  <c r="K158" i="8" s="1"/>
  <c r="K151" i="8"/>
  <c r="H154" i="7"/>
  <c r="H159" i="7" s="1"/>
  <c r="H155" i="7" s="1"/>
  <c r="H149" i="7"/>
  <c r="N154" i="7"/>
  <c r="N159" i="7" s="1"/>
  <c r="N155" i="7" s="1"/>
  <c r="N149" i="7"/>
  <c r="R149" i="7"/>
  <c r="R154" i="7"/>
  <c r="R159" i="7" s="1"/>
  <c r="R155" i="7" s="1"/>
  <c r="J59" i="7"/>
  <c r="L57" i="8"/>
  <c r="L62" i="8"/>
  <c r="L67" i="8" s="1"/>
  <c r="L63" i="8" s="1"/>
  <c r="T53" i="7"/>
  <c r="P62" i="8"/>
  <c r="P67" i="8" s="1"/>
  <c r="P63" i="8" s="1"/>
  <c r="P57" i="8"/>
  <c r="G149" i="7"/>
  <c r="G154" i="7"/>
  <c r="S148" i="7"/>
  <c r="T148" i="7" s="1"/>
  <c r="S55" i="8"/>
  <c r="T55" i="8" s="1"/>
  <c r="G57" i="8"/>
  <c r="S56" i="8"/>
  <c r="T56" i="8" s="1"/>
  <c r="G62" i="8"/>
  <c r="I162" i="8"/>
  <c r="R60" i="7" l="1"/>
  <c r="Q64" i="7"/>
  <c r="P64" i="7"/>
  <c r="O64" i="7"/>
  <c r="N64" i="7"/>
  <c r="G64" i="7"/>
  <c r="S151" i="8"/>
  <c r="T151" i="8" s="1"/>
  <c r="M64" i="7"/>
  <c r="L60" i="7"/>
  <c r="K64" i="7"/>
  <c r="J64" i="7"/>
  <c r="S54" i="7"/>
  <c r="T54" i="7" s="1"/>
  <c r="H60" i="7"/>
  <c r="S157" i="8"/>
  <c r="T157" i="8" s="1"/>
  <c r="S149" i="7"/>
  <c r="T149" i="7" s="1"/>
  <c r="S59" i="7"/>
  <c r="T59" i="7" s="1"/>
  <c r="S57" i="8"/>
  <c r="T57" i="8" s="1"/>
  <c r="S154" i="7"/>
  <c r="T154" i="7" s="1"/>
  <c r="G159" i="7"/>
  <c r="I158" i="8"/>
  <c r="S158" i="8" s="1"/>
  <c r="T158" i="8" s="1"/>
  <c r="S162" i="8"/>
  <c r="T162" i="8" s="1"/>
  <c r="G67" i="8"/>
  <c r="S62" i="8"/>
  <c r="T62" i="8" s="1"/>
  <c r="Q60" i="7" l="1"/>
  <c r="P60" i="7"/>
  <c r="G60" i="7"/>
  <c r="O60" i="7"/>
  <c r="N60" i="7"/>
  <c r="M60" i="7"/>
  <c r="K60" i="7"/>
  <c r="S64" i="7"/>
  <c r="T64" i="7" s="1"/>
  <c r="J60" i="7"/>
  <c r="S159" i="7"/>
  <c r="T159" i="7" s="1"/>
  <c r="G155" i="7"/>
  <c r="S155" i="7" s="1"/>
  <c r="T155" i="7" s="1"/>
  <c r="S67" i="8"/>
  <c r="T67" i="8" s="1"/>
  <c r="G63" i="8"/>
  <c r="S63" i="8" s="1"/>
  <c r="T63" i="8" s="1"/>
  <c r="S60" i="7" l="1"/>
  <c r="T60" i="7" s="1"/>
  <c r="N6" i="3"/>
  <c r="G12" i="10"/>
  <c r="H154" i="6"/>
  <c r="I154" i="6"/>
  <c r="J154" i="6"/>
  <c r="K154" i="6"/>
  <c r="L154" i="6"/>
  <c r="M154" i="6"/>
  <c r="N154" i="6"/>
  <c r="O154" i="6"/>
  <c r="P154" i="6"/>
  <c r="Q154" i="6"/>
  <c r="R154" i="6"/>
  <c r="H155" i="6"/>
  <c r="I155" i="6"/>
  <c r="J155" i="6"/>
  <c r="K155" i="6"/>
  <c r="L155" i="6"/>
  <c r="M155" i="6"/>
  <c r="N155" i="6"/>
  <c r="O155" i="6"/>
  <c r="P155" i="6"/>
  <c r="Q155" i="6"/>
  <c r="R155" i="6"/>
  <c r="H156" i="6"/>
  <c r="I156" i="6"/>
  <c r="J156" i="6"/>
  <c r="K156" i="6"/>
  <c r="L156" i="6"/>
  <c r="M156" i="6"/>
  <c r="N156" i="6"/>
  <c r="O156" i="6"/>
  <c r="P156" i="6"/>
  <c r="Q156" i="6"/>
  <c r="R156" i="6"/>
  <c r="H149" i="6"/>
  <c r="I149" i="6"/>
  <c r="J149" i="6"/>
  <c r="K149" i="6"/>
  <c r="L149" i="6"/>
  <c r="M149" i="6"/>
  <c r="N149" i="6"/>
  <c r="O149" i="6"/>
  <c r="P149" i="6"/>
  <c r="Q149" i="6"/>
  <c r="R149" i="6"/>
  <c r="H150" i="6"/>
  <c r="I150" i="6"/>
  <c r="J150" i="6"/>
  <c r="K150" i="6"/>
  <c r="L150" i="6"/>
  <c r="M150" i="6"/>
  <c r="N150" i="6"/>
  <c r="O150" i="6"/>
  <c r="P150" i="6"/>
  <c r="Q150" i="6"/>
  <c r="R150" i="6"/>
  <c r="H141" i="6"/>
  <c r="I141" i="6"/>
  <c r="J141" i="6"/>
  <c r="K141" i="6"/>
  <c r="L141" i="6"/>
  <c r="M141" i="6"/>
  <c r="N141" i="6"/>
  <c r="O141" i="6"/>
  <c r="P141" i="6"/>
  <c r="Q141" i="6"/>
  <c r="R141" i="6"/>
  <c r="H142" i="6"/>
  <c r="I142" i="6"/>
  <c r="J142" i="6"/>
  <c r="K142" i="6"/>
  <c r="L142" i="6"/>
  <c r="M142" i="6"/>
  <c r="N142" i="6"/>
  <c r="O142" i="6"/>
  <c r="P142" i="6"/>
  <c r="Q142" i="6"/>
  <c r="R142" i="6"/>
  <c r="H143" i="6"/>
  <c r="I143" i="6"/>
  <c r="J143" i="6"/>
  <c r="K143" i="6"/>
  <c r="L143" i="6"/>
  <c r="M143" i="6"/>
  <c r="N143" i="6"/>
  <c r="O143" i="6"/>
  <c r="P143" i="6"/>
  <c r="Q143" i="6"/>
  <c r="R143" i="6"/>
  <c r="H144" i="6"/>
  <c r="I144" i="6"/>
  <c r="J144" i="6"/>
  <c r="K144" i="6"/>
  <c r="L144" i="6"/>
  <c r="M144" i="6"/>
  <c r="N144" i="6"/>
  <c r="O144" i="6"/>
  <c r="P144" i="6"/>
  <c r="Q144" i="6"/>
  <c r="R144" i="6"/>
  <c r="H145" i="6"/>
  <c r="I145" i="6"/>
  <c r="J145" i="6"/>
  <c r="K145" i="6"/>
  <c r="L145" i="6"/>
  <c r="M145" i="6"/>
  <c r="N145" i="6"/>
  <c r="O145" i="6"/>
  <c r="P145" i="6"/>
  <c r="Q145" i="6"/>
  <c r="R145" i="6"/>
  <c r="H139" i="6"/>
  <c r="I139" i="6"/>
  <c r="J139" i="6"/>
  <c r="K139" i="6"/>
  <c r="L139" i="6"/>
  <c r="M139" i="6"/>
  <c r="N139" i="6"/>
  <c r="O139" i="6"/>
  <c r="P139" i="6"/>
  <c r="Q139" i="6"/>
  <c r="R139" i="6"/>
  <c r="H140" i="6"/>
  <c r="I140" i="6"/>
  <c r="J140" i="6"/>
  <c r="K140" i="6"/>
  <c r="L140" i="6"/>
  <c r="H134" i="6"/>
  <c r="I134" i="6"/>
  <c r="J134" i="6"/>
  <c r="K134" i="6"/>
  <c r="L134" i="6"/>
  <c r="M134" i="6"/>
  <c r="N134" i="6"/>
  <c r="O134" i="6"/>
  <c r="P134" i="6"/>
  <c r="Q134" i="6"/>
  <c r="R134" i="6"/>
  <c r="H135" i="6"/>
  <c r="I135" i="6"/>
  <c r="J135" i="6"/>
  <c r="K135" i="6"/>
  <c r="L135" i="6"/>
  <c r="M135" i="6"/>
  <c r="N135" i="6"/>
  <c r="O135" i="6"/>
  <c r="P135" i="6"/>
  <c r="Q135" i="6"/>
  <c r="R135" i="6"/>
  <c r="H136" i="6"/>
  <c r="I136" i="6"/>
  <c r="J136" i="6"/>
  <c r="K136" i="6"/>
  <c r="L136" i="6"/>
  <c r="M136" i="6"/>
  <c r="N136" i="6"/>
  <c r="O136" i="6"/>
  <c r="P136" i="6"/>
  <c r="Q136" i="6"/>
  <c r="R136" i="6"/>
  <c r="H137" i="6"/>
  <c r="I137" i="6"/>
  <c r="J137" i="6"/>
  <c r="K137" i="6"/>
  <c r="L137" i="6"/>
  <c r="M137" i="6"/>
  <c r="N137" i="6"/>
  <c r="O137" i="6"/>
  <c r="P137" i="6"/>
  <c r="Q137" i="6"/>
  <c r="R137" i="6"/>
  <c r="H138" i="6"/>
  <c r="I138" i="6"/>
  <c r="J138" i="6"/>
  <c r="K138" i="6"/>
  <c r="L138" i="6"/>
  <c r="M138" i="6"/>
  <c r="N138" i="6"/>
  <c r="O138" i="6"/>
  <c r="P138" i="6"/>
  <c r="Q138" i="6"/>
  <c r="R138" i="6"/>
  <c r="H124" i="6"/>
  <c r="I124" i="6"/>
  <c r="J124" i="6"/>
  <c r="K124" i="6"/>
  <c r="L124" i="6"/>
  <c r="M124" i="6"/>
  <c r="N124" i="6"/>
  <c r="O124" i="6"/>
  <c r="P124" i="6"/>
  <c r="Q124" i="6"/>
  <c r="R124" i="6"/>
  <c r="H125" i="6"/>
  <c r="I125" i="6"/>
  <c r="J125" i="6"/>
  <c r="K125" i="6"/>
  <c r="L125" i="6"/>
  <c r="M125" i="6"/>
  <c r="N125" i="6"/>
  <c r="O125" i="6"/>
  <c r="P125" i="6"/>
  <c r="Q125" i="6"/>
  <c r="R125" i="6"/>
  <c r="H126" i="6"/>
  <c r="I126" i="6"/>
  <c r="J126" i="6"/>
  <c r="K126" i="6"/>
  <c r="L126" i="6"/>
  <c r="M126" i="6"/>
  <c r="N126" i="6"/>
  <c r="O126" i="6"/>
  <c r="P126" i="6"/>
  <c r="Q126" i="6"/>
  <c r="R126" i="6"/>
  <c r="H127" i="6"/>
  <c r="I127" i="6"/>
  <c r="J127" i="6"/>
  <c r="K127" i="6"/>
  <c r="L127" i="6"/>
  <c r="M127" i="6"/>
  <c r="N127" i="6"/>
  <c r="O127" i="6"/>
  <c r="P127" i="6"/>
  <c r="Q127" i="6"/>
  <c r="R127" i="6"/>
  <c r="H128" i="6"/>
  <c r="I128" i="6"/>
  <c r="J128" i="6"/>
  <c r="K128" i="6"/>
  <c r="L128" i="6"/>
  <c r="M128" i="6"/>
  <c r="N128" i="6"/>
  <c r="O128" i="6"/>
  <c r="P128" i="6"/>
  <c r="Q128" i="6"/>
  <c r="R128" i="6"/>
  <c r="H129" i="6"/>
  <c r="I129" i="6"/>
  <c r="J129" i="6"/>
  <c r="K129" i="6"/>
  <c r="L129" i="6"/>
  <c r="M129" i="6"/>
  <c r="N129" i="6"/>
  <c r="O129" i="6"/>
  <c r="P129" i="6"/>
  <c r="Q129" i="6"/>
  <c r="R129" i="6"/>
  <c r="H130" i="6"/>
  <c r="I130" i="6"/>
  <c r="J130" i="6"/>
  <c r="K130" i="6"/>
  <c r="L130" i="6"/>
  <c r="M130" i="6"/>
  <c r="N130" i="6"/>
  <c r="O130" i="6"/>
  <c r="P130" i="6"/>
  <c r="Q130" i="6"/>
  <c r="R130" i="6"/>
  <c r="H131" i="6"/>
  <c r="I131" i="6"/>
  <c r="J131" i="6"/>
  <c r="K131" i="6"/>
  <c r="L131" i="6"/>
  <c r="M131" i="6"/>
  <c r="N131" i="6"/>
  <c r="O131" i="6"/>
  <c r="P131" i="6"/>
  <c r="Q131" i="6"/>
  <c r="R131" i="6"/>
  <c r="H132" i="6"/>
  <c r="I132" i="6"/>
  <c r="J132" i="6"/>
  <c r="K132" i="6"/>
  <c r="L132" i="6"/>
  <c r="M132" i="6"/>
  <c r="N132" i="6"/>
  <c r="O132" i="6"/>
  <c r="P132" i="6"/>
  <c r="Q132" i="6"/>
  <c r="R132" i="6"/>
  <c r="G156" i="6"/>
  <c r="G155" i="6"/>
  <c r="G154" i="6"/>
  <c r="G151" i="6"/>
  <c r="G150" i="6"/>
  <c r="G149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2" i="6"/>
  <c r="G131" i="6"/>
  <c r="G130" i="6"/>
  <c r="G129" i="6"/>
  <c r="G128" i="6"/>
  <c r="G127" i="6"/>
  <c r="G126" i="6"/>
  <c r="G125" i="6"/>
  <c r="G124" i="6"/>
  <c r="R117" i="6"/>
  <c r="R118" i="6"/>
  <c r="R119" i="6"/>
  <c r="R120" i="6"/>
  <c r="R121" i="6"/>
  <c r="H117" i="6"/>
  <c r="I117" i="6"/>
  <c r="J117" i="6"/>
  <c r="K117" i="6"/>
  <c r="L117" i="6"/>
  <c r="M117" i="6"/>
  <c r="N117" i="6"/>
  <c r="O117" i="6"/>
  <c r="P117" i="6"/>
  <c r="Q117" i="6"/>
  <c r="H118" i="6"/>
  <c r="I118" i="6"/>
  <c r="J118" i="6"/>
  <c r="K118" i="6"/>
  <c r="L118" i="6"/>
  <c r="M118" i="6"/>
  <c r="N118" i="6"/>
  <c r="O118" i="6"/>
  <c r="P118" i="6"/>
  <c r="Q118" i="6"/>
  <c r="H119" i="6"/>
  <c r="I119" i="6"/>
  <c r="J119" i="6"/>
  <c r="K119" i="6"/>
  <c r="L119" i="6"/>
  <c r="M119" i="6"/>
  <c r="N119" i="6"/>
  <c r="O119" i="6"/>
  <c r="P119" i="6"/>
  <c r="Q119" i="6"/>
  <c r="H120" i="6"/>
  <c r="I120" i="6"/>
  <c r="J120" i="6"/>
  <c r="K120" i="6"/>
  <c r="L120" i="6"/>
  <c r="M120" i="6"/>
  <c r="N120" i="6"/>
  <c r="O120" i="6"/>
  <c r="P120" i="6"/>
  <c r="Q120" i="6"/>
  <c r="H121" i="6"/>
  <c r="I121" i="6"/>
  <c r="J121" i="6"/>
  <c r="K121" i="6"/>
  <c r="L121" i="6"/>
  <c r="M121" i="6"/>
  <c r="N121" i="6"/>
  <c r="O121" i="6"/>
  <c r="P121" i="6"/>
  <c r="Q121" i="6"/>
  <c r="H113" i="6"/>
  <c r="I113" i="6"/>
  <c r="J113" i="6"/>
  <c r="K113" i="6"/>
  <c r="L113" i="6"/>
  <c r="M113" i="6"/>
  <c r="N113" i="6"/>
  <c r="O113" i="6"/>
  <c r="P113" i="6"/>
  <c r="Q113" i="6"/>
  <c r="R113" i="6"/>
  <c r="H114" i="6"/>
  <c r="I114" i="6"/>
  <c r="J114" i="6"/>
  <c r="K114" i="6"/>
  <c r="L114" i="6"/>
  <c r="M114" i="6"/>
  <c r="N114" i="6"/>
  <c r="O114" i="6"/>
  <c r="P114" i="6"/>
  <c r="Q114" i="6"/>
  <c r="R114" i="6"/>
  <c r="H115" i="6"/>
  <c r="I115" i="6"/>
  <c r="J115" i="6"/>
  <c r="K115" i="6"/>
  <c r="L115" i="6"/>
  <c r="M115" i="6"/>
  <c r="N115" i="6"/>
  <c r="O115" i="6"/>
  <c r="P115" i="6"/>
  <c r="Q115" i="6"/>
  <c r="R115" i="6"/>
  <c r="H116" i="6"/>
  <c r="I116" i="6"/>
  <c r="J116" i="6"/>
  <c r="K116" i="6"/>
  <c r="L116" i="6"/>
  <c r="M116" i="6"/>
  <c r="N116" i="6"/>
  <c r="O116" i="6"/>
  <c r="P116" i="6"/>
  <c r="Q116" i="6"/>
  <c r="R116" i="6"/>
  <c r="H105" i="6"/>
  <c r="I105" i="6"/>
  <c r="J105" i="6"/>
  <c r="K105" i="6"/>
  <c r="L105" i="6"/>
  <c r="M105" i="6"/>
  <c r="N105" i="6"/>
  <c r="O105" i="6"/>
  <c r="P105" i="6"/>
  <c r="Q105" i="6"/>
  <c r="R105" i="6"/>
  <c r="H106" i="6"/>
  <c r="I106" i="6"/>
  <c r="J106" i="6"/>
  <c r="K106" i="6"/>
  <c r="L106" i="6"/>
  <c r="M106" i="6"/>
  <c r="N106" i="6"/>
  <c r="O106" i="6"/>
  <c r="P106" i="6"/>
  <c r="Q106" i="6"/>
  <c r="R106" i="6"/>
  <c r="H107" i="6"/>
  <c r="I107" i="6"/>
  <c r="J107" i="6"/>
  <c r="K107" i="6"/>
  <c r="L107" i="6"/>
  <c r="M107" i="6"/>
  <c r="N107" i="6"/>
  <c r="O107" i="6"/>
  <c r="P107" i="6"/>
  <c r="Q107" i="6"/>
  <c r="R107" i="6"/>
  <c r="H108" i="6"/>
  <c r="I108" i="6"/>
  <c r="J108" i="6"/>
  <c r="K108" i="6"/>
  <c r="L108" i="6"/>
  <c r="M108" i="6"/>
  <c r="N108" i="6"/>
  <c r="O108" i="6"/>
  <c r="P108" i="6"/>
  <c r="Q108" i="6"/>
  <c r="R108" i="6"/>
  <c r="H109" i="6"/>
  <c r="I109" i="6"/>
  <c r="J109" i="6"/>
  <c r="K109" i="6"/>
  <c r="L109" i="6"/>
  <c r="M109" i="6"/>
  <c r="N109" i="6"/>
  <c r="O109" i="6"/>
  <c r="P109" i="6"/>
  <c r="Q109" i="6"/>
  <c r="R109" i="6"/>
  <c r="H110" i="6"/>
  <c r="I110" i="6"/>
  <c r="J110" i="6"/>
  <c r="K110" i="6"/>
  <c r="L110" i="6"/>
  <c r="M110" i="6"/>
  <c r="N110" i="6"/>
  <c r="O110" i="6"/>
  <c r="P110" i="6"/>
  <c r="Q110" i="6"/>
  <c r="R110" i="6"/>
  <c r="H111" i="6"/>
  <c r="I111" i="6"/>
  <c r="J111" i="6"/>
  <c r="K111" i="6"/>
  <c r="L111" i="6"/>
  <c r="M111" i="6"/>
  <c r="N111" i="6"/>
  <c r="O111" i="6"/>
  <c r="P111" i="6"/>
  <c r="Q111" i="6"/>
  <c r="R111" i="6"/>
  <c r="G111" i="6"/>
  <c r="G121" i="6"/>
  <c r="G120" i="6"/>
  <c r="G119" i="6"/>
  <c r="G118" i="6"/>
  <c r="G117" i="6"/>
  <c r="G114" i="6"/>
  <c r="G115" i="6"/>
  <c r="G116" i="6"/>
  <c r="G113" i="6"/>
  <c r="G106" i="6"/>
  <c r="G107" i="6"/>
  <c r="G108" i="6"/>
  <c r="G109" i="6"/>
  <c r="G110" i="6"/>
  <c r="G105" i="6"/>
  <c r="S156" i="6" l="1"/>
  <c r="A156" i="6"/>
  <c r="A155" i="6"/>
  <c r="A154" i="6"/>
  <c r="P148" i="6"/>
  <c r="L148" i="6"/>
  <c r="H148" i="6"/>
  <c r="A150" i="6"/>
  <c r="Q148" i="6"/>
  <c r="M148" i="6"/>
  <c r="I148" i="6"/>
  <c r="A149" i="6"/>
  <c r="R148" i="6"/>
  <c r="O148" i="6"/>
  <c r="N148" i="6"/>
  <c r="K148" i="6"/>
  <c r="J148" i="6"/>
  <c r="G148" i="6"/>
  <c r="A148" i="6"/>
  <c r="A147" i="6"/>
  <c r="A146" i="6"/>
  <c r="A143" i="6"/>
  <c r="A142" i="6"/>
  <c r="A141" i="6"/>
  <c r="A140" i="6"/>
  <c r="A139" i="6"/>
  <c r="A138" i="6"/>
  <c r="A137" i="6"/>
  <c r="R133" i="6"/>
  <c r="N133" i="6"/>
  <c r="J133" i="6"/>
  <c r="A136" i="6"/>
  <c r="O133" i="6"/>
  <c r="G133" i="6"/>
  <c r="A135" i="6"/>
  <c r="L133" i="6"/>
  <c r="H133" i="6"/>
  <c r="A134" i="6"/>
  <c r="P133" i="6"/>
  <c r="K133" i="6"/>
  <c r="A133" i="6"/>
  <c r="A132" i="6"/>
  <c r="A131" i="6"/>
  <c r="A130" i="6"/>
  <c r="S129" i="6"/>
  <c r="A129" i="6"/>
  <c r="A128" i="6"/>
  <c r="A127" i="6"/>
  <c r="R123" i="6"/>
  <c r="N123" i="6"/>
  <c r="J123" i="6"/>
  <c r="J122" i="6" s="1"/>
  <c r="A126" i="6"/>
  <c r="O123" i="6"/>
  <c r="K123" i="6"/>
  <c r="S125" i="6"/>
  <c r="A125" i="6"/>
  <c r="P123" i="6"/>
  <c r="L123" i="6"/>
  <c r="H123" i="6"/>
  <c r="A124" i="6"/>
  <c r="Q123" i="6"/>
  <c r="M123" i="6"/>
  <c r="I123" i="6"/>
  <c r="A123" i="6"/>
  <c r="A122" i="6"/>
  <c r="A121" i="6"/>
  <c r="A120" i="6"/>
  <c r="A119" i="6"/>
  <c r="A118" i="6"/>
  <c r="A117" i="6"/>
  <c r="J112" i="6"/>
  <c r="A116" i="6"/>
  <c r="O112" i="6"/>
  <c r="A115" i="6"/>
  <c r="P112" i="6"/>
  <c r="N112" i="6"/>
  <c r="H112" i="6"/>
  <c r="A114" i="6"/>
  <c r="K112" i="6"/>
  <c r="A113" i="6"/>
  <c r="R112" i="6"/>
  <c r="L112" i="6"/>
  <c r="G112" i="6"/>
  <c r="A112" i="6"/>
  <c r="A111" i="6"/>
  <c r="A110" i="6"/>
  <c r="A109" i="6"/>
  <c r="O104" i="6"/>
  <c r="K104" i="6"/>
  <c r="A108" i="6"/>
  <c r="P104" i="6"/>
  <c r="A107" i="6"/>
  <c r="A106" i="6"/>
  <c r="R104" i="6"/>
  <c r="L104" i="6"/>
  <c r="J104" i="6"/>
  <c r="A105" i="6"/>
  <c r="N104" i="6"/>
  <c r="H104" i="6"/>
  <c r="A104" i="6"/>
  <c r="A103" i="6"/>
  <c r="T101" i="6"/>
  <c r="R99" i="6"/>
  <c r="Q99" i="6"/>
  <c r="P99" i="6"/>
  <c r="O99" i="6"/>
  <c r="N99" i="6"/>
  <c r="M99" i="6"/>
  <c r="L99" i="6"/>
  <c r="K99" i="6"/>
  <c r="J99" i="6"/>
  <c r="I99" i="6"/>
  <c r="H99" i="6"/>
  <c r="G99" i="6"/>
  <c r="R63" i="6"/>
  <c r="Q63" i="6"/>
  <c r="P63" i="6"/>
  <c r="O63" i="6"/>
  <c r="N63" i="6"/>
  <c r="M63" i="6"/>
  <c r="L63" i="6"/>
  <c r="K63" i="6"/>
  <c r="J63" i="6"/>
  <c r="I63" i="6"/>
  <c r="H63" i="6"/>
  <c r="G63" i="6"/>
  <c r="R62" i="6"/>
  <c r="Q62" i="6"/>
  <c r="P62" i="6"/>
  <c r="O62" i="6"/>
  <c r="N62" i="6"/>
  <c r="M62" i="6"/>
  <c r="L62" i="6"/>
  <c r="K62" i="6"/>
  <c r="J62" i="6"/>
  <c r="I62" i="6"/>
  <c r="H62" i="6"/>
  <c r="G62" i="6"/>
  <c r="R61" i="6"/>
  <c r="Q61" i="6"/>
  <c r="P61" i="6"/>
  <c r="O61" i="6"/>
  <c r="N61" i="6"/>
  <c r="M61" i="6"/>
  <c r="L61" i="6"/>
  <c r="K61" i="6"/>
  <c r="J61" i="6"/>
  <c r="I61" i="6"/>
  <c r="H61" i="6"/>
  <c r="G61" i="6"/>
  <c r="R58" i="6"/>
  <c r="Q58" i="6"/>
  <c r="P58" i="6"/>
  <c r="O58" i="6"/>
  <c r="N58" i="6"/>
  <c r="M58" i="6"/>
  <c r="L58" i="6"/>
  <c r="K58" i="6"/>
  <c r="J58" i="6"/>
  <c r="I58" i="6"/>
  <c r="H58" i="6"/>
  <c r="G58" i="6"/>
  <c r="R57" i="6"/>
  <c r="Q57" i="6"/>
  <c r="P57" i="6"/>
  <c r="O57" i="6"/>
  <c r="N57" i="6"/>
  <c r="M57" i="6"/>
  <c r="L57" i="6"/>
  <c r="K57" i="6"/>
  <c r="J57" i="6"/>
  <c r="I57" i="6"/>
  <c r="H57" i="6"/>
  <c r="G57" i="6"/>
  <c r="R56" i="6"/>
  <c r="Q56" i="6"/>
  <c r="P56" i="6"/>
  <c r="O56" i="6"/>
  <c r="N56" i="6"/>
  <c r="M56" i="6"/>
  <c r="L56" i="6"/>
  <c r="K56" i="6"/>
  <c r="J56" i="6"/>
  <c r="I56" i="6"/>
  <c r="H56" i="6"/>
  <c r="G56" i="6"/>
  <c r="R52" i="6"/>
  <c r="Q52" i="6"/>
  <c r="P52" i="6"/>
  <c r="O52" i="6"/>
  <c r="N52" i="6"/>
  <c r="M52" i="6"/>
  <c r="L52" i="6"/>
  <c r="K52" i="6"/>
  <c r="J52" i="6"/>
  <c r="I52" i="6"/>
  <c r="H52" i="6"/>
  <c r="G52" i="6"/>
  <c r="R51" i="6"/>
  <c r="Q51" i="6"/>
  <c r="P51" i="6"/>
  <c r="O51" i="6"/>
  <c r="N51" i="6"/>
  <c r="M51" i="6"/>
  <c r="L51" i="6"/>
  <c r="K51" i="6"/>
  <c r="J51" i="6"/>
  <c r="I51" i="6"/>
  <c r="H51" i="6"/>
  <c r="G51" i="6"/>
  <c r="R50" i="6"/>
  <c r="Q50" i="6"/>
  <c r="P50" i="6"/>
  <c r="O50" i="6"/>
  <c r="N50" i="6"/>
  <c r="M50" i="6"/>
  <c r="L50" i="6"/>
  <c r="K50" i="6"/>
  <c r="J50" i="6"/>
  <c r="I50" i="6"/>
  <c r="H50" i="6"/>
  <c r="G50" i="6"/>
  <c r="R49" i="6"/>
  <c r="Q49" i="6"/>
  <c r="P49" i="6"/>
  <c r="O49" i="6"/>
  <c r="N49" i="6"/>
  <c r="M49" i="6"/>
  <c r="L49" i="6"/>
  <c r="K49" i="6"/>
  <c r="J49" i="6"/>
  <c r="I49" i="6"/>
  <c r="H49" i="6"/>
  <c r="G49" i="6"/>
  <c r="R47" i="6"/>
  <c r="Q47" i="6"/>
  <c r="P47" i="6"/>
  <c r="O47" i="6"/>
  <c r="N47" i="6"/>
  <c r="M47" i="6"/>
  <c r="L47" i="6"/>
  <c r="K47" i="6"/>
  <c r="J47" i="6"/>
  <c r="I47" i="6"/>
  <c r="H47" i="6"/>
  <c r="G47" i="6"/>
  <c r="R46" i="6"/>
  <c r="Q46" i="6"/>
  <c r="P46" i="6"/>
  <c r="O46" i="6"/>
  <c r="N46" i="6"/>
  <c r="M46" i="6"/>
  <c r="L46" i="6"/>
  <c r="K46" i="6"/>
  <c r="J46" i="6"/>
  <c r="I46" i="6"/>
  <c r="H46" i="6"/>
  <c r="G46" i="6"/>
  <c r="R45" i="6"/>
  <c r="Q45" i="6"/>
  <c r="P45" i="6"/>
  <c r="O45" i="6"/>
  <c r="N45" i="6"/>
  <c r="M45" i="6"/>
  <c r="L45" i="6"/>
  <c r="K45" i="6"/>
  <c r="J45" i="6"/>
  <c r="I45" i="6"/>
  <c r="H45" i="6"/>
  <c r="G45" i="6"/>
  <c r="R44" i="6"/>
  <c r="Q44" i="6"/>
  <c r="P44" i="6"/>
  <c r="O44" i="6"/>
  <c r="N44" i="6"/>
  <c r="M44" i="6"/>
  <c r="L44" i="6"/>
  <c r="K44" i="6"/>
  <c r="J44" i="6"/>
  <c r="I44" i="6"/>
  <c r="H44" i="6"/>
  <c r="G44" i="6"/>
  <c r="R43" i="6"/>
  <c r="Q43" i="6"/>
  <c r="P43" i="6"/>
  <c r="O43" i="6"/>
  <c r="N43" i="6"/>
  <c r="M43" i="6"/>
  <c r="L43" i="6"/>
  <c r="K43" i="6"/>
  <c r="J43" i="6"/>
  <c r="I43" i="6"/>
  <c r="H43" i="6"/>
  <c r="G43" i="6"/>
  <c r="R42" i="6"/>
  <c r="Q42" i="6"/>
  <c r="P42" i="6"/>
  <c r="O42" i="6"/>
  <c r="N42" i="6"/>
  <c r="M42" i="6"/>
  <c r="L42" i="6"/>
  <c r="K42" i="6"/>
  <c r="J42" i="6"/>
  <c r="I42" i="6"/>
  <c r="H42" i="6"/>
  <c r="G42" i="6"/>
  <c r="R41" i="6"/>
  <c r="Q41" i="6"/>
  <c r="P41" i="6"/>
  <c r="O41" i="6"/>
  <c r="N41" i="6"/>
  <c r="M41" i="6"/>
  <c r="L41" i="6"/>
  <c r="K41" i="6"/>
  <c r="J41" i="6"/>
  <c r="I41" i="6"/>
  <c r="H41" i="6"/>
  <c r="G41" i="6"/>
  <c r="R39" i="6"/>
  <c r="Q39" i="6"/>
  <c r="P39" i="6"/>
  <c r="O39" i="6"/>
  <c r="N39" i="6"/>
  <c r="M39" i="6"/>
  <c r="L39" i="6"/>
  <c r="K39" i="6"/>
  <c r="J39" i="6"/>
  <c r="I39" i="6"/>
  <c r="H39" i="6"/>
  <c r="G39" i="6"/>
  <c r="R38" i="6"/>
  <c r="Q38" i="6"/>
  <c r="P38" i="6"/>
  <c r="O38" i="6"/>
  <c r="N38" i="6"/>
  <c r="M38" i="6"/>
  <c r="L38" i="6"/>
  <c r="K38" i="6"/>
  <c r="J38" i="6"/>
  <c r="I38" i="6"/>
  <c r="H38" i="6"/>
  <c r="G38" i="6"/>
  <c r="R37" i="6"/>
  <c r="Q37" i="6"/>
  <c r="P37" i="6"/>
  <c r="O37" i="6"/>
  <c r="N37" i="6"/>
  <c r="M37" i="6"/>
  <c r="L37" i="6"/>
  <c r="K37" i="6"/>
  <c r="J37" i="6"/>
  <c r="I37" i="6"/>
  <c r="H37" i="6"/>
  <c r="G37" i="6"/>
  <c r="R36" i="6"/>
  <c r="Q36" i="6"/>
  <c r="P36" i="6"/>
  <c r="O36" i="6"/>
  <c r="N36" i="6"/>
  <c r="M36" i="6"/>
  <c r="L36" i="6"/>
  <c r="K36" i="6"/>
  <c r="J36" i="6"/>
  <c r="I36" i="6"/>
  <c r="H36" i="6"/>
  <c r="G36" i="6"/>
  <c r="R35" i="6"/>
  <c r="Q35" i="6"/>
  <c r="P35" i="6"/>
  <c r="O35" i="6"/>
  <c r="N35" i="6"/>
  <c r="M35" i="6"/>
  <c r="L35" i="6"/>
  <c r="K35" i="6"/>
  <c r="J35" i="6"/>
  <c r="I35" i="6"/>
  <c r="H35" i="6"/>
  <c r="G35" i="6"/>
  <c r="R34" i="6"/>
  <c r="Q34" i="6"/>
  <c r="P34" i="6"/>
  <c r="O34" i="6"/>
  <c r="N34" i="6"/>
  <c r="M34" i="6"/>
  <c r="L34" i="6"/>
  <c r="K34" i="6"/>
  <c r="J34" i="6"/>
  <c r="I34" i="6"/>
  <c r="H34" i="6"/>
  <c r="G34" i="6"/>
  <c r="R33" i="6"/>
  <c r="Q33" i="6"/>
  <c r="P33" i="6"/>
  <c r="O33" i="6"/>
  <c r="N33" i="6"/>
  <c r="M33" i="6"/>
  <c r="L33" i="6"/>
  <c r="K33" i="6"/>
  <c r="J33" i="6"/>
  <c r="I33" i="6"/>
  <c r="H33" i="6"/>
  <c r="G33" i="6"/>
  <c r="R32" i="6"/>
  <c r="Q32" i="6"/>
  <c r="P32" i="6"/>
  <c r="O32" i="6"/>
  <c r="N32" i="6"/>
  <c r="M32" i="6"/>
  <c r="L32" i="6"/>
  <c r="K32" i="6"/>
  <c r="J32" i="6"/>
  <c r="I32" i="6"/>
  <c r="H32" i="6"/>
  <c r="G32" i="6"/>
  <c r="R31" i="6"/>
  <c r="Q31" i="6"/>
  <c r="P31" i="6"/>
  <c r="O31" i="6"/>
  <c r="N31" i="6"/>
  <c r="M31" i="6"/>
  <c r="L31" i="6"/>
  <c r="K31" i="6"/>
  <c r="J31" i="6"/>
  <c r="I31" i="6"/>
  <c r="H31" i="6"/>
  <c r="G31" i="6"/>
  <c r="R28" i="6"/>
  <c r="Q28" i="6"/>
  <c r="P28" i="6"/>
  <c r="O28" i="6"/>
  <c r="N28" i="6"/>
  <c r="M28" i="6"/>
  <c r="L28" i="6"/>
  <c r="K28" i="6"/>
  <c r="J28" i="6"/>
  <c r="I28" i="6"/>
  <c r="H28" i="6"/>
  <c r="G28" i="6"/>
  <c r="R27" i="6"/>
  <c r="Q27" i="6"/>
  <c r="P27" i="6"/>
  <c r="O27" i="6"/>
  <c r="N27" i="6"/>
  <c r="M27" i="6"/>
  <c r="L27" i="6"/>
  <c r="K27" i="6"/>
  <c r="J27" i="6"/>
  <c r="I27" i="6"/>
  <c r="H27" i="6"/>
  <c r="G27" i="6"/>
  <c r="R26" i="6"/>
  <c r="Q26" i="6"/>
  <c r="P26" i="6"/>
  <c r="O26" i="6"/>
  <c r="N26" i="6"/>
  <c r="M26" i="6"/>
  <c r="L26" i="6"/>
  <c r="K26" i="6"/>
  <c r="J26" i="6"/>
  <c r="I26" i="6"/>
  <c r="H26" i="6"/>
  <c r="G26" i="6"/>
  <c r="R25" i="6"/>
  <c r="Q25" i="6"/>
  <c r="P25" i="6"/>
  <c r="O25" i="6"/>
  <c r="N25" i="6"/>
  <c r="M25" i="6"/>
  <c r="L25" i="6"/>
  <c r="K25" i="6"/>
  <c r="J25" i="6"/>
  <c r="I25" i="6"/>
  <c r="H25" i="6"/>
  <c r="G25" i="6"/>
  <c r="R24" i="6"/>
  <c r="Q24" i="6"/>
  <c r="P24" i="6"/>
  <c r="O24" i="6"/>
  <c r="N24" i="6"/>
  <c r="M24" i="6"/>
  <c r="L24" i="6"/>
  <c r="K24" i="6"/>
  <c r="J24" i="6"/>
  <c r="I24" i="6"/>
  <c r="H24" i="6"/>
  <c r="G24" i="6"/>
  <c r="R23" i="6"/>
  <c r="Q23" i="6"/>
  <c r="P23" i="6"/>
  <c r="O23" i="6"/>
  <c r="N23" i="6"/>
  <c r="M23" i="6"/>
  <c r="L23" i="6"/>
  <c r="K23" i="6"/>
  <c r="J23" i="6"/>
  <c r="I23" i="6"/>
  <c r="H23" i="6"/>
  <c r="G23" i="6"/>
  <c r="R22" i="6"/>
  <c r="Q22" i="6"/>
  <c r="P22" i="6"/>
  <c r="O22" i="6"/>
  <c r="N22" i="6"/>
  <c r="M22" i="6"/>
  <c r="L22" i="6"/>
  <c r="K22" i="6"/>
  <c r="J22" i="6"/>
  <c r="I22" i="6"/>
  <c r="H22" i="6"/>
  <c r="G22" i="6"/>
  <c r="R21" i="6"/>
  <c r="Q21" i="6"/>
  <c r="P21" i="6"/>
  <c r="O21" i="6"/>
  <c r="N21" i="6"/>
  <c r="M21" i="6"/>
  <c r="L21" i="6"/>
  <c r="K21" i="6"/>
  <c r="J21" i="6"/>
  <c r="I21" i="6"/>
  <c r="H21" i="6"/>
  <c r="G21" i="6"/>
  <c r="R20" i="6"/>
  <c r="Q20" i="6"/>
  <c r="P20" i="6"/>
  <c r="O20" i="6"/>
  <c r="N20" i="6"/>
  <c r="M20" i="6"/>
  <c r="L20" i="6"/>
  <c r="K20" i="6"/>
  <c r="J20" i="6"/>
  <c r="I20" i="6"/>
  <c r="H20" i="6"/>
  <c r="G20" i="6"/>
  <c r="R19" i="6"/>
  <c r="Q19" i="6"/>
  <c r="P19" i="6"/>
  <c r="O19" i="6"/>
  <c r="N19" i="6"/>
  <c r="M19" i="6"/>
  <c r="L19" i="6"/>
  <c r="K19" i="6"/>
  <c r="J19" i="6"/>
  <c r="I19" i="6"/>
  <c r="H19" i="6"/>
  <c r="G19" i="6"/>
  <c r="R18" i="6"/>
  <c r="Q18" i="6"/>
  <c r="P18" i="6"/>
  <c r="O18" i="6"/>
  <c r="N18" i="6"/>
  <c r="M18" i="6"/>
  <c r="L18" i="6"/>
  <c r="K18" i="6"/>
  <c r="J18" i="6"/>
  <c r="I18" i="6"/>
  <c r="H18" i="6"/>
  <c r="G18" i="6"/>
  <c r="R17" i="6"/>
  <c r="Q17" i="6"/>
  <c r="P17" i="6"/>
  <c r="O17" i="6"/>
  <c r="N17" i="6"/>
  <c r="M17" i="6"/>
  <c r="L17" i="6"/>
  <c r="K17" i="6"/>
  <c r="J17" i="6"/>
  <c r="I17" i="6"/>
  <c r="H17" i="6"/>
  <c r="G17" i="6"/>
  <c r="R16" i="6"/>
  <c r="Q16" i="6"/>
  <c r="P16" i="6"/>
  <c r="O16" i="6"/>
  <c r="N16" i="6"/>
  <c r="M16" i="6"/>
  <c r="L16" i="6"/>
  <c r="K16" i="6"/>
  <c r="J16" i="6"/>
  <c r="I16" i="6"/>
  <c r="H16" i="6"/>
  <c r="G16" i="6"/>
  <c r="R15" i="6"/>
  <c r="Q15" i="6"/>
  <c r="P15" i="6"/>
  <c r="O15" i="6"/>
  <c r="N15" i="6"/>
  <c r="M15" i="6"/>
  <c r="L15" i="6"/>
  <c r="K15" i="6"/>
  <c r="J15" i="6"/>
  <c r="I15" i="6"/>
  <c r="H15" i="6"/>
  <c r="G15" i="6"/>
  <c r="R14" i="6"/>
  <c r="Q14" i="6"/>
  <c r="P14" i="6"/>
  <c r="O14" i="6"/>
  <c r="N14" i="6"/>
  <c r="M14" i="6"/>
  <c r="L14" i="6"/>
  <c r="K14" i="6"/>
  <c r="J14" i="6"/>
  <c r="I14" i="6"/>
  <c r="H14" i="6"/>
  <c r="G14" i="6"/>
  <c r="R13" i="6"/>
  <c r="Q13" i="6"/>
  <c r="P13" i="6"/>
  <c r="O13" i="6"/>
  <c r="N13" i="6"/>
  <c r="M13" i="6"/>
  <c r="L13" i="6"/>
  <c r="K13" i="6"/>
  <c r="J13" i="6"/>
  <c r="I13" i="6"/>
  <c r="H13" i="6"/>
  <c r="G13" i="6"/>
  <c r="R12" i="6"/>
  <c r="Q12" i="6"/>
  <c r="P12" i="6"/>
  <c r="O12" i="6"/>
  <c r="N12" i="6"/>
  <c r="M12" i="6"/>
  <c r="L12" i="6"/>
  <c r="K12" i="6"/>
  <c r="J12" i="6"/>
  <c r="I12" i="6"/>
  <c r="H12" i="6"/>
  <c r="G12" i="6"/>
  <c r="S62" i="6" l="1"/>
  <c r="T12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31" i="3"/>
  <c r="T32" i="3"/>
  <c r="T33" i="3"/>
  <c r="T34" i="3"/>
  <c r="T35" i="3"/>
  <c r="T36" i="3"/>
  <c r="T37" i="3"/>
  <c r="T38" i="3"/>
  <c r="T39" i="3"/>
  <c r="T41" i="3"/>
  <c r="T42" i="3"/>
  <c r="T43" i="3"/>
  <c r="T44" i="3"/>
  <c r="T45" i="3"/>
  <c r="T46" i="3"/>
  <c r="T47" i="3"/>
  <c r="T49" i="3"/>
  <c r="T50" i="3"/>
  <c r="T51" i="3"/>
  <c r="T52" i="3"/>
  <c r="T56" i="3"/>
  <c r="T57" i="3"/>
  <c r="T58" i="3"/>
  <c r="T61" i="3"/>
  <c r="T62" i="3"/>
  <c r="T63" i="3"/>
  <c r="T13" i="3"/>
  <c r="P103" i="6"/>
  <c r="L11" i="6"/>
  <c r="T125" i="6"/>
  <c r="T156" i="6"/>
  <c r="T129" i="6"/>
  <c r="L103" i="6"/>
  <c r="L122" i="6"/>
  <c r="K122" i="6"/>
  <c r="P122" i="6"/>
  <c r="I55" i="6"/>
  <c r="Q55" i="6"/>
  <c r="O103" i="6"/>
  <c r="H103" i="6"/>
  <c r="R103" i="6"/>
  <c r="H122" i="6"/>
  <c r="N122" i="6"/>
  <c r="O122" i="6"/>
  <c r="R122" i="6"/>
  <c r="K103" i="6"/>
  <c r="J103" i="6"/>
  <c r="J146" i="6" s="1"/>
  <c r="J147" i="6" s="1"/>
  <c r="N103" i="6"/>
  <c r="S105" i="6"/>
  <c r="T105" i="6" s="1"/>
  <c r="I104" i="6"/>
  <c r="M104" i="6"/>
  <c r="Q104" i="6"/>
  <c r="S109" i="6"/>
  <c r="T109" i="6" s="1"/>
  <c r="S126" i="6"/>
  <c r="T126" i="6" s="1"/>
  <c r="S130" i="6"/>
  <c r="T130" i="6" s="1"/>
  <c r="I133" i="6"/>
  <c r="I122" i="6" s="1"/>
  <c r="M133" i="6"/>
  <c r="Q133" i="6"/>
  <c r="Q122" i="6" s="1"/>
  <c r="S136" i="6"/>
  <c r="T136" i="6" s="1"/>
  <c r="S140" i="6"/>
  <c r="T140" i="6" s="1"/>
  <c r="S144" i="6"/>
  <c r="T144" i="6" s="1"/>
  <c r="S145" i="6"/>
  <c r="T145" i="6" s="1"/>
  <c r="S148" i="6"/>
  <c r="T148" i="6" s="1"/>
  <c r="S106" i="6"/>
  <c r="T106" i="6" s="1"/>
  <c r="S110" i="6"/>
  <c r="T110" i="6" s="1"/>
  <c r="S113" i="6"/>
  <c r="T113" i="6" s="1"/>
  <c r="I112" i="6"/>
  <c r="M112" i="6"/>
  <c r="Q112" i="6"/>
  <c r="S117" i="6"/>
  <c r="T117" i="6" s="1"/>
  <c r="S121" i="6"/>
  <c r="T121" i="6" s="1"/>
  <c r="G123" i="6"/>
  <c r="S137" i="6"/>
  <c r="T137" i="6" s="1"/>
  <c r="S141" i="6"/>
  <c r="T141" i="6" s="1"/>
  <c r="S149" i="6"/>
  <c r="T149" i="6" s="1"/>
  <c r="G104" i="6"/>
  <c r="S114" i="6"/>
  <c r="T114" i="6" s="1"/>
  <c r="S118" i="6"/>
  <c r="T118" i="6" s="1"/>
  <c r="S124" i="6"/>
  <c r="T124" i="6" s="1"/>
  <c r="S128" i="6"/>
  <c r="T128" i="6" s="1"/>
  <c r="S132" i="6"/>
  <c r="T132" i="6" s="1"/>
  <c r="S150" i="6"/>
  <c r="T150" i="6" s="1"/>
  <c r="S151" i="6"/>
  <c r="T151" i="6" s="1"/>
  <c r="S155" i="6"/>
  <c r="T155" i="6" s="1"/>
  <c r="L30" i="6"/>
  <c r="S57" i="6"/>
  <c r="T57" i="6" s="1"/>
  <c r="S15" i="6"/>
  <c r="T15" i="6" s="1"/>
  <c r="S19" i="6"/>
  <c r="T19" i="6" s="1"/>
  <c r="S23" i="6"/>
  <c r="T23" i="6" s="1"/>
  <c r="S27" i="6"/>
  <c r="T27" i="6" s="1"/>
  <c r="I30" i="6"/>
  <c r="M30" i="6"/>
  <c r="Q30" i="6"/>
  <c r="S37" i="6"/>
  <c r="T37" i="6" s="1"/>
  <c r="S44" i="6"/>
  <c r="T44" i="6" s="1"/>
  <c r="S48" i="6"/>
  <c r="T48" i="6" s="1"/>
  <c r="S52" i="6"/>
  <c r="T52" i="6" s="1"/>
  <c r="M55" i="6"/>
  <c r="R55" i="6"/>
  <c r="J55" i="6"/>
  <c r="N55" i="6"/>
  <c r="S12" i="6"/>
  <c r="T12" i="6" s="1"/>
  <c r="S16" i="6"/>
  <c r="T16" i="6" s="1"/>
  <c r="S20" i="6"/>
  <c r="T20" i="6" s="1"/>
  <c r="S24" i="6"/>
  <c r="T24" i="6" s="1"/>
  <c r="S28" i="6"/>
  <c r="T28" i="6" s="1"/>
  <c r="S34" i="6"/>
  <c r="T34" i="6" s="1"/>
  <c r="S38" i="6"/>
  <c r="T38" i="6" s="1"/>
  <c r="S41" i="6"/>
  <c r="T41" i="6" s="1"/>
  <c r="K40" i="6"/>
  <c r="O40" i="6"/>
  <c r="S45" i="6"/>
  <c r="T45" i="6" s="1"/>
  <c r="H11" i="6"/>
  <c r="P11" i="6"/>
  <c r="H40" i="6"/>
  <c r="L40" i="6"/>
  <c r="P40" i="6"/>
  <c r="I11" i="6"/>
  <c r="M11" i="6"/>
  <c r="Q11" i="6"/>
  <c r="H30" i="6"/>
  <c r="P30" i="6"/>
  <c r="K55" i="6"/>
  <c r="O55" i="6"/>
  <c r="S49" i="6"/>
  <c r="T49" i="6" s="1"/>
  <c r="S58" i="6"/>
  <c r="T58" i="6" s="1"/>
  <c r="T62" i="6"/>
  <c r="S13" i="6"/>
  <c r="T13" i="6" s="1"/>
  <c r="S17" i="6"/>
  <c r="T17" i="6" s="1"/>
  <c r="S21" i="6"/>
  <c r="T21" i="6" s="1"/>
  <c r="S25" i="6"/>
  <c r="T25" i="6" s="1"/>
  <c r="S31" i="6"/>
  <c r="T31" i="6" s="1"/>
  <c r="S35" i="6"/>
  <c r="T35" i="6" s="1"/>
  <c r="S39" i="6"/>
  <c r="T39" i="6" s="1"/>
  <c r="S42" i="6"/>
  <c r="T42" i="6" s="1"/>
  <c r="S46" i="6"/>
  <c r="T46" i="6" s="1"/>
  <c r="S50" i="6"/>
  <c r="T50" i="6" s="1"/>
  <c r="S18" i="6"/>
  <c r="T18" i="6" s="1"/>
  <c r="S22" i="6"/>
  <c r="T22" i="6" s="1"/>
  <c r="S26" i="6"/>
  <c r="T26" i="6" s="1"/>
  <c r="S32" i="6"/>
  <c r="T32" i="6" s="1"/>
  <c r="S36" i="6"/>
  <c r="T36" i="6" s="1"/>
  <c r="S43" i="6"/>
  <c r="T43" i="6" s="1"/>
  <c r="S47" i="6"/>
  <c r="T47" i="6" s="1"/>
  <c r="S51" i="6"/>
  <c r="T51" i="6" s="1"/>
  <c r="G55" i="6"/>
  <c r="G40" i="6"/>
  <c r="J30" i="6"/>
  <c r="N30" i="6"/>
  <c r="R30" i="6"/>
  <c r="J11" i="6"/>
  <c r="N11" i="6"/>
  <c r="R11" i="6"/>
  <c r="I40" i="6"/>
  <c r="M40" i="6"/>
  <c r="Q40" i="6"/>
  <c r="H55" i="6"/>
  <c r="L55" i="6"/>
  <c r="P55" i="6"/>
  <c r="K30" i="6"/>
  <c r="O30" i="6"/>
  <c r="K11" i="6"/>
  <c r="O11" i="6"/>
  <c r="J40" i="6"/>
  <c r="N40" i="6"/>
  <c r="R40" i="6"/>
  <c r="G30" i="6"/>
  <c r="G11" i="6"/>
  <c r="S14" i="6"/>
  <c r="T14" i="6" s="1"/>
  <c r="S33" i="6"/>
  <c r="T33" i="6" s="1"/>
  <c r="S56" i="6"/>
  <c r="T56" i="6" s="1"/>
  <c r="S63" i="6"/>
  <c r="T63" i="6" s="1"/>
  <c r="S61" i="6"/>
  <c r="T61" i="6" s="1"/>
  <c r="S107" i="6"/>
  <c r="T107" i="6" s="1"/>
  <c r="S111" i="6"/>
  <c r="T111" i="6" s="1"/>
  <c r="S115" i="6"/>
  <c r="T115" i="6" s="1"/>
  <c r="S119" i="6"/>
  <c r="T119" i="6" s="1"/>
  <c r="S127" i="6"/>
  <c r="T127" i="6" s="1"/>
  <c r="S131" i="6"/>
  <c r="T131" i="6" s="1"/>
  <c r="S134" i="6"/>
  <c r="T134" i="6" s="1"/>
  <c r="S138" i="6"/>
  <c r="T138" i="6" s="1"/>
  <c r="S142" i="6"/>
  <c r="T142" i="6" s="1"/>
  <c r="S154" i="6"/>
  <c r="T154" i="6" s="1"/>
  <c r="S108" i="6"/>
  <c r="T108" i="6" s="1"/>
  <c r="S116" i="6"/>
  <c r="T116" i="6" s="1"/>
  <c r="S120" i="6"/>
  <c r="T120" i="6" s="1"/>
  <c r="S135" i="6"/>
  <c r="T135" i="6" s="1"/>
  <c r="S139" i="6"/>
  <c r="T139" i="6" s="1"/>
  <c r="S143" i="6"/>
  <c r="T143" i="6" s="1"/>
  <c r="T40" i="3" l="1"/>
  <c r="T30" i="3"/>
  <c r="T11" i="3"/>
  <c r="T55" i="3"/>
  <c r="L13" i="3"/>
  <c r="M13" i="3"/>
  <c r="L63" i="3"/>
  <c r="M63" i="3"/>
  <c r="M62" i="3"/>
  <c r="L62" i="3"/>
  <c r="L61" i="3"/>
  <c r="M61" i="3"/>
  <c r="M58" i="3"/>
  <c r="L58" i="3"/>
  <c r="M57" i="3"/>
  <c r="L57" i="3"/>
  <c r="M56" i="3"/>
  <c r="L56" i="3"/>
  <c r="M52" i="3"/>
  <c r="L52" i="3"/>
  <c r="M51" i="3"/>
  <c r="L51" i="3"/>
  <c r="M50" i="3"/>
  <c r="L50" i="3"/>
  <c r="M49" i="3"/>
  <c r="L49" i="3"/>
  <c r="M47" i="3"/>
  <c r="L47" i="3"/>
  <c r="M46" i="3"/>
  <c r="L46" i="3"/>
  <c r="M45" i="3"/>
  <c r="L45" i="3"/>
  <c r="M44" i="3"/>
  <c r="L44" i="3"/>
  <c r="M43" i="3"/>
  <c r="L43" i="3"/>
  <c r="M42" i="3"/>
  <c r="L42" i="3"/>
  <c r="M41" i="3"/>
  <c r="L41" i="3"/>
  <c r="M39" i="3"/>
  <c r="L39" i="3"/>
  <c r="M38" i="3"/>
  <c r="L38" i="3"/>
  <c r="M37" i="3"/>
  <c r="L37" i="3"/>
  <c r="M36" i="3"/>
  <c r="L36" i="3"/>
  <c r="M35" i="3"/>
  <c r="L35" i="3"/>
  <c r="M34" i="3"/>
  <c r="L34" i="3"/>
  <c r="M33" i="3"/>
  <c r="L33" i="3"/>
  <c r="M32" i="3"/>
  <c r="L32" i="3"/>
  <c r="M31" i="3"/>
  <c r="L31" i="3"/>
  <c r="L28" i="3"/>
  <c r="M28" i="3"/>
  <c r="L27" i="3"/>
  <c r="M27" i="3"/>
  <c r="M26" i="3"/>
  <c r="L26" i="3"/>
  <c r="L25" i="3"/>
  <c r="M25" i="3"/>
  <c r="L24" i="3"/>
  <c r="M24" i="3"/>
  <c r="L23" i="3"/>
  <c r="M23" i="3"/>
  <c r="L22" i="3"/>
  <c r="M22" i="3"/>
  <c r="L21" i="3"/>
  <c r="M21" i="3"/>
  <c r="M20" i="3"/>
  <c r="L20" i="3"/>
  <c r="M19" i="3"/>
  <c r="L19" i="3"/>
  <c r="M18" i="3"/>
  <c r="L18" i="3"/>
  <c r="L17" i="3"/>
  <c r="M17" i="3"/>
  <c r="L16" i="3"/>
  <c r="M16" i="3"/>
  <c r="L15" i="3"/>
  <c r="M15" i="3"/>
  <c r="M14" i="3"/>
  <c r="L14" i="3"/>
  <c r="L12" i="3"/>
  <c r="M12" i="3"/>
  <c r="R10" i="6"/>
  <c r="Q10" i="6"/>
  <c r="P10" i="6"/>
  <c r="O10" i="6"/>
  <c r="N10" i="6"/>
  <c r="M122" i="6"/>
  <c r="M10" i="6"/>
  <c r="L10" i="6"/>
  <c r="K10" i="6"/>
  <c r="J10" i="6"/>
  <c r="I10" i="6"/>
  <c r="H10" i="6"/>
  <c r="G103" i="6"/>
  <c r="K146" i="6"/>
  <c r="P146" i="6"/>
  <c r="P152" i="6" s="1"/>
  <c r="L146" i="6"/>
  <c r="N146" i="6"/>
  <c r="N147" i="6" s="1"/>
  <c r="G122" i="6"/>
  <c r="G10" i="6"/>
  <c r="E5" i="6" s="1"/>
  <c r="S133" i="6"/>
  <c r="T133" i="6" s="1"/>
  <c r="H146" i="6"/>
  <c r="K29" i="6"/>
  <c r="O146" i="6"/>
  <c r="S112" i="6"/>
  <c r="T112" i="6" s="1"/>
  <c r="R146" i="6"/>
  <c r="J152" i="6"/>
  <c r="J157" i="6" s="1"/>
  <c r="J153" i="6" s="1"/>
  <c r="S123" i="6"/>
  <c r="T123" i="6" s="1"/>
  <c r="L29" i="6"/>
  <c r="P29" i="6"/>
  <c r="M103" i="6"/>
  <c r="S104" i="6"/>
  <c r="T104" i="6" s="1"/>
  <c r="I103" i="6"/>
  <c r="I146" i="6" s="1"/>
  <c r="I147" i="6" s="1"/>
  <c r="Q103" i="6"/>
  <c r="Q146" i="6" s="1"/>
  <c r="Q147" i="6" s="1"/>
  <c r="H29" i="6"/>
  <c r="M29" i="6"/>
  <c r="I29" i="6"/>
  <c r="O29" i="6"/>
  <c r="Q29" i="6"/>
  <c r="R29" i="6"/>
  <c r="S11" i="6"/>
  <c r="S40" i="6"/>
  <c r="T40" i="6" s="1"/>
  <c r="J29" i="6"/>
  <c r="S55" i="6"/>
  <c r="T55" i="6" s="1"/>
  <c r="S30" i="6"/>
  <c r="T30" i="6" s="1"/>
  <c r="G29" i="6"/>
  <c r="N29" i="6"/>
  <c r="L10" i="3" l="1"/>
  <c r="S10" i="3"/>
  <c r="T10" i="3"/>
  <c r="T29" i="3"/>
  <c r="L55" i="3"/>
  <c r="M55" i="3"/>
  <c r="L11" i="3"/>
  <c r="M11" i="3"/>
  <c r="L30" i="3"/>
  <c r="M30" i="3"/>
  <c r="L40" i="3"/>
  <c r="M40" i="3"/>
  <c r="P147" i="6"/>
  <c r="P157" i="6"/>
  <c r="M146" i="6"/>
  <c r="L147" i="6"/>
  <c r="K147" i="6"/>
  <c r="L152" i="6"/>
  <c r="T11" i="6"/>
  <c r="S122" i="6"/>
  <c r="T122" i="6" s="1"/>
  <c r="N152" i="6"/>
  <c r="N157" i="6" s="1"/>
  <c r="N153" i="6" s="1"/>
  <c r="G146" i="6"/>
  <c r="K152" i="6"/>
  <c r="S10" i="6"/>
  <c r="T10" i="6" s="1"/>
  <c r="K53" i="6"/>
  <c r="G53" i="6"/>
  <c r="H147" i="6"/>
  <c r="H152" i="6"/>
  <c r="R147" i="6"/>
  <c r="R152" i="6"/>
  <c r="O147" i="6"/>
  <c r="O152" i="6"/>
  <c r="P53" i="6"/>
  <c r="R53" i="6"/>
  <c r="H53" i="6"/>
  <c r="M53" i="6"/>
  <c r="L53" i="6"/>
  <c r="I53" i="6"/>
  <c r="S103" i="6"/>
  <c r="T103" i="6" s="1"/>
  <c r="Q152" i="6"/>
  <c r="Q157" i="6" s="1"/>
  <c r="Q153" i="6" s="1"/>
  <c r="O53" i="6"/>
  <c r="Q53" i="6"/>
  <c r="J53" i="6"/>
  <c r="S29" i="6"/>
  <c r="T29" i="6" s="1"/>
  <c r="N53" i="6"/>
  <c r="G54" i="6" l="1"/>
  <c r="T53" i="3"/>
  <c r="M10" i="3"/>
  <c r="L29" i="3"/>
  <c r="M29" i="3"/>
  <c r="R157" i="6"/>
  <c r="M152" i="6"/>
  <c r="M157" i="6" s="1"/>
  <c r="R54" i="6"/>
  <c r="Q54" i="6"/>
  <c r="P153" i="6"/>
  <c r="P54" i="6"/>
  <c r="O157" i="6"/>
  <c r="O59" i="6"/>
  <c r="N59" i="6"/>
  <c r="M147" i="6"/>
  <c r="M59" i="6"/>
  <c r="L59" i="6"/>
  <c r="L157" i="6"/>
  <c r="K157" i="6"/>
  <c r="K59" i="6"/>
  <c r="J59" i="6"/>
  <c r="I59" i="6"/>
  <c r="H54" i="6"/>
  <c r="H157" i="6"/>
  <c r="G152" i="6"/>
  <c r="G147" i="6"/>
  <c r="I54" i="6"/>
  <c r="K54" i="6"/>
  <c r="G59" i="6"/>
  <c r="R59" i="6"/>
  <c r="Q59" i="6"/>
  <c r="H59" i="6"/>
  <c r="P59" i="6"/>
  <c r="O54" i="6"/>
  <c r="M54" i="6"/>
  <c r="L54" i="6"/>
  <c r="I152" i="6"/>
  <c r="S146" i="6"/>
  <c r="T146" i="6" s="1"/>
  <c r="J54" i="6"/>
  <c r="S53" i="6"/>
  <c r="T53" i="6" s="1"/>
  <c r="N54" i="6"/>
  <c r="FO218" i="9"/>
  <c r="FN218" i="9"/>
  <c r="FO244" i="9"/>
  <c r="FN244" i="9"/>
  <c r="FQ394" i="9"/>
  <c r="FP394" i="9"/>
  <c r="FO394" i="9"/>
  <c r="FL394" i="9"/>
  <c r="FO220" i="9"/>
  <c r="FN220" i="9"/>
  <c r="FO245" i="9"/>
  <c r="FN245" i="9"/>
  <c r="L53" i="3" l="1"/>
  <c r="M53" i="3"/>
  <c r="T59" i="3"/>
  <c r="T54" i="3"/>
  <c r="R153" i="6"/>
  <c r="R64" i="6"/>
  <c r="Q64" i="6"/>
  <c r="P64" i="6"/>
  <c r="O153" i="6"/>
  <c r="O64" i="6"/>
  <c r="N64" i="6"/>
  <c r="M153" i="6"/>
  <c r="M64" i="6"/>
  <c r="L153" i="6"/>
  <c r="L64" i="6"/>
  <c r="K153" i="6"/>
  <c r="K64" i="6"/>
  <c r="J64" i="6"/>
  <c r="I64" i="6"/>
  <c r="H64" i="6"/>
  <c r="H153" i="6"/>
  <c r="S147" i="6"/>
  <c r="T147" i="6" s="1"/>
  <c r="G157" i="6"/>
  <c r="G64" i="6"/>
  <c r="S59" i="6"/>
  <c r="T59" i="6" s="1"/>
  <c r="I157" i="6"/>
  <c r="S152" i="6"/>
  <c r="T152" i="6" s="1"/>
  <c r="S54" i="6"/>
  <c r="T54" i="6" s="1"/>
  <c r="T64" i="3" l="1"/>
  <c r="M54" i="3"/>
  <c r="L54" i="3"/>
  <c r="M59" i="3"/>
  <c r="L59" i="3"/>
  <c r="R60" i="6"/>
  <c r="Q60" i="6"/>
  <c r="P60" i="6"/>
  <c r="O60" i="6"/>
  <c r="N60" i="6"/>
  <c r="M60" i="6"/>
  <c r="L60" i="6"/>
  <c r="K60" i="6"/>
  <c r="J60" i="6"/>
  <c r="I60" i="6"/>
  <c r="H60" i="6"/>
  <c r="G153" i="6"/>
  <c r="G60" i="6"/>
  <c r="S64" i="6"/>
  <c r="T64" i="6" s="1"/>
  <c r="I153" i="6"/>
  <c r="S157" i="6"/>
  <c r="T157" i="6" s="1"/>
  <c r="T60" i="3" l="1"/>
  <c r="L64" i="3"/>
  <c r="M64" i="3"/>
  <c r="S153" i="6"/>
  <c r="T153" i="6" s="1"/>
  <c r="S60" i="6"/>
  <c r="T60" i="6" s="1"/>
  <c r="G13" i="10"/>
  <c r="M60" i="3" l="1"/>
  <c r="L60" i="3"/>
  <c r="G14" i="10"/>
  <c r="EE386" i="9" l="1"/>
  <c r="EH386" i="9"/>
  <c r="EH385" i="9" s="1"/>
  <c r="EI386" i="9"/>
  <c r="EI385" i="9" s="1"/>
  <c r="EJ386" i="9"/>
  <c r="EJ385" i="9" s="1"/>
  <c r="EK386" i="9"/>
  <c r="EK385" i="9" s="1"/>
  <c r="EL386" i="9"/>
  <c r="EL385" i="9" s="1"/>
  <c r="EM386" i="9"/>
  <c r="EM385" i="9" s="1"/>
  <c r="EN386" i="9"/>
  <c r="EN385" i="9" s="1"/>
  <c r="EO386" i="9"/>
  <c r="EO385" i="9" s="1"/>
  <c r="EP386" i="9"/>
  <c r="EP385" i="9" s="1"/>
  <c r="EQ386" i="9"/>
  <c r="EQ385" i="9" s="1"/>
  <c r="ER386" i="9"/>
  <c r="ER385" i="9" s="1"/>
  <c r="ES386" i="9"/>
  <c r="ES385" i="9" s="1"/>
  <c r="DV386" i="9"/>
  <c r="DW386" i="9"/>
  <c r="DX386" i="9"/>
  <c r="DY386" i="9"/>
  <c r="DZ386" i="9"/>
  <c r="EA386" i="9"/>
  <c r="EB386" i="9"/>
  <c r="EC386" i="9"/>
  <c r="ED386" i="9"/>
  <c r="EF386" i="9"/>
  <c r="EG386" i="9"/>
  <c r="EH259" i="9"/>
  <c r="EI259" i="9"/>
  <c r="EJ259" i="9"/>
  <c r="EK259" i="9"/>
  <c r="EL259" i="9"/>
  <c r="EM259" i="9"/>
  <c r="EN259" i="9"/>
  <c r="EO259" i="9"/>
  <c r="EP259" i="9"/>
  <c r="EQ259" i="9"/>
  <c r="ER259" i="9"/>
  <c r="ES259" i="9"/>
  <c r="EG259" i="9" l="1"/>
  <c r="EH244" i="9"/>
  <c r="EI244" i="9"/>
  <c r="EJ244" i="9"/>
  <c r="EK244" i="9"/>
  <c r="EL244" i="9"/>
  <c r="EM244" i="9"/>
  <c r="EN244" i="9"/>
  <c r="EO244" i="9"/>
  <c r="EP244" i="9"/>
  <c r="EQ244" i="9"/>
  <c r="ER244" i="9"/>
  <c r="ES244" i="9"/>
  <c r="EH237" i="9"/>
  <c r="EI237" i="9"/>
  <c r="EJ237" i="9"/>
  <c r="EK237" i="9"/>
  <c r="EL237" i="9"/>
  <c r="EM237" i="9"/>
  <c r="EN237" i="9"/>
  <c r="EO237" i="9"/>
  <c r="EP237" i="9"/>
  <c r="EQ237" i="9"/>
  <c r="ER237" i="9"/>
  <c r="ES237" i="9"/>
  <c r="EH232" i="9"/>
  <c r="EI232" i="9"/>
  <c r="EJ232" i="9"/>
  <c r="EK232" i="9"/>
  <c r="EL232" i="9"/>
  <c r="EM232" i="9"/>
  <c r="EN232" i="9"/>
  <c r="EO232" i="9"/>
  <c r="EP232" i="9"/>
  <c r="EQ232" i="9"/>
  <c r="ER232" i="9"/>
  <c r="ES232" i="9"/>
  <c r="EH227" i="9"/>
  <c r="EI227" i="9"/>
  <c r="EJ227" i="9"/>
  <c r="EK227" i="9"/>
  <c r="EL227" i="9"/>
  <c r="EM227" i="9"/>
  <c r="EN227" i="9"/>
  <c r="EO227" i="9"/>
  <c r="EP227" i="9"/>
  <c r="EQ227" i="9"/>
  <c r="ER227" i="9"/>
  <c r="ES227" i="9"/>
  <c r="EH218" i="9"/>
  <c r="EH217" i="9" s="1"/>
  <c r="EH216" i="9" s="1"/>
  <c r="EI218" i="9"/>
  <c r="EI217" i="9" s="1"/>
  <c r="EI216" i="9" s="1"/>
  <c r="EJ218" i="9"/>
  <c r="EJ217" i="9" s="1"/>
  <c r="EJ216" i="9" s="1"/>
  <c r="EK218" i="9"/>
  <c r="EK217" i="9" s="1"/>
  <c r="EK216" i="9" s="1"/>
  <c r="EL218" i="9"/>
  <c r="EL217" i="9" s="1"/>
  <c r="EL216" i="9" s="1"/>
  <c r="EM218" i="9"/>
  <c r="EM217" i="9" s="1"/>
  <c r="EM216" i="9" s="1"/>
  <c r="EN218" i="9"/>
  <c r="EN217" i="9" s="1"/>
  <c r="EN216" i="9" s="1"/>
  <c r="EO218" i="9"/>
  <c r="EO217" i="9" s="1"/>
  <c r="EO216" i="9" s="1"/>
  <c r="EP218" i="9"/>
  <c r="EP217" i="9" s="1"/>
  <c r="EP216" i="9" s="1"/>
  <c r="EQ218" i="9"/>
  <c r="ER218" i="9"/>
  <c r="ES218" i="9"/>
  <c r="ES217" i="9" s="1"/>
  <c r="ES216" i="9" s="1"/>
  <c r="ER217" i="9" l="1"/>
  <c r="ER216" i="9" s="1"/>
  <c r="EQ217" i="9"/>
  <c r="EQ216" i="9" s="1"/>
  <c r="G21" i="10"/>
  <c r="G20" i="10"/>
  <c r="G15" i="10"/>
  <c r="G98" i="10" l="1"/>
  <c r="G150" i="10"/>
  <c r="CY40" i="9"/>
  <c r="G244" i="10"/>
  <c r="DW385" i="9"/>
  <c r="DX385" i="9"/>
  <c r="DY385" i="9"/>
  <c r="DZ385" i="9"/>
  <c r="EA385" i="9"/>
  <c r="EB385" i="9"/>
  <c r="EC385" i="9"/>
  <c r="ED385" i="9"/>
  <c r="EE385" i="9"/>
  <c r="EF385" i="9"/>
  <c r="EG385" i="9"/>
  <c r="DV385" i="9"/>
  <c r="DW263" i="9"/>
  <c r="DW262" i="9" s="1"/>
  <c r="DX263" i="9"/>
  <c r="DX262" i="9" s="1"/>
  <c r="DY263" i="9"/>
  <c r="DY262" i="9" s="1"/>
  <c r="DZ263" i="9"/>
  <c r="DZ262" i="9" s="1"/>
  <c r="EA263" i="9"/>
  <c r="EA262" i="9" s="1"/>
  <c r="EB263" i="9"/>
  <c r="EB262" i="9" s="1"/>
  <c r="EC263" i="9"/>
  <c r="EC262" i="9" s="1"/>
  <c r="ED263" i="9"/>
  <c r="ED262" i="9" s="1"/>
  <c r="EE263" i="9"/>
  <c r="EE262" i="9" s="1"/>
  <c r="EF263" i="9"/>
  <c r="EF262" i="9" s="1"/>
  <c r="EG263" i="9"/>
  <c r="EG262" i="9" s="1"/>
  <c r="DV263" i="9"/>
  <c r="DV262" i="9" s="1"/>
  <c r="DW259" i="9"/>
  <c r="DX259" i="9"/>
  <c r="DY259" i="9"/>
  <c r="DZ259" i="9"/>
  <c r="EA259" i="9"/>
  <c r="EB259" i="9"/>
  <c r="EC259" i="9"/>
  <c r="ED259" i="9"/>
  <c r="EE259" i="9"/>
  <c r="EF259" i="9"/>
  <c r="DV259" i="9"/>
  <c r="DW244" i="9"/>
  <c r="DX244" i="9"/>
  <c r="DY244" i="9"/>
  <c r="DZ244" i="9"/>
  <c r="EA244" i="9"/>
  <c r="EB244" i="9"/>
  <c r="EC244" i="9"/>
  <c r="ED244" i="9"/>
  <c r="EE244" i="9"/>
  <c r="EF244" i="9"/>
  <c r="EG244" i="9"/>
  <c r="DV244" i="9"/>
  <c r="DW237" i="9"/>
  <c r="DX237" i="9"/>
  <c r="DY237" i="9"/>
  <c r="DZ237" i="9"/>
  <c r="EA237" i="9"/>
  <c r="EB237" i="9"/>
  <c r="EC237" i="9"/>
  <c r="ED237" i="9"/>
  <c r="EE237" i="9"/>
  <c r="EF237" i="9"/>
  <c r="EG237" i="9"/>
  <c r="DV237" i="9"/>
  <c r="DW232" i="9"/>
  <c r="DX232" i="9"/>
  <c r="DY232" i="9"/>
  <c r="DZ232" i="9"/>
  <c r="EA232" i="9"/>
  <c r="EB232" i="9"/>
  <c r="EC232" i="9"/>
  <c r="ED232" i="9"/>
  <c r="EE232" i="9"/>
  <c r="EF232" i="9"/>
  <c r="EG232" i="9"/>
  <c r="DV232" i="9"/>
  <c r="DW227" i="9"/>
  <c r="DX227" i="9"/>
  <c r="DY227" i="9"/>
  <c r="DZ227" i="9"/>
  <c r="EA227" i="9"/>
  <c r="EB227" i="9"/>
  <c r="EC227" i="9"/>
  <c r="ED227" i="9"/>
  <c r="EE227" i="9"/>
  <c r="EF227" i="9"/>
  <c r="EG227" i="9"/>
  <c r="DV227" i="9"/>
  <c r="DW218" i="9"/>
  <c r="DX218" i="9"/>
  <c r="DX217" i="9" s="1"/>
  <c r="DY218" i="9"/>
  <c r="DY217" i="9" s="1"/>
  <c r="DZ218" i="9"/>
  <c r="DZ217" i="9" s="1"/>
  <c r="EA218" i="9"/>
  <c r="EA217" i="9" s="1"/>
  <c r="EB218" i="9"/>
  <c r="EB217" i="9" s="1"/>
  <c r="EC218" i="9"/>
  <c r="EC217" i="9" s="1"/>
  <c r="ED218" i="9"/>
  <c r="ED217" i="9" s="1"/>
  <c r="EE218" i="9"/>
  <c r="EE217" i="9" s="1"/>
  <c r="EF218" i="9"/>
  <c r="EF217" i="9" s="1"/>
  <c r="EG218" i="9"/>
  <c r="EG217" i="9" s="1"/>
  <c r="EG216" i="9" s="1"/>
  <c r="DV218" i="9"/>
  <c r="DV217" i="9" s="1"/>
  <c r="DV216" i="9" s="1"/>
  <c r="DS237" i="9"/>
  <c r="DU237" i="9"/>
  <c r="DR237" i="9"/>
  <c r="DT237" i="9"/>
  <c r="G281" i="10"/>
  <c r="G279" i="10"/>
  <c r="G277" i="10"/>
  <c r="G268" i="10"/>
  <c r="G267" i="10"/>
  <c r="G262" i="10"/>
  <c r="G260" i="10"/>
  <c r="G258" i="10"/>
  <c r="G257" i="10"/>
  <c r="G252" i="10"/>
  <c r="G251" i="10"/>
  <c r="B7" i="5" s="1"/>
  <c r="G248" i="10"/>
  <c r="G242" i="10"/>
  <c r="R8" i="5" s="1"/>
  <c r="R82" i="5" s="1"/>
  <c r="G241" i="10"/>
  <c r="Q8" i="5" s="1"/>
  <c r="Q82" i="5" s="1"/>
  <c r="G240" i="10"/>
  <c r="G239" i="10"/>
  <c r="O8" i="5" s="1"/>
  <c r="O82" i="5" s="1"/>
  <c r="G238" i="10"/>
  <c r="N8" i="5" s="1"/>
  <c r="N82" i="5" s="1"/>
  <c r="G237" i="10"/>
  <c r="M8" i="5" s="1"/>
  <c r="M82" i="5" s="1"/>
  <c r="G236" i="10"/>
  <c r="G235" i="10"/>
  <c r="K8" i="5" s="1"/>
  <c r="K82" i="5" s="1"/>
  <c r="G234" i="10"/>
  <c r="J8" i="5" s="1"/>
  <c r="J82" i="5" s="1"/>
  <c r="G233" i="10"/>
  <c r="I8" i="5" s="1"/>
  <c r="I82" i="5" s="1"/>
  <c r="G232" i="10"/>
  <c r="H8" i="5" s="1"/>
  <c r="H82" i="5" s="1"/>
  <c r="G231" i="10"/>
  <c r="G8" i="5" s="1"/>
  <c r="G82" i="5" s="1"/>
  <c r="G230" i="10"/>
  <c r="G229" i="10"/>
  <c r="G227" i="10"/>
  <c r="G225" i="10"/>
  <c r="G224" i="10"/>
  <c r="G223" i="10"/>
  <c r="G222" i="10"/>
  <c r="G221" i="10"/>
  <c r="G220" i="10"/>
  <c r="G219" i="10"/>
  <c r="G217" i="10"/>
  <c r="G216" i="10"/>
  <c r="G215" i="10"/>
  <c r="G214" i="10"/>
  <c r="G213" i="10"/>
  <c r="G212" i="10"/>
  <c r="G211" i="10"/>
  <c r="G210" i="10"/>
  <c r="G209" i="10"/>
  <c r="G208" i="10"/>
  <c r="G207" i="10"/>
  <c r="G206" i="10"/>
  <c r="G205" i="10"/>
  <c r="G204" i="10"/>
  <c r="G203" i="10"/>
  <c r="G202" i="10"/>
  <c r="G201" i="10"/>
  <c r="G200" i="10"/>
  <c r="G199" i="10"/>
  <c r="G198" i="10"/>
  <c r="G197" i="10"/>
  <c r="G196" i="10"/>
  <c r="G195" i="10"/>
  <c r="G194" i="10"/>
  <c r="G193" i="10"/>
  <c r="G192" i="10"/>
  <c r="G191" i="10"/>
  <c r="G190" i="10"/>
  <c r="G189" i="10"/>
  <c r="G188" i="10"/>
  <c r="G187" i="10"/>
  <c r="G186" i="10"/>
  <c r="G185" i="10"/>
  <c r="G184" i="10"/>
  <c r="G183" i="10"/>
  <c r="G182" i="10"/>
  <c r="G181" i="10"/>
  <c r="G180" i="10"/>
  <c r="G179" i="10"/>
  <c r="G178" i="10"/>
  <c r="G177" i="10"/>
  <c r="G176" i="10"/>
  <c r="G175" i="10"/>
  <c r="G174" i="10"/>
  <c r="G173" i="10"/>
  <c r="G172" i="10"/>
  <c r="G171" i="10"/>
  <c r="G170" i="10"/>
  <c r="G169" i="10"/>
  <c r="G168" i="10"/>
  <c r="G167" i="10"/>
  <c r="G166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52" i="10"/>
  <c r="G151" i="10"/>
  <c r="G149" i="10"/>
  <c r="G148" i="10"/>
  <c r="G147" i="10"/>
  <c r="G146" i="10"/>
  <c r="G145" i="10"/>
  <c r="G144" i="10"/>
  <c r="G143" i="10"/>
  <c r="G142" i="10"/>
  <c r="G141" i="10"/>
  <c r="G140" i="10"/>
  <c r="G139" i="10"/>
  <c r="G138" i="10"/>
  <c r="G137" i="10"/>
  <c r="G136" i="10"/>
  <c r="G135" i="10"/>
  <c r="G134" i="10"/>
  <c r="G133" i="10"/>
  <c r="G132" i="10"/>
  <c r="G131" i="10"/>
  <c r="G130" i="10"/>
  <c r="G129" i="10"/>
  <c r="G128" i="10"/>
  <c r="G127" i="10"/>
  <c r="G126" i="10"/>
  <c r="G125" i="10"/>
  <c r="G124" i="10"/>
  <c r="G123" i="10"/>
  <c r="G122" i="10"/>
  <c r="G121" i="10"/>
  <c r="G120" i="10"/>
  <c r="G119" i="10"/>
  <c r="G118" i="10"/>
  <c r="G117" i="10"/>
  <c r="G116" i="10"/>
  <c r="G115" i="10"/>
  <c r="G114" i="10"/>
  <c r="G113" i="10"/>
  <c r="G112" i="10"/>
  <c r="G111" i="10"/>
  <c r="G110" i="10"/>
  <c r="G109" i="10"/>
  <c r="G108" i="10"/>
  <c r="G107" i="10"/>
  <c r="G106" i="10"/>
  <c r="G105" i="10"/>
  <c r="G104" i="10"/>
  <c r="G103" i="10"/>
  <c r="G102" i="10"/>
  <c r="G101" i="10"/>
  <c r="G100" i="10"/>
  <c r="G99" i="10"/>
  <c r="G97" i="10"/>
  <c r="G96" i="10"/>
  <c r="G95" i="10"/>
  <c r="G94" i="10"/>
  <c r="G93" i="10"/>
  <c r="G92" i="10"/>
  <c r="G91" i="10"/>
  <c r="G90" i="10"/>
  <c r="G89" i="10"/>
  <c r="G88" i="10"/>
  <c r="G87" i="10"/>
  <c r="G86" i="10"/>
  <c r="G85" i="10"/>
  <c r="G84" i="10"/>
  <c r="G83" i="10"/>
  <c r="G82" i="10"/>
  <c r="G81" i="10"/>
  <c r="G80" i="10"/>
  <c r="G79" i="10"/>
  <c r="G78" i="10"/>
  <c r="G77" i="10"/>
  <c r="G76" i="10"/>
  <c r="G75" i="10"/>
  <c r="G74" i="10"/>
  <c r="G73" i="10"/>
  <c r="G72" i="10"/>
  <c r="G71" i="10"/>
  <c r="G70" i="10"/>
  <c r="G69" i="10"/>
  <c r="G68" i="10"/>
  <c r="G67" i="10"/>
  <c r="G66" i="10"/>
  <c r="G65" i="10"/>
  <c r="G64" i="10"/>
  <c r="G63" i="10"/>
  <c r="G62" i="10"/>
  <c r="G61" i="10"/>
  <c r="G60" i="10"/>
  <c r="G59" i="10"/>
  <c r="G58" i="10"/>
  <c r="G57" i="10"/>
  <c r="G56" i="10"/>
  <c r="G55" i="10"/>
  <c r="G54" i="10"/>
  <c r="G53" i="10"/>
  <c r="G52" i="10"/>
  <c r="G51" i="10"/>
  <c r="G50" i="10"/>
  <c r="G49" i="10"/>
  <c r="G48" i="10"/>
  <c r="G47" i="10"/>
  <c r="G46" i="10"/>
  <c r="G45" i="10"/>
  <c r="G44" i="10"/>
  <c r="G43" i="10"/>
  <c r="G42" i="10"/>
  <c r="G41" i="10"/>
  <c r="G40" i="10"/>
  <c r="G39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8" i="3" s="1"/>
  <c r="G24" i="10"/>
  <c r="G23" i="10"/>
  <c r="G22" i="10"/>
  <c r="G19" i="10"/>
  <c r="G18" i="10"/>
  <c r="G17" i="10"/>
  <c r="G16" i="10"/>
  <c r="G10" i="10"/>
  <c r="G9" i="10"/>
  <c r="G8" i="10"/>
  <c r="E4" i="3" s="1"/>
  <c r="G7" i="10"/>
  <c r="E3" i="5" s="1"/>
  <c r="G6" i="10"/>
  <c r="G5" i="10"/>
  <c r="G3" i="10"/>
  <c r="D396" i="9"/>
  <c r="D395" i="9"/>
  <c r="D394" i="9"/>
  <c r="DU393" i="9"/>
  <c r="DT393" i="9"/>
  <c r="DS393" i="9"/>
  <c r="DR393" i="9"/>
  <c r="DQ393" i="9"/>
  <c r="DP393" i="9"/>
  <c r="DO393" i="9"/>
  <c r="DN393" i="9"/>
  <c r="DM393" i="9"/>
  <c r="DL393" i="9"/>
  <c r="DK393" i="9"/>
  <c r="DJ393" i="9"/>
  <c r="DI393" i="9"/>
  <c r="DH393" i="9"/>
  <c r="DG393" i="9"/>
  <c r="DF393" i="9"/>
  <c r="DE393" i="9"/>
  <c r="DD393" i="9"/>
  <c r="DC393" i="9"/>
  <c r="DB393" i="9"/>
  <c r="DA393" i="9"/>
  <c r="CZ393" i="9"/>
  <c r="CY393" i="9"/>
  <c r="CX393" i="9"/>
  <c r="CW393" i="9"/>
  <c r="CV393" i="9"/>
  <c r="CU393" i="9"/>
  <c r="CT393" i="9"/>
  <c r="CS393" i="9"/>
  <c r="CR393" i="9"/>
  <c r="CQ393" i="9"/>
  <c r="CP393" i="9"/>
  <c r="CO393" i="9"/>
  <c r="CN393" i="9"/>
  <c r="CM393" i="9"/>
  <c r="CL393" i="9"/>
  <c r="D393" i="9"/>
  <c r="D392" i="9"/>
  <c r="D391" i="9"/>
  <c r="D390" i="9"/>
  <c r="DU389" i="9"/>
  <c r="DT389" i="9"/>
  <c r="DS389" i="9"/>
  <c r="DR389" i="9"/>
  <c r="DQ389" i="9"/>
  <c r="DP389" i="9"/>
  <c r="DO389" i="9"/>
  <c r="DN389" i="9"/>
  <c r="DM389" i="9"/>
  <c r="DL389" i="9"/>
  <c r="DK389" i="9"/>
  <c r="DJ389" i="9"/>
  <c r="DI389" i="9"/>
  <c r="DH389" i="9"/>
  <c r="DG389" i="9"/>
  <c r="DF389" i="9"/>
  <c r="DE389" i="9"/>
  <c r="DD389" i="9"/>
  <c r="DC389" i="9"/>
  <c r="DB389" i="9"/>
  <c r="DA389" i="9"/>
  <c r="CZ389" i="9"/>
  <c r="CY389" i="9"/>
  <c r="CX389" i="9"/>
  <c r="CW389" i="9"/>
  <c r="CV389" i="9"/>
  <c r="CU389" i="9"/>
  <c r="CT389" i="9"/>
  <c r="CS389" i="9"/>
  <c r="CS386" i="9"/>
  <c r="CR389" i="9"/>
  <c r="CQ389" i="9"/>
  <c r="CP389" i="9"/>
  <c r="CO389" i="9"/>
  <c r="CO386" i="9"/>
  <c r="CN389" i="9"/>
  <c r="CM389" i="9"/>
  <c r="CL389" i="9"/>
  <c r="D389" i="9"/>
  <c r="D388" i="9"/>
  <c r="D387" i="9"/>
  <c r="DU386" i="9"/>
  <c r="DU385" i="9" s="1"/>
  <c r="DT386" i="9"/>
  <c r="DS386" i="9"/>
  <c r="DS385" i="9" s="1"/>
  <c r="DR386" i="9"/>
  <c r="DQ386" i="9"/>
  <c r="DP386" i="9"/>
  <c r="DO386" i="9"/>
  <c r="DO385" i="9" s="1"/>
  <c r="DN386" i="9"/>
  <c r="DM386" i="9"/>
  <c r="DM385" i="9" s="1"/>
  <c r="DL386" i="9"/>
  <c r="DK386" i="9"/>
  <c r="DK385" i="9" s="1"/>
  <c r="DJ386" i="9"/>
  <c r="DI386" i="9"/>
  <c r="DH386" i="9"/>
  <c r="DG386" i="9"/>
  <c r="DG385" i="9" s="1"/>
  <c r="DF386" i="9"/>
  <c r="DE386" i="9"/>
  <c r="DD386" i="9"/>
  <c r="DC386" i="9"/>
  <c r="DC385" i="9" s="1"/>
  <c r="DB386" i="9"/>
  <c r="DA386" i="9"/>
  <c r="CZ386" i="9"/>
  <c r="CY386" i="9"/>
  <c r="CY385" i="9" s="1"/>
  <c r="CX386" i="9"/>
  <c r="CW386" i="9"/>
  <c r="CV386" i="9"/>
  <c r="CU386" i="9"/>
  <c r="CU385" i="9" s="1"/>
  <c r="CT386" i="9"/>
  <c r="CR386" i="9"/>
  <c r="CQ386" i="9"/>
  <c r="CP386" i="9"/>
  <c r="CN386" i="9"/>
  <c r="CM386" i="9"/>
  <c r="CL386" i="9"/>
  <c r="D386" i="9"/>
  <c r="D385" i="9"/>
  <c r="D384" i="9"/>
  <c r="D383" i="9"/>
  <c r="D382" i="9"/>
  <c r="D381" i="9"/>
  <c r="D380" i="9"/>
  <c r="DU379" i="9"/>
  <c r="DU378" i="9" s="1"/>
  <c r="DT379" i="9"/>
  <c r="DT378" i="9" s="1"/>
  <c r="DS379" i="9"/>
  <c r="DS378" i="9" s="1"/>
  <c r="DR379" i="9"/>
  <c r="DR378" i="9" s="1"/>
  <c r="DQ379" i="9"/>
  <c r="DQ378" i="9" s="1"/>
  <c r="DP379" i="9"/>
  <c r="DP378" i="9" s="1"/>
  <c r="DO379" i="9"/>
  <c r="DO378" i="9" s="1"/>
  <c r="DN379" i="9"/>
  <c r="DN378" i="9" s="1"/>
  <c r="DM379" i="9"/>
  <c r="DM378" i="9" s="1"/>
  <c r="DL379" i="9"/>
  <c r="DL378" i="9" s="1"/>
  <c r="DK379" i="9"/>
  <c r="DK378" i="9" s="1"/>
  <c r="DJ379" i="9"/>
  <c r="DJ378" i="9" s="1"/>
  <c r="DI379" i="9"/>
  <c r="DI378" i="9" s="1"/>
  <c r="DH379" i="9"/>
  <c r="DH378" i="9" s="1"/>
  <c r="DG379" i="9"/>
  <c r="DG378" i="9" s="1"/>
  <c r="DF379" i="9"/>
  <c r="DF378" i="9" s="1"/>
  <c r="DE379" i="9"/>
  <c r="DE378" i="9" s="1"/>
  <c r="DD379" i="9"/>
  <c r="DD378" i="9" s="1"/>
  <c r="DC379" i="9"/>
  <c r="DC378" i="9" s="1"/>
  <c r="DB379" i="9"/>
  <c r="DB378" i="9" s="1"/>
  <c r="DA379" i="9"/>
  <c r="DA378" i="9" s="1"/>
  <c r="CZ379" i="9"/>
  <c r="CZ378" i="9" s="1"/>
  <c r="CY379" i="9"/>
  <c r="CY378" i="9" s="1"/>
  <c r="CX379" i="9"/>
  <c r="CX378" i="9" s="1"/>
  <c r="CW379" i="9"/>
  <c r="CW378" i="9" s="1"/>
  <c r="CV379" i="9"/>
  <c r="CV378" i="9" s="1"/>
  <c r="CU379" i="9"/>
  <c r="CU378" i="9" s="1"/>
  <c r="CT379" i="9"/>
  <c r="CT378" i="9" s="1"/>
  <c r="CS379" i="9"/>
  <c r="CS378" i="9" s="1"/>
  <c r="CR379" i="9"/>
  <c r="CR378" i="9" s="1"/>
  <c r="CQ379" i="9"/>
  <c r="CQ378" i="9" s="1"/>
  <c r="CP379" i="9"/>
  <c r="CP378" i="9" s="1"/>
  <c r="CO379" i="9"/>
  <c r="CO378" i="9" s="1"/>
  <c r="CN379" i="9"/>
  <c r="CN378" i="9" s="1"/>
  <c r="CM379" i="9"/>
  <c r="CM378" i="9" s="1"/>
  <c r="CL379" i="9"/>
  <c r="CL378" i="9" s="1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U361" i="9"/>
  <c r="DT361" i="9"/>
  <c r="DS361" i="9"/>
  <c r="DS351" i="9"/>
  <c r="DR361" i="9"/>
  <c r="DQ361" i="9"/>
  <c r="DP361" i="9"/>
  <c r="DO361" i="9"/>
  <c r="DN361" i="9"/>
  <c r="DM361" i="9"/>
  <c r="DL361" i="9"/>
  <c r="DK361" i="9"/>
  <c r="DJ361" i="9"/>
  <c r="DI361" i="9"/>
  <c r="DH361" i="9"/>
  <c r="DG361" i="9"/>
  <c r="DF361" i="9"/>
  <c r="DE361" i="9"/>
  <c r="DD361" i="9"/>
  <c r="DC361" i="9"/>
  <c r="DB361" i="9"/>
  <c r="DA361" i="9"/>
  <c r="CZ361" i="9"/>
  <c r="CY361" i="9"/>
  <c r="CX361" i="9"/>
  <c r="CW361" i="9"/>
  <c r="CV361" i="9"/>
  <c r="CU361" i="9"/>
  <c r="CT361" i="9"/>
  <c r="CS361" i="9"/>
  <c r="CR361" i="9"/>
  <c r="CQ361" i="9"/>
  <c r="CP361" i="9"/>
  <c r="CO361" i="9"/>
  <c r="CN361" i="9"/>
  <c r="CM361" i="9"/>
  <c r="CL361" i="9"/>
  <c r="D361" i="9"/>
  <c r="D360" i="9"/>
  <c r="D359" i="9"/>
  <c r="D358" i="9"/>
  <c r="D357" i="9"/>
  <c r="D356" i="9"/>
  <c r="D355" i="9"/>
  <c r="D354" i="9"/>
  <c r="D353" i="9"/>
  <c r="D352" i="9"/>
  <c r="DU351" i="9"/>
  <c r="DT351" i="9"/>
  <c r="DR351" i="9"/>
  <c r="DQ351" i="9"/>
  <c r="DP351" i="9"/>
  <c r="DO351" i="9"/>
  <c r="DN351" i="9"/>
  <c r="DN350" i="9" s="1"/>
  <c r="DM351" i="9"/>
  <c r="DL351" i="9"/>
  <c r="DK351" i="9"/>
  <c r="DJ351" i="9"/>
  <c r="DJ350" i="9" s="1"/>
  <c r="DI351" i="9"/>
  <c r="DH351" i="9"/>
  <c r="DG351" i="9"/>
  <c r="DF351" i="9"/>
  <c r="DF350" i="9" s="1"/>
  <c r="DE351" i="9"/>
  <c r="DD351" i="9"/>
  <c r="DC351" i="9"/>
  <c r="DB351" i="9"/>
  <c r="DB350" i="9" s="1"/>
  <c r="DA351" i="9"/>
  <c r="CZ351" i="9"/>
  <c r="CY351" i="9"/>
  <c r="CX351" i="9"/>
  <c r="CX350" i="9" s="1"/>
  <c r="CW351" i="9"/>
  <c r="CV351" i="9"/>
  <c r="CU351" i="9"/>
  <c r="CT351" i="9"/>
  <c r="CS351" i="9"/>
  <c r="CR351" i="9"/>
  <c r="CQ351" i="9"/>
  <c r="CP351" i="9"/>
  <c r="CP350" i="9" s="1"/>
  <c r="CO351" i="9"/>
  <c r="CN351" i="9"/>
  <c r="CM351" i="9"/>
  <c r="CL351" i="9"/>
  <c r="CL350" i="9" s="1"/>
  <c r="D351" i="9"/>
  <c r="D350" i="9"/>
  <c r="D349" i="9"/>
  <c r="D348" i="9"/>
  <c r="D347" i="9"/>
  <c r="DU346" i="9"/>
  <c r="DT346" i="9"/>
  <c r="DS346" i="9"/>
  <c r="DR346" i="9"/>
  <c r="DQ346" i="9"/>
  <c r="DP346" i="9"/>
  <c r="DO346" i="9"/>
  <c r="DN346" i="9"/>
  <c r="DM346" i="9"/>
  <c r="DL346" i="9"/>
  <c r="DK346" i="9"/>
  <c r="DJ346" i="9"/>
  <c r="DI346" i="9"/>
  <c r="DH346" i="9"/>
  <c r="DG346" i="9"/>
  <c r="DF346" i="9"/>
  <c r="DE346" i="9"/>
  <c r="DD346" i="9"/>
  <c r="DC346" i="9"/>
  <c r="DB346" i="9"/>
  <c r="DA346" i="9"/>
  <c r="CZ346" i="9"/>
  <c r="CY346" i="9"/>
  <c r="CX346" i="9"/>
  <c r="CW346" i="9"/>
  <c r="CV346" i="9"/>
  <c r="CU346" i="9"/>
  <c r="CT346" i="9"/>
  <c r="CS346" i="9"/>
  <c r="CR346" i="9"/>
  <c r="CQ346" i="9"/>
  <c r="CP346" i="9"/>
  <c r="CO346" i="9"/>
  <c r="CN346" i="9"/>
  <c r="CM346" i="9"/>
  <c r="CL346" i="9"/>
  <c r="D346" i="9"/>
  <c r="D345" i="9"/>
  <c r="DU344" i="9"/>
  <c r="DT344" i="9"/>
  <c r="DS344" i="9"/>
  <c r="DR344" i="9"/>
  <c r="DQ344" i="9"/>
  <c r="DP344" i="9"/>
  <c r="DO344" i="9"/>
  <c r="DN344" i="9"/>
  <c r="DM344" i="9"/>
  <c r="DL344" i="9"/>
  <c r="DK344" i="9"/>
  <c r="DJ344" i="9"/>
  <c r="DI344" i="9"/>
  <c r="DH344" i="9"/>
  <c r="DG344" i="9"/>
  <c r="DF344" i="9"/>
  <c r="DE344" i="9"/>
  <c r="DD344" i="9"/>
  <c r="DC344" i="9"/>
  <c r="DB344" i="9"/>
  <c r="DA344" i="9"/>
  <c r="CZ344" i="9"/>
  <c r="CY344" i="9"/>
  <c r="CX344" i="9"/>
  <c r="CW344" i="9"/>
  <c r="CV344" i="9"/>
  <c r="CU344" i="9"/>
  <c r="CT344" i="9"/>
  <c r="CS344" i="9"/>
  <c r="CR344" i="9"/>
  <c r="CQ344" i="9"/>
  <c r="CP344" i="9"/>
  <c r="CO344" i="9"/>
  <c r="CN344" i="9"/>
  <c r="CM344" i="9"/>
  <c r="CL344" i="9"/>
  <c r="D344" i="9"/>
  <c r="D343" i="9"/>
  <c r="D342" i="9"/>
  <c r="D341" i="9"/>
  <c r="D340" i="9"/>
  <c r="D339" i="9"/>
  <c r="D338" i="9"/>
  <c r="D337" i="9"/>
  <c r="DU336" i="9"/>
  <c r="DT336" i="9"/>
  <c r="DS336" i="9"/>
  <c r="DR336" i="9"/>
  <c r="DQ336" i="9"/>
  <c r="DP336" i="9"/>
  <c r="DO336" i="9"/>
  <c r="DN336" i="9"/>
  <c r="DM336" i="9"/>
  <c r="DL336" i="9"/>
  <c r="DK336" i="9"/>
  <c r="DJ336" i="9"/>
  <c r="DI336" i="9"/>
  <c r="DH336" i="9"/>
  <c r="DG336" i="9"/>
  <c r="DF336" i="9"/>
  <c r="DE336" i="9"/>
  <c r="DD336" i="9"/>
  <c r="DC336" i="9"/>
  <c r="DC321" i="9"/>
  <c r="DC330" i="9"/>
  <c r="DB336" i="9"/>
  <c r="DA336" i="9"/>
  <c r="CZ336" i="9"/>
  <c r="CY336" i="9"/>
  <c r="CX336" i="9"/>
  <c r="CW336" i="9"/>
  <c r="CV336" i="9"/>
  <c r="CU336" i="9"/>
  <c r="CT336" i="9"/>
  <c r="CS336" i="9"/>
  <c r="CR336" i="9"/>
  <c r="CQ336" i="9"/>
  <c r="CP336" i="9"/>
  <c r="CO336" i="9"/>
  <c r="CN336" i="9"/>
  <c r="CM336" i="9"/>
  <c r="CL336" i="9"/>
  <c r="D336" i="9"/>
  <c r="D335" i="9"/>
  <c r="D334" i="9"/>
  <c r="D333" i="9"/>
  <c r="D332" i="9"/>
  <c r="D331" i="9"/>
  <c r="DU330" i="9"/>
  <c r="DT330" i="9"/>
  <c r="DS330" i="9"/>
  <c r="DR330" i="9"/>
  <c r="DQ330" i="9"/>
  <c r="DP330" i="9"/>
  <c r="DO330" i="9"/>
  <c r="DN330" i="9"/>
  <c r="DM330" i="9"/>
  <c r="DL330" i="9"/>
  <c r="DK330" i="9"/>
  <c r="DJ330" i="9"/>
  <c r="DI330" i="9"/>
  <c r="DH330" i="9"/>
  <c r="DG330" i="9"/>
  <c r="DF330" i="9"/>
  <c r="DE330" i="9"/>
  <c r="DD330" i="9"/>
  <c r="DB330" i="9"/>
  <c r="DA330" i="9"/>
  <c r="CZ330" i="9"/>
  <c r="CY330" i="9"/>
  <c r="CX330" i="9"/>
  <c r="CW330" i="9"/>
  <c r="CV330" i="9"/>
  <c r="CU330" i="9"/>
  <c r="CT330" i="9"/>
  <c r="CS330" i="9"/>
  <c r="CR330" i="9"/>
  <c r="CQ330" i="9"/>
  <c r="CP330" i="9"/>
  <c r="CO330" i="9"/>
  <c r="CN330" i="9"/>
  <c r="CM330" i="9"/>
  <c r="CL330" i="9"/>
  <c r="CL320" i="9" s="1"/>
  <c r="D330" i="9"/>
  <c r="D328" i="9"/>
  <c r="D327" i="9"/>
  <c r="D326" i="9"/>
  <c r="D325" i="9"/>
  <c r="D324" i="9"/>
  <c r="D323" i="9"/>
  <c r="D322" i="9"/>
  <c r="DU321" i="9"/>
  <c r="DT321" i="9"/>
  <c r="DS321" i="9"/>
  <c r="DR321" i="9"/>
  <c r="DQ321" i="9"/>
  <c r="DP321" i="9"/>
  <c r="DO321" i="9"/>
  <c r="DN321" i="9"/>
  <c r="DM321" i="9"/>
  <c r="DL321" i="9"/>
  <c r="DK321" i="9"/>
  <c r="DJ321" i="9"/>
  <c r="DI321" i="9"/>
  <c r="DH321" i="9"/>
  <c r="DG321" i="9"/>
  <c r="DF321" i="9"/>
  <c r="DE321" i="9"/>
  <c r="DD321" i="9"/>
  <c r="DB321" i="9"/>
  <c r="DA321" i="9"/>
  <c r="CZ321" i="9"/>
  <c r="CY321" i="9"/>
  <c r="CX321" i="9"/>
  <c r="CW321" i="9"/>
  <c r="CV321" i="9"/>
  <c r="CU321" i="9"/>
  <c r="CT321" i="9"/>
  <c r="CS321" i="9"/>
  <c r="CR321" i="9"/>
  <c r="CQ321" i="9"/>
  <c r="CP321" i="9"/>
  <c r="CO321" i="9"/>
  <c r="CN321" i="9"/>
  <c r="CM321" i="9"/>
  <c r="CL321" i="9"/>
  <c r="D321" i="9"/>
  <c r="D320" i="9"/>
  <c r="D319" i="9"/>
  <c r="D318" i="9"/>
  <c r="D317" i="9"/>
  <c r="D316" i="9"/>
  <c r="D315" i="9"/>
  <c r="D314" i="9"/>
  <c r="D313" i="9"/>
  <c r="D312" i="9"/>
  <c r="D311" i="9"/>
  <c r="DU310" i="9"/>
  <c r="DT310" i="9"/>
  <c r="DS310" i="9"/>
  <c r="DR310" i="9"/>
  <c r="DQ310" i="9"/>
  <c r="DP310" i="9"/>
  <c r="DO310" i="9"/>
  <c r="DN310" i="9"/>
  <c r="DM310" i="9"/>
  <c r="DL310" i="9"/>
  <c r="DK310" i="9"/>
  <c r="DJ310" i="9"/>
  <c r="DI310" i="9"/>
  <c r="DH310" i="9"/>
  <c r="DG310" i="9"/>
  <c r="DF310" i="9"/>
  <c r="DE310" i="9"/>
  <c r="DD310" i="9"/>
  <c r="DC310" i="9"/>
  <c r="DB310" i="9"/>
  <c r="DA310" i="9"/>
  <c r="CZ310" i="9"/>
  <c r="CY310" i="9"/>
  <c r="CX310" i="9"/>
  <c r="CW310" i="9"/>
  <c r="CV310" i="9"/>
  <c r="CU310" i="9"/>
  <c r="CT310" i="9"/>
  <c r="CS310" i="9"/>
  <c r="CR310" i="9"/>
  <c r="CQ310" i="9"/>
  <c r="CP310" i="9"/>
  <c r="CO310" i="9"/>
  <c r="CN310" i="9"/>
  <c r="CM310" i="9"/>
  <c r="CL310" i="9"/>
  <c r="D310" i="9"/>
  <c r="D309" i="9"/>
  <c r="D308" i="9"/>
  <c r="D307" i="9"/>
  <c r="DU306" i="9"/>
  <c r="DT306" i="9"/>
  <c r="DS306" i="9"/>
  <c r="DR306" i="9"/>
  <c r="DQ306" i="9"/>
  <c r="DP306" i="9"/>
  <c r="DO306" i="9"/>
  <c r="DN306" i="9"/>
  <c r="DM306" i="9"/>
  <c r="DL306" i="9"/>
  <c r="DK306" i="9"/>
  <c r="DJ306" i="9"/>
  <c r="DI306" i="9"/>
  <c r="DH306" i="9"/>
  <c r="DG306" i="9"/>
  <c r="DF306" i="9"/>
  <c r="DE306" i="9"/>
  <c r="DD306" i="9"/>
  <c r="DC306" i="9"/>
  <c r="DB306" i="9"/>
  <c r="DA306" i="9"/>
  <c r="CZ306" i="9"/>
  <c r="CY306" i="9"/>
  <c r="CX306" i="9"/>
  <c r="CW306" i="9"/>
  <c r="CV306" i="9"/>
  <c r="CU306" i="9"/>
  <c r="CT306" i="9"/>
  <c r="CS306" i="9"/>
  <c r="CR306" i="9"/>
  <c r="CQ306" i="9"/>
  <c r="CP306" i="9"/>
  <c r="CO306" i="9"/>
  <c r="CN306" i="9"/>
  <c r="CM306" i="9"/>
  <c r="CL306" i="9"/>
  <c r="D306" i="9"/>
  <c r="D305" i="9"/>
  <c r="D304" i="9"/>
  <c r="D303" i="9"/>
  <c r="DU302" i="9"/>
  <c r="DT302" i="9"/>
  <c r="DS302" i="9"/>
  <c r="DR302" i="9"/>
  <c r="DQ302" i="9"/>
  <c r="DP302" i="9"/>
  <c r="DO302" i="9"/>
  <c r="DN302" i="9"/>
  <c r="DM302" i="9"/>
  <c r="DL302" i="9"/>
  <c r="DK302" i="9"/>
  <c r="DJ302" i="9"/>
  <c r="DI302" i="9"/>
  <c r="DH302" i="9"/>
  <c r="DG302" i="9"/>
  <c r="DF302" i="9"/>
  <c r="DE302" i="9"/>
  <c r="DD302" i="9"/>
  <c r="DC302" i="9"/>
  <c r="DB302" i="9"/>
  <c r="DA302" i="9"/>
  <c r="CZ302" i="9"/>
  <c r="CY302" i="9"/>
  <c r="CX302" i="9"/>
  <c r="CW302" i="9"/>
  <c r="CV302" i="9"/>
  <c r="CU302" i="9"/>
  <c r="CT302" i="9"/>
  <c r="CS302" i="9"/>
  <c r="CR302" i="9"/>
  <c r="CQ302" i="9"/>
  <c r="CP302" i="9"/>
  <c r="CO302" i="9"/>
  <c r="CN302" i="9"/>
  <c r="CM302" i="9"/>
  <c r="CL302" i="9"/>
  <c r="D302" i="9"/>
  <c r="D301" i="9"/>
  <c r="D300" i="9"/>
  <c r="DU299" i="9"/>
  <c r="DT299" i="9"/>
  <c r="DS299" i="9"/>
  <c r="DR299" i="9"/>
  <c r="DQ299" i="9"/>
  <c r="DP299" i="9"/>
  <c r="DO299" i="9"/>
  <c r="DN299" i="9"/>
  <c r="DM299" i="9"/>
  <c r="DL299" i="9"/>
  <c r="DK299" i="9"/>
  <c r="DJ299" i="9"/>
  <c r="DI299" i="9"/>
  <c r="DH299" i="9"/>
  <c r="DG299" i="9"/>
  <c r="DF299" i="9"/>
  <c r="DE299" i="9"/>
  <c r="DD299" i="9"/>
  <c r="DC299" i="9"/>
  <c r="DB299" i="9"/>
  <c r="DA299" i="9"/>
  <c r="CZ299" i="9"/>
  <c r="CY299" i="9"/>
  <c r="CX299" i="9"/>
  <c r="CW299" i="9"/>
  <c r="CV299" i="9"/>
  <c r="CU299" i="9"/>
  <c r="CT299" i="9"/>
  <c r="CS299" i="9"/>
  <c r="CR299" i="9"/>
  <c r="CQ299" i="9"/>
  <c r="CP299" i="9"/>
  <c r="CO299" i="9"/>
  <c r="CN299" i="9"/>
  <c r="CM299" i="9"/>
  <c r="CL299" i="9"/>
  <c r="D299" i="9"/>
  <c r="D298" i="9"/>
  <c r="D297" i="9"/>
  <c r="DI296" i="9"/>
  <c r="DI295" i="9" s="1"/>
  <c r="D296" i="9"/>
  <c r="DU295" i="9"/>
  <c r="DT295" i="9"/>
  <c r="DS295" i="9"/>
  <c r="DR295" i="9"/>
  <c r="DQ295" i="9"/>
  <c r="DP295" i="9"/>
  <c r="DO295" i="9"/>
  <c r="DN295" i="9"/>
  <c r="DM295" i="9"/>
  <c r="DL295" i="9"/>
  <c r="DK295" i="9"/>
  <c r="DJ295" i="9"/>
  <c r="DH295" i="9"/>
  <c r="DG295" i="9"/>
  <c r="DF295" i="9"/>
  <c r="DE295" i="9"/>
  <c r="DD295" i="9"/>
  <c r="DC295" i="9"/>
  <c r="DB295" i="9"/>
  <c r="DA295" i="9"/>
  <c r="CZ295" i="9"/>
  <c r="CY295" i="9"/>
  <c r="CX295" i="9"/>
  <c r="CW295" i="9"/>
  <c r="CV295" i="9"/>
  <c r="CU295" i="9"/>
  <c r="CT295" i="9"/>
  <c r="CS295" i="9"/>
  <c r="CR295" i="9"/>
  <c r="CQ295" i="9"/>
  <c r="CP295" i="9"/>
  <c r="CO295" i="9"/>
  <c r="CN295" i="9"/>
  <c r="CM295" i="9"/>
  <c r="CL295" i="9"/>
  <c r="D295" i="9"/>
  <c r="D294" i="9"/>
  <c r="D293" i="9"/>
  <c r="D292" i="9"/>
  <c r="D291" i="9"/>
  <c r="D290" i="9"/>
  <c r="D289" i="9"/>
  <c r="D288" i="9"/>
  <c r="D287" i="9"/>
  <c r="D286" i="9"/>
  <c r="DU285" i="9"/>
  <c r="DT285" i="9"/>
  <c r="DS285" i="9"/>
  <c r="DR285" i="9"/>
  <c r="DQ285" i="9"/>
  <c r="DP285" i="9"/>
  <c r="DO285" i="9"/>
  <c r="DN285" i="9"/>
  <c r="DM285" i="9"/>
  <c r="DL285" i="9"/>
  <c r="DK285" i="9"/>
  <c r="DJ285" i="9"/>
  <c r="DI285" i="9"/>
  <c r="DH285" i="9"/>
  <c r="DG285" i="9"/>
  <c r="DF285" i="9"/>
  <c r="DE285" i="9"/>
  <c r="DD285" i="9"/>
  <c r="DC285" i="9"/>
  <c r="DB285" i="9"/>
  <c r="DA285" i="9"/>
  <c r="CZ285" i="9"/>
  <c r="CY285" i="9"/>
  <c r="CX285" i="9"/>
  <c r="CW285" i="9"/>
  <c r="CV285" i="9"/>
  <c r="CU285" i="9"/>
  <c r="CT285" i="9"/>
  <c r="CS285" i="9"/>
  <c r="CR285" i="9"/>
  <c r="CQ285" i="9"/>
  <c r="CP285" i="9"/>
  <c r="CO285" i="9"/>
  <c r="CN285" i="9"/>
  <c r="CM285" i="9"/>
  <c r="CL285" i="9"/>
  <c r="D285" i="9"/>
  <c r="D284" i="9"/>
  <c r="D283" i="9"/>
  <c r="D282" i="9"/>
  <c r="D281" i="9"/>
  <c r="D280" i="9"/>
  <c r="D279" i="9"/>
  <c r="DU278" i="9"/>
  <c r="DT278" i="9"/>
  <c r="DS278" i="9"/>
  <c r="DR278" i="9"/>
  <c r="DQ278" i="9"/>
  <c r="DP278" i="9"/>
  <c r="DO278" i="9"/>
  <c r="DN278" i="9"/>
  <c r="DM278" i="9"/>
  <c r="DL278" i="9"/>
  <c r="DK278" i="9"/>
  <c r="DJ278" i="9"/>
  <c r="DI278" i="9"/>
  <c r="DH278" i="9"/>
  <c r="DG278" i="9"/>
  <c r="DF278" i="9"/>
  <c r="DE278" i="9"/>
  <c r="DD278" i="9"/>
  <c r="DC278" i="9"/>
  <c r="DB278" i="9"/>
  <c r="DA278" i="9"/>
  <c r="CZ278" i="9"/>
  <c r="CY278" i="9"/>
  <c r="CX278" i="9"/>
  <c r="CW278" i="9"/>
  <c r="CV278" i="9"/>
  <c r="CU278" i="9"/>
  <c r="CT278" i="9"/>
  <c r="CS278" i="9"/>
  <c r="CR278" i="9"/>
  <c r="CQ278" i="9"/>
  <c r="CP278" i="9"/>
  <c r="CO278" i="9"/>
  <c r="CN278" i="9"/>
  <c r="CM278" i="9"/>
  <c r="CL278" i="9"/>
  <c r="D278" i="9"/>
  <c r="D277" i="9"/>
  <c r="D276" i="9"/>
  <c r="D275" i="9"/>
  <c r="D274" i="9"/>
  <c r="D273" i="9"/>
  <c r="D272" i="9"/>
  <c r="D271" i="9"/>
  <c r="DU270" i="9"/>
  <c r="DT270" i="9"/>
  <c r="DS270" i="9"/>
  <c r="DR270" i="9"/>
  <c r="DQ270" i="9"/>
  <c r="DP270" i="9"/>
  <c r="DO270" i="9"/>
  <c r="DN270" i="9"/>
  <c r="DM270" i="9"/>
  <c r="DL270" i="9"/>
  <c r="DK270" i="9"/>
  <c r="DJ270" i="9"/>
  <c r="DI270" i="9"/>
  <c r="DH270" i="9"/>
  <c r="DG270" i="9"/>
  <c r="DF270" i="9"/>
  <c r="DE270" i="9"/>
  <c r="DD270" i="9"/>
  <c r="DC270" i="9"/>
  <c r="DB270" i="9"/>
  <c r="DA270" i="9"/>
  <c r="CZ270" i="9"/>
  <c r="CY270" i="9"/>
  <c r="CX270" i="9"/>
  <c r="CW270" i="9"/>
  <c r="CV270" i="9"/>
  <c r="CU270" i="9"/>
  <c r="CT270" i="9"/>
  <c r="CS270" i="9"/>
  <c r="CR270" i="9"/>
  <c r="CQ270" i="9"/>
  <c r="CP270" i="9"/>
  <c r="CO270" i="9"/>
  <c r="CN270" i="9"/>
  <c r="CM270" i="9"/>
  <c r="CL270" i="9"/>
  <c r="D270" i="9"/>
  <c r="D269" i="9"/>
  <c r="D268" i="9"/>
  <c r="D267" i="9"/>
  <c r="D266" i="9"/>
  <c r="D265" i="9"/>
  <c r="DU264" i="9"/>
  <c r="DT264" i="9"/>
  <c r="DS264" i="9"/>
  <c r="DR264" i="9"/>
  <c r="DQ264" i="9"/>
  <c r="DP264" i="9"/>
  <c r="DO264" i="9"/>
  <c r="DN264" i="9"/>
  <c r="DM264" i="9"/>
  <c r="DL264" i="9"/>
  <c r="DK264" i="9"/>
  <c r="DJ264" i="9"/>
  <c r="DI264" i="9"/>
  <c r="DH264" i="9"/>
  <c r="DG264" i="9"/>
  <c r="DF264" i="9"/>
  <c r="DE264" i="9"/>
  <c r="DD264" i="9"/>
  <c r="DC264" i="9"/>
  <c r="DB264" i="9"/>
  <c r="DA264" i="9"/>
  <c r="CZ264" i="9"/>
  <c r="CY264" i="9"/>
  <c r="CX264" i="9"/>
  <c r="CW264" i="9"/>
  <c r="CV264" i="9"/>
  <c r="CU264" i="9"/>
  <c r="CT264" i="9"/>
  <c r="CS264" i="9"/>
  <c r="CR264" i="9"/>
  <c r="CQ264" i="9"/>
  <c r="CP264" i="9"/>
  <c r="CO264" i="9"/>
  <c r="CN264" i="9"/>
  <c r="CM264" i="9"/>
  <c r="CL264" i="9"/>
  <c r="D264" i="9"/>
  <c r="D263" i="9"/>
  <c r="D262" i="9"/>
  <c r="D261" i="9"/>
  <c r="D260" i="9"/>
  <c r="DU259" i="9"/>
  <c r="DU216" i="9" s="1"/>
  <c r="DT259" i="9"/>
  <c r="DT216" i="9" s="1"/>
  <c r="DS259" i="9"/>
  <c r="DS216" i="9" s="1"/>
  <c r="DR259" i="9"/>
  <c r="DR216" i="9" s="1"/>
  <c r="DQ259" i="9"/>
  <c r="DQ216" i="9" s="1"/>
  <c r="DP259" i="9"/>
  <c r="DP216" i="9" s="1"/>
  <c r="DO259" i="9"/>
  <c r="DO216" i="9" s="1"/>
  <c r="DN259" i="9"/>
  <c r="DN216" i="9" s="1"/>
  <c r="DM259" i="9"/>
  <c r="DM216" i="9" s="1"/>
  <c r="DL259" i="9"/>
  <c r="DL216" i="9" s="1"/>
  <c r="DK259" i="9"/>
  <c r="DK216" i="9" s="1"/>
  <c r="DJ259" i="9"/>
  <c r="DI259" i="9"/>
  <c r="DH259" i="9"/>
  <c r="DG259" i="9"/>
  <c r="DF259" i="9"/>
  <c r="DE259" i="9"/>
  <c r="DD259" i="9"/>
  <c r="DC259" i="9"/>
  <c r="DB259" i="9"/>
  <c r="DA259" i="9"/>
  <c r="CZ259" i="9"/>
  <c r="CY259" i="9"/>
  <c r="CX259" i="9"/>
  <c r="CW259" i="9"/>
  <c r="CV259" i="9"/>
  <c r="CU259" i="9"/>
  <c r="CT259" i="9"/>
  <c r="CS259" i="9"/>
  <c r="CR259" i="9"/>
  <c r="CQ259" i="9"/>
  <c r="CP259" i="9"/>
  <c r="CO259" i="9"/>
  <c r="CN259" i="9"/>
  <c r="CM259" i="9"/>
  <c r="CL259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U244" i="9"/>
  <c r="DT244" i="9"/>
  <c r="DS244" i="9"/>
  <c r="DR244" i="9"/>
  <c r="DQ244" i="9"/>
  <c r="DP244" i="9"/>
  <c r="DO244" i="9"/>
  <c r="DN244" i="9"/>
  <c r="DM244" i="9"/>
  <c r="DL244" i="9"/>
  <c r="DK244" i="9"/>
  <c r="DJ244" i="9"/>
  <c r="DI244" i="9"/>
  <c r="DH244" i="9"/>
  <c r="DG244" i="9"/>
  <c r="DF244" i="9"/>
  <c r="DE244" i="9"/>
  <c r="DD244" i="9"/>
  <c r="DC244" i="9"/>
  <c r="DB244" i="9"/>
  <c r="DA244" i="9"/>
  <c r="CZ244" i="9"/>
  <c r="CY244" i="9"/>
  <c r="CX244" i="9"/>
  <c r="CW244" i="9"/>
  <c r="CV244" i="9"/>
  <c r="CU244" i="9"/>
  <c r="CT244" i="9"/>
  <c r="CS244" i="9"/>
  <c r="CR244" i="9"/>
  <c r="CQ244" i="9"/>
  <c r="CP244" i="9"/>
  <c r="CO244" i="9"/>
  <c r="CN244" i="9"/>
  <c r="CM244" i="9"/>
  <c r="CL244" i="9"/>
  <c r="D244" i="9"/>
  <c r="D243" i="9"/>
  <c r="D242" i="9"/>
  <c r="D241" i="9"/>
  <c r="D240" i="9"/>
  <c r="D239" i="9"/>
  <c r="D238" i="9"/>
  <c r="DQ237" i="9"/>
  <c r="DP237" i="9"/>
  <c r="DO237" i="9"/>
  <c r="DN237" i="9"/>
  <c r="DM237" i="9"/>
  <c r="DL237" i="9"/>
  <c r="DK237" i="9"/>
  <c r="DJ237" i="9"/>
  <c r="DI237" i="9"/>
  <c r="DH237" i="9"/>
  <c r="DG237" i="9"/>
  <c r="DF237" i="9"/>
  <c r="DE237" i="9"/>
  <c r="DD237" i="9"/>
  <c r="DC237" i="9"/>
  <c r="DB237" i="9"/>
  <c r="DA237" i="9"/>
  <c r="CZ237" i="9"/>
  <c r="CY237" i="9"/>
  <c r="CX237" i="9"/>
  <c r="CW237" i="9"/>
  <c r="CV237" i="9"/>
  <c r="CU237" i="9"/>
  <c r="CT237" i="9"/>
  <c r="CS237" i="9"/>
  <c r="CR237" i="9"/>
  <c r="CQ237" i="9"/>
  <c r="CP237" i="9"/>
  <c r="CO237" i="9"/>
  <c r="CN237" i="9"/>
  <c r="CM237" i="9"/>
  <c r="CL237" i="9"/>
  <c r="D237" i="9"/>
  <c r="D236" i="9"/>
  <c r="D235" i="9"/>
  <c r="D234" i="9"/>
  <c r="D233" i="9"/>
  <c r="DU232" i="9"/>
  <c r="DT232" i="9"/>
  <c r="DS232" i="9"/>
  <c r="DR232" i="9"/>
  <c r="DQ232" i="9"/>
  <c r="DP232" i="9"/>
  <c r="DO232" i="9"/>
  <c r="DN232" i="9"/>
  <c r="DM232" i="9"/>
  <c r="DL232" i="9"/>
  <c r="DK232" i="9"/>
  <c r="DJ232" i="9"/>
  <c r="DI232" i="9"/>
  <c r="DH232" i="9"/>
  <c r="DG232" i="9"/>
  <c r="DF232" i="9"/>
  <c r="DE232" i="9"/>
  <c r="DD232" i="9"/>
  <c r="DC232" i="9"/>
  <c r="DB232" i="9"/>
  <c r="DA232" i="9"/>
  <c r="CZ232" i="9"/>
  <c r="CY232" i="9"/>
  <c r="CX232" i="9"/>
  <c r="CW232" i="9"/>
  <c r="CV232" i="9"/>
  <c r="CU232" i="9"/>
  <c r="CT232" i="9"/>
  <c r="CS232" i="9"/>
  <c r="CR232" i="9"/>
  <c r="CQ232" i="9"/>
  <c r="CP232" i="9"/>
  <c r="CO232" i="9"/>
  <c r="CN232" i="9"/>
  <c r="CM232" i="9"/>
  <c r="CL232" i="9"/>
  <c r="D232" i="9"/>
  <c r="D231" i="9"/>
  <c r="D230" i="9"/>
  <c r="D229" i="9"/>
  <c r="D228" i="9"/>
  <c r="DU227" i="9"/>
  <c r="DT227" i="9"/>
  <c r="DS227" i="9"/>
  <c r="DR227" i="9"/>
  <c r="DQ227" i="9"/>
  <c r="DP227" i="9"/>
  <c r="DO227" i="9"/>
  <c r="DN227" i="9"/>
  <c r="DM227" i="9"/>
  <c r="DL227" i="9"/>
  <c r="DK227" i="9"/>
  <c r="DJ227" i="9"/>
  <c r="DI227" i="9"/>
  <c r="DH227" i="9"/>
  <c r="DG227" i="9"/>
  <c r="DF227" i="9"/>
  <c r="DE227" i="9"/>
  <c r="DD227" i="9"/>
  <c r="DC227" i="9"/>
  <c r="DB227" i="9"/>
  <c r="DA227" i="9"/>
  <c r="CZ227" i="9"/>
  <c r="CY227" i="9"/>
  <c r="CX227" i="9"/>
  <c r="CW227" i="9"/>
  <c r="CV227" i="9"/>
  <c r="CU227" i="9"/>
  <c r="CT227" i="9"/>
  <c r="CS227" i="9"/>
  <c r="CR227" i="9"/>
  <c r="CQ227" i="9"/>
  <c r="CP227" i="9"/>
  <c r="CO227" i="9"/>
  <c r="CN227" i="9"/>
  <c r="CM227" i="9"/>
  <c r="CL227" i="9"/>
  <c r="D227" i="9"/>
  <c r="D226" i="9"/>
  <c r="D224" i="9"/>
  <c r="D223" i="9"/>
  <c r="D222" i="9"/>
  <c r="D221" i="9"/>
  <c r="D220" i="9"/>
  <c r="D219" i="9"/>
  <c r="DU218" i="9"/>
  <c r="DT218" i="9"/>
  <c r="DS218" i="9"/>
  <c r="DR218" i="9"/>
  <c r="DQ218" i="9"/>
  <c r="DP218" i="9"/>
  <c r="DO218" i="9"/>
  <c r="DN218" i="9"/>
  <c r="DM218" i="9"/>
  <c r="DL218" i="9"/>
  <c r="DK218" i="9"/>
  <c r="DJ218" i="9"/>
  <c r="DI218" i="9"/>
  <c r="DH218" i="9"/>
  <c r="DG218" i="9"/>
  <c r="DF218" i="9"/>
  <c r="DE218" i="9"/>
  <c r="DD218" i="9"/>
  <c r="DC218" i="9"/>
  <c r="DB218" i="9"/>
  <c r="DA218" i="9"/>
  <c r="CZ218" i="9"/>
  <c r="CY218" i="9"/>
  <c r="CX218" i="9"/>
  <c r="CW218" i="9"/>
  <c r="CV218" i="9"/>
  <c r="CU218" i="9"/>
  <c r="CT218" i="9"/>
  <c r="CS218" i="9"/>
  <c r="CR218" i="9"/>
  <c r="CQ218" i="9"/>
  <c r="CP218" i="9"/>
  <c r="CO218" i="9"/>
  <c r="CN218" i="9"/>
  <c r="CM218" i="9"/>
  <c r="CL218" i="9"/>
  <c r="D218" i="9"/>
  <c r="D217" i="9"/>
  <c r="D216" i="9"/>
  <c r="DI23" i="9"/>
  <c r="DI28" i="9"/>
  <c r="DI35" i="9"/>
  <c r="DI43" i="9"/>
  <c r="DI46" i="9"/>
  <c r="DH23" i="9"/>
  <c r="DH28" i="9"/>
  <c r="DH35" i="9"/>
  <c r="DH43" i="9"/>
  <c r="DH46" i="9"/>
  <c r="DG23" i="9"/>
  <c r="DG28" i="9"/>
  <c r="DG35" i="9"/>
  <c r="DG43" i="9"/>
  <c r="DG46" i="9"/>
  <c r="DF23" i="9"/>
  <c r="DF28" i="9"/>
  <c r="DF35" i="9"/>
  <c r="DF43" i="9"/>
  <c r="DF46" i="9"/>
  <c r="DE23" i="9"/>
  <c r="DE28" i="9"/>
  <c r="DE35" i="9"/>
  <c r="DE43" i="9"/>
  <c r="DE46" i="9"/>
  <c r="DD23" i="9"/>
  <c r="DD28" i="9"/>
  <c r="DD35" i="9"/>
  <c r="DD43" i="9"/>
  <c r="DD46" i="9"/>
  <c r="DC23" i="9"/>
  <c r="DC28" i="9"/>
  <c r="DC35" i="9"/>
  <c r="DC43" i="9"/>
  <c r="DC46" i="9"/>
  <c r="DB23" i="9"/>
  <c r="DB28" i="9"/>
  <c r="DB35" i="9"/>
  <c r="DB43" i="9"/>
  <c r="DB46" i="9"/>
  <c r="DA23" i="9"/>
  <c r="DA28" i="9"/>
  <c r="DA35" i="9"/>
  <c r="DA43" i="9"/>
  <c r="DA46" i="9"/>
  <c r="CZ23" i="9"/>
  <c r="CZ28" i="9"/>
  <c r="CZ35" i="9"/>
  <c r="CZ43" i="9"/>
  <c r="CZ46" i="9"/>
  <c r="CY23" i="9"/>
  <c r="CY28" i="9"/>
  <c r="CY35" i="9"/>
  <c r="CY43" i="9"/>
  <c r="CY46" i="9"/>
  <c r="CX23" i="9"/>
  <c r="CX28" i="9"/>
  <c r="CX35" i="9"/>
  <c r="CX43" i="9"/>
  <c r="CX46" i="9"/>
  <c r="DI50" i="9"/>
  <c r="DH50" i="9"/>
  <c r="DG50" i="9"/>
  <c r="DF50" i="9"/>
  <c r="DE50" i="9"/>
  <c r="DD50" i="9"/>
  <c r="DC50" i="9"/>
  <c r="DB50" i="9"/>
  <c r="DA50" i="9"/>
  <c r="CZ50" i="9"/>
  <c r="CY50" i="9"/>
  <c r="CX50" i="9"/>
  <c r="CX49" i="9" s="1"/>
  <c r="DI49" i="9"/>
  <c r="DH49" i="9"/>
  <c r="DG49" i="9"/>
  <c r="DF49" i="9"/>
  <c r="DE49" i="9"/>
  <c r="DD49" i="9"/>
  <c r="DC49" i="9"/>
  <c r="DB49" i="9"/>
  <c r="DA49" i="9"/>
  <c r="CZ49" i="9"/>
  <c r="CY49" i="9"/>
  <c r="DI40" i="9"/>
  <c r="DH40" i="9"/>
  <c r="DG40" i="9"/>
  <c r="DF40" i="9"/>
  <c r="DE40" i="9"/>
  <c r="DD40" i="9"/>
  <c r="DC40" i="9"/>
  <c r="DB40" i="9"/>
  <c r="DA40" i="9"/>
  <c r="CZ40" i="9"/>
  <c r="CX40" i="9"/>
  <c r="R6" i="3"/>
  <c r="T67" i="1"/>
  <c r="S67" i="1"/>
  <c r="Q67" i="1"/>
  <c r="P67" i="1"/>
  <c r="M67" i="1"/>
  <c r="L67" i="1"/>
  <c r="J67" i="1"/>
  <c r="I67" i="1"/>
  <c r="T66" i="1"/>
  <c r="S66" i="1"/>
  <c r="Q66" i="1"/>
  <c r="P66" i="1"/>
  <c r="M66" i="1"/>
  <c r="L66" i="1"/>
  <c r="J66" i="1"/>
  <c r="I66" i="1"/>
  <c r="T65" i="1"/>
  <c r="S65" i="1"/>
  <c r="Q65" i="1"/>
  <c r="P65" i="1"/>
  <c r="M65" i="1"/>
  <c r="L65" i="1"/>
  <c r="J65" i="1"/>
  <c r="I65" i="1"/>
  <c r="T64" i="1"/>
  <c r="S64" i="1"/>
  <c r="Q64" i="1"/>
  <c r="P64" i="1"/>
  <c r="M64" i="1"/>
  <c r="L64" i="1"/>
  <c r="J64" i="1"/>
  <c r="I64" i="1"/>
  <c r="T63" i="1"/>
  <c r="S63" i="1"/>
  <c r="Q63" i="1"/>
  <c r="P63" i="1"/>
  <c r="M63" i="1"/>
  <c r="L63" i="1"/>
  <c r="J63" i="1"/>
  <c r="I63" i="1"/>
  <c r="T62" i="1"/>
  <c r="S62" i="1"/>
  <c r="Q62" i="1"/>
  <c r="P62" i="1"/>
  <c r="M62" i="1"/>
  <c r="L62" i="1"/>
  <c r="J62" i="1"/>
  <c r="I62" i="1"/>
  <c r="M61" i="1"/>
  <c r="L61" i="1"/>
  <c r="J61" i="1"/>
  <c r="I61" i="1"/>
  <c r="T60" i="1"/>
  <c r="S60" i="1"/>
  <c r="Q60" i="1"/>
  <c r="P60" i="1"/>
  <c r="M60" i="1"/>
  <c r="L60" i="1"/>
  <c r="J60" i="1"/>
  <c r="I60" i="1"/>
  <c r="T59" i="1"/>
  <c r="S59" i="1"/>
  <c r="Q59" i="1"/>
  <c r="P59" i="1"/>
  <c r="M59" i="1"/>
  <c r="L59" i="1"/>
  <c r="J59" i="1"/>
  <c r="I59" i="1"/>
  <c r="T58" i="1"/>
  <c r="S58" i="1"/>
  <c r="Q58" i="1"/>
  <c r="P58" i="1"/>
  <c r="M58" i="1"/>
  <c r="L58" i="1"/>
  <c r="J58" i="1"/>
  <c r="I58" i="1"/>
  <c r="T57" i="1"/>
  <c r="S57" i="1"/>
  <c r="Q57" i="1"/>
  <c r="P57" i="1"/>
  <c r="M57" i="1"/>
  <c r="L57" i="1"/>
  <c r="J57" i="1"/>
  <c r="I57" i="1"/>
  <c r="T56" i="1"/>
  <c r="S56" i="1"/>
  <c r="Q56" i="1"/>
  <c r="P56" i="1"/>
  <c r="M56" i="1"/>
  <c r="L56" i="1"/>
  <c r="J56" i="1"/>
  <c r="I56" i="1"/>
  <c r="T55" i="1"/>
  <c r="S55" i="1"/>
  <c r="Q55" i="1"/>
  <c r="P55" i="1"/>
  <c r="M55" i="1"/>
  <c r="L55" i="1"/>
  <c r="J55" i="1"/>
  <c r="I55" i="1"/>
  <c r="T54" i="1"/>
  <c r="S54" i="1"/>
  <c r="Q54" i="1"/>
  <c r="P54" i="1"/>
  <c r="M54" i="1"/>
  <c r="L54" i="1"/>
  <c r="J54" i="1"/>
  <c r="I54" i="1"/>
  <c r="T53" i="1"/>
  <c r="S53" i="1"/>
  <c r="Q53" i="1"/>
  <c r="P53" i="1"/>
  <c r="M53" i="1"/>
  <c r="L53" i="1"/>
  <c r="J53" i="1"/>
  <c r="I53" i="1"/>
  <c r="T52" i="1"/>
  <c r="S52" i="1"/>
  <c r="Q52" i="1"/>
  <c r="P52" i="1"/>
  <c r="M52" i="1"/>
  <c r="L52" i="1"/>
  <c r="J52" i="1"/>
  <c r="I52" i="1"/>
  <c r="T51" i="1"/>
  <c r="S51" i="1"/>
  <c r="Q51" i="1"/>
  <c r="P51" i="1"/>
  <c r="M51" i="1"/>
  <c r="L51" i="1"/>
  <c r="J51" i="1"/>
  <c r="I51" i="1"/>
  <c r="T50" i="1"/>
  <c r="S50" i="1"/>
  <c r="Q50" i="1"/>
  <c r="P50" i="1"/>
  <c r="M50" i="1"/>
  <c r="L50" i="1"/>
  <c r="J50" i="1"/>
  <c r="I50" i="1"/>
  <c r="T49" i="1"/>
  <c r="S49" i="1"/>
  <c r="Q49" i="1"/>
  <c r="P49" i="1"/>
  <c r="M49" i="1"/>
  <c r="L49" i="1"/>
  <c r="J49" i="1"/>
  <c r="I49" i="1"/>
  <c r="T48" i="1"/>
  <c r="S48" i="1"/>
  <c r="Q48" i="1"/>
  <c r="P48" i="1"/>
  <c r="M48" i="1"/>
  <c r="L48" i="1"/>
  <c r="J48" i="1"/>
  <c r="I48" i="1"/>
  <c r="T47" i="1"/>
  <c r="S47" i="1"/>
  <c r="Q47" i="1"/>
  <c r="P47" i="1"/>
  <c r="M47" i="1"/>
  <c r="L47" i="1"/>
  <c r="J47" i="1"/>
  <c r="I47" i="1"/>
  <c r="T46" i="1"/>
  <c r="S46" i="1"/>
  <c r="Q46" i="1"/>
  <c r="P46" i="1"/>
  <c r="M46" i="1"/>
  <c r="L46" i="1"/>
  <c r="J46" i="1"/>
  <c r="I46" i="1"/>
  <c r="T45" i="1"/>
  <c r="S45" i="1"/>
  <c r="Q45" i="1"/>
  <c r="P45" i="1"/>
  <c r="M45" i="1"/>
  <c r="L45" i="1"/>
  <c r="J45" i="1"/>
  <c r="I45" i="1"/>
  <c r="T44" i="1"/>
  <c r="S44" i="1"/>
  <c r="Q44" i="1"/>
  <c r="P44" i="1"/>
  <c r="M44" i="1"/>
  <c r="L44" i="1"/>
  <c r="J44" i="1"/>
  <c r="I44" i="1"/>
  <c r="T43" i="1"/>
  <c r="S43" i="1"/>
  <c r="Q43" i="1"/>
  <c r="P43" i="1"/>
  <c r="M43" i="1"/>
  <c r="L43" i="1"/>
  <c r="J43" i="1"/>
  <c r="I43" i="1"/>
  <c r="T42" i="1"/>
  <c r="S42" i="1"/>
  <c r="Q42" i="1"/>
  <c r="P42" i="1"/>
  <c r="M42" i="1"/>
  <c r="L42" i="1"/>
  <c r="J42" i="1"/>
  <c r="I42" i="1"/>
  <c r="T41" i="1"/>
  <c r="S41" i="1"/>
  <c r="Q41" i="1"/>
  <c r="P41" i="1"/>
  <c r="M41" i="1"/>
  <c r="L41" i="1"/>
  <c r="J41" i="1"/>
  <c r="I41" i="1"/>
  <c r="T40" i="1"/>
  <c r="S40" i="1"/>
  <c r="Q40" i="1"/>
  <c r="P40" i="1"/>
  <c r="M40" i="1"/>
  <c r="L40" i="1"/>
  <c r="J40" i="1"/>
  <c r="I40" i="1"/>
  <c r="T39" i="1"/>
  <c r="S39" i="1"/>
  <c r="Q39" i="1"/>
  <c r="P39" i="1"/>
  <c r="M39" i="1"/>
  <c r="L39" i="1"/>
  <c r="J39" i="1"/>
  <c r="I39" i="1"/>
  <c r="T38" i="1"/>
  <c r="S38" i="1"/>
  <c r="Q38" i="1"/>
  <c r="P38" i="1"/>
  <c r="M38" i="1"/>
  <c r="L38" i="1"/>
  <c r="J38" i="1"/>
  <c r="I38" i="1"/>
  <c r="T37" i="1"/>
  <c r="S37" i="1"/>
  <c r="Q37" i="1"/>
  <c r="P37" i="1"/>
  <c r="M37" i="1"/>
  <c r="L37" i="1"/>
  <c r="J37" i="1"/>
  <c r="I37" i="1"/>
  <c r="T36" i="1"/>
  <c r="S36" i="1"/>
  <c r="Q36" i="1"/>
  <c r="P36" i="1"/>
  <c r="M36" i="1"/>
  <c r="L36" i="1"/>
  <c r="J36" i="1"/>
  <c r="I36" i="1"/>
  <c r="T35" i="1"/>
  <c r="S35" i="1"/>
  <c r="Q35" i="1"/>
  <c r="P35" i="1"/>
  <c r="M35" i="1"/>
  <c r="L35" i="1"/>
  <c r="J35" i="1"/>
  <c r="I35" i="1"/>
  <c r="T34" i="1"/>
  <c r="S34" i="1"/>
  <c r="Q34" i="1"/>
  <c r="P34" i="1"/>
  <c r="M34" i="1"/>
  <c r="L34" i="1"/>
  <c r="J34" i="1"/>
  <c r="I34" i="1"/>
  <c r="T33" i="1"/>
  <c r="S33" i="1"/>
  <c r="Q33" i="1"/>
  <c r="P33" i="1"/>
  <c r="M33" i="1"/>
  <c r="L33" i="1"/>
  <c r="J33" i="1"/>
  <c r="I33" i="1"/>
  <c r="T32" i="1"/>
  <c r="S32" i="1"/>
  <c r="Q32" i="1"/>
  <c r="P32" i="1"/>
  <c r="M32" i="1"/>
  <c r="L32" i="1"/>
  <c r="J32" i="1"/>
  <c r="I32" i="1"/>
  <c r="T31" i="1"/>
  <c r="S31" i="1"/>
  <c r="Q31" i="1"/>
  <c r="P31" i="1"/>
  <c r="M31" i="1"/>
  <c r="L31" i="1"/>
  <c r="J31" i="1"/>
  <c r="I31" i="1"/>
  <c r="T30" i="1"/>
  <c r="S30" i="1"/>
  <c r="Q30" i="1"/>
  <c r="P30" i="1"/>
  <c r="M30" i="1"/>
  <c r="L30" i="1"/>
  <c r="J30" i="1"/>
  <c r="I30" i="1"/>
  <c r="T29" i="1"/>
  <c r="S29" i="1"/>
  <c r="Q29" i="1"/>
  <c r="P29" i="1"/>
  <c r="M29" i="1"/>
  <c r="L29" i="1"/>
  <c r="J29" i="1"/>
  <c r="I29" i="1"/>
  <c r="T28" i="1"/>
  <c r="S28" i="1"/>
  <c r="Q28" i="1"/>
  <c r="P28" i="1"/>
  <c r="M28" i="1"/>
  <c r="L28" i="1"/>
  <c r="J28" i="1"/>
  <c r="I28" i="1"/>
  <c r="T27" i="1"/>
  <c r="S27" i="1"/>
  <c r="Q27" i="1"/>
  <c r="P27" i="1"/>
  <c r="M27" i="1"/>
  <c r="L27" i="1"/>
  <c r="J27" i="1"/>
  <c r="I27" i="1"/>
  <c r="T26" i="1"/>
  <c r="S26" i="1"/>
  <c r="Q26" i="1"/>
  <c r="P26" i="1"/>
  <c r="M26" i="1"/>
  <c r="L26" i="1"/>
  <c r="J26" i="1"/>
  <c r="I26" i="1"/>
  <c r="T25" i="1"/>
  <c r="S25" i="1"/>
  <c r="Q25" i="1"/>
  <c r="P25" i="1"/>
  <c r="M25" i="1"/>
  <c r="L25" i="1"/>
  <c r="J25" i="1"/>
  <c r="I25" i="1"/>
  <c r="T24" i="1"/>
  <c r="S24" i="1"/>
  <c r="Q24" i="1"/>
  <c r="P24" i="1"/>
  <c r="M24" i="1"/>
  <c r="L24" i="1"/>
  <c r="J24" i="1"/>
  <c r="I24" i="1"/>
  <c r="T23" i="1"/>
  <c r="S23" i="1"/>
  <c r="Q23" i="1"/>
  <c r="P23" i="1"/>
  <c r="M23" i="1"/>
  <c r="L23" i="1"/>
  <c r="J23" i="1"/>
  <c r="I23" i="1"/>
  <c r="T22" i="1"/>
  <c r="S22" i="1"/>
  <c r="Q22" i="1"/>
  <c r="P22" i="1"/>
  <c r="M22" i="1"/>
  <c r="L22" i="1"/>
  <c r="J22" i="1"/>
  <c r="I22" i="1"/>
  <c r="T21" i="1"/>
  <c r="S21" i="1"/>
  <c r="Q21" i="1"/>
  <c r="P21" i="1"/>
  <c r="M21" i="1"/>
  <c r="L21" i="1"/>
  <c r="J21" i="1"/>
  <c r="I21" i="1"/>
  <c r="T20" i="1"/>
  <c r="S20" i="1"/>
  <c r="Q20" i="1"/>
  <c r="P20" i="1"/>
  <c r="M20" i="1"/>
  <c r="L20" i="1"/>
  <c r="J20" i="1"/>
  <c r="I20" i="1"/>
  <c r="T19" i="1"/>
  <c r="S19" i="1"/>
  <c r="Q19" i="1"/>
  <c r="P19" i="1"/>
  <c r="M19" i="1"/>
  <c r="L19" i="1"/>
  <c r="J19" i="1"/>
  <c r="I19" i="1"/>
  <c r="T18" i="1"/>
  <c r="S18" i="1"/>
  <c r="Q18" i="1"/>
  <c r="P18" i="1"/>
  <c r="M18" i="1"/>
  <c r="L18" i="1"/>
  <c r="J18" i="1"/>
  <c r="I18" i="1"/>
  <c r="B18" i="1"/>
  <c r="T17" i="1"/>
  <c r="S17" i="1"/>
  <c r="Q17" i="1"/>
  <c r="P17" i="1"/>
  <c r="M17" i="1"/>
  <c r="L17" i="1"/>
  <c r="J17" i="1"/>
  <c r="I17" i="1"/>
  <c r="T16" i="1"/>
  <c r="S16" i="1"/>
  <c r="Q16" i="1"/>
  <c r="P16" i="1"/>
  <c r="M16" i="1"/>
  <c r="L16" i="1"/>
  <c r="J16" i="1"/>
  <c r="I16" i="1"/>
  <c r="T15" i="1"/>
  <c r="S15" i="1"/>
  <c r="Q15" i="1"/>
  <c r="P15" i="1"/>
  <c r="M15" i="1"/>
  <c r="L15" i="1"/>
  <c r="J15" i="1"/>
  <c r="I15" i="1"/>
  <c r="T14" i="1"/>
  <c r="S14" i="1"/>
  <c r="Q14" i="1"/>
  <c r="P14" i="1"/>
  <c r="M14" i="1"/>
  <c r="L14" i="1"/>
  <c r="J14" i="1"/>
  <c r="I14" i="1"/>
  <c r="B14" i="1"/>
  <c r="T13" i="1"/>
  <c r="S13" i="1"/>
  <c r="Q13" i="1"/>
  <c r="P13" i="1"/>
  <c r="M13" i="1"/>
  <c r="L13" i="1"/>
  <c r="J13" i="1"/>
  <c r="I13" i="1"/>
  <c r="T12" i="1"/>
  <c r="S12" i="1"/>
  <c r="Q12" i="1"/>
  <c r="P12" i="1"/>
  <c r="M12" i="1"/>
  <c r="L12" i="1"/>
  <c r="J12" i="1"/>
  <c r="I12" i="1"/>
  <c r="T11" i="1"/>
  <c r="S11" i="1"/>
  <c r="Q11" i="1"/>
  <c r="P11" i="1"/>
  <c r="M11" i="1"/>
  <c r="L11" i="1"/>
  <c r="J11" i="1"/>
  <c r="I11" i="1"/>
  <c r="T10" i="1"/>
  <c r="S10" i="1"/>
  <c r="Q10" i="1"/>
  <c r="P10" i="1"/>
  <c r="M10" i="1"/>
  <c r="L10" i="1"/>
  <c r="J10" i="1"/>
  <c r="I10" i="1"/>
  <c r="R6" i="1"/>
  <c r="N6" i="1"/>
  <c r="O6" i="1" s="1"/>
  <c r="E4" i="1"/>
  <c r="B27" i="3"/>
  <c r="B15" i="3"/>
  <c r="CV320" i="9"/>
  <c r="DE350" i="9"/>
  <c r="DD320" i="9"/>
  <c r="CZ385" i="9"/>
  <c r="DP385" i="9"/>
  <c r="CT350" i="9"/>
  <c r="DR350" i="9"/>
  <c r="CS350" i="9"/>
  <c r="DA350" i="9"/>
  <c r="CR385" i="9" l="1"/>
  <c r="H8" i="1"/>
  <c r="O8" i="1" s="1"/>
  <c r="H8" i="3"/>
  <c r="B105" i="6"/>
  <c r="B12" i="5"/>
  <c r="B86" i="5"/>
  <c r="B109" i="6"/>
  <c r="B16" i="5"/>
  <c r="B90" i="5"/>
  <c r="B113" i="6"/>
  <c r="B94" i="5"/>
  <c r="B20" i="5"/>
  <c r="B117" i="6"/>
  <c r="B98" i="5"/>
  <c r="B24" i="5"/>
  <c r="B127" i="6"/>
  <c r="B108" i="5"/>
  <c r="B34" i="5"/>
  <c r="B134" i="6"/>
  <c r="B41" i="5"/>
  <c r="B115" i="5"/>
  <c r="B135" i="6"/>
  <c r="B42" i="5"/>
  <c r="B116" i="5"/>
  <c r="B136" i="6"/>
  <c r="B43" i="5"/>
  <c r="B117" i="5"/>
  <c r="B137" i="6"/>
  <c r="B44" i="5"/>
  <c r="B118" i="5"/>
  <c r="B140" i="6"/>
  <c r="B47" i="5"/>
  <c r="B121" i="5"/>
  <c r="B58" i="5"/>
  <c r="B132" i="5"/>
  <c r="B151" i="6"/>
  <c r="B51" i="5"/>
  <c r="B125" i="5"/>
  <c r="B144" i="6"/>
  <c r="B57" i="1"/>
  <c r="B54" i="5"/>
  <c r="B128" i="5"/>
  <c r="B59" i="5"/>
  <c r="B133" i="5"/>
  <c r="B152" i="6"/>
  <c r="B52" i="5"/>
  <c r="B126" i="5"/>
  <c r="B145" i="6"/>
  <c r="L8" i="6"/>
  <c r="L101" i="6" s="1"/>
  <c r="L8" i="5"/>
  <c r="L82" i="5" s="1"/>
  <c r="P8" i="6"/>
  <c r="P101" i="6" s="1"/>
  <c r="P8" i="5"/>
  <c r="P82" i="5" s="1"/>
  <c r="I8" i="3"/>
  <c r="L8" i="3" s="1"/>
  <c r="F254" i="10"/>
  <c r="E254" i="10"/>
  <c r="B107" i="6"/>
  <c r="B14" i="5"/>
  <c r="B88" i="5"/>
  <c r="B111" i="6"/>
  <c r="B18" i="5"/>
  <c r="B92" i="5"/>
  <c r="B115" i="6"/>
  <c r="B96" i="5"/>
  <c r="B22" i="5"/>
  <c r="B120" i="6"/>
  <c r="B101" i="5"/>
  <c r="B27" i="5"/>
  <c r="B61" i="5"/>
  <c r="B135" i="5"/>
  <c r="B122" i="6"/>
  <c r="B103" i="5"/>
  <c r="B29" i="5"/>
  <c r="B123" i="6"/>
  <c r="B30" i="5"/>
  <c r="B104" i="5"/>
  <c r="B128" i="6"/>
  <c r="B109" i="5"/>
  <c r="B35" i="5"/>
  <c r="B129" i="6"/>
  <c r="B110" i="5"/>
  <c r="B36" i="5"/>
  <c r="B138" i="6"/>
  <c r="B45" i="5"/>
  <c r="B119" i="5"/>
  <c r="B139" i="6"/>
  <c r="B46" i="5"/>
  <c r="B120" i="5"/>
  <c r="B57" i="5"/>
  <c r="B131" i="5"/>
  <c r="B150" i="6"/>
  <c r="E2" i="6"/>
  <c r="E2" i="5"/>
  <c r="E4" i="6"/>
  <c r="E4" i="5"/>
  <c r="B84" i="5"/>
  <c r="B10" i="5"/>
  <c r="B85" i="5"/>
  <c r="B11" i="5"/>
  <c r="B106" i="6"/>
  <c r="B87" i="5"/>
  <c r="B13" i="5"/>
  <c r="B108" i="6"/>
  <c r="B89" i="5"/>
  <c r="B15" i="5"/>
  <c r="B110" i="6"/>
  <c r="B91" i="5"/>
  <c r="B17" i="5"/>
  <c r="B112" i="6"/>
  <c r="B93" i="5"/>
  <c r="B19" i="5"/>
  <c r="B114" i="6"/>
  <c r="B95" i="5"/>
  <c r="B21" i="5"/>
  <c r="B116" i="6"/>
  <c r="B97" i="5"/>
  <c r="B23" i="5"/>
  <c r="B118" i="6"/>
  <c r="B99" i="5"/>
  <c r="B25" i="5"/>
  <c r="B119" i="6"/>
  <c r="B100" i="5"/>
  <c r="B26" i="5"/>
  <c r="B63" i="5"/>
  <c r="B137" i="5"/>
  <c r="B121" i="6"/>
  <c r="B102" i="5"/>
  <c r="B28" i="5"/>
  <c r="B62" i="5"/>
  <c r="B136" i="5"/>
  <c r="B124" i="6"/>
  <c r="B105" i="5"/>
  <c r="B31" i="5"/>
  <c r="B125" i="6"/>
  <c r="B106" i="5"/>
  <c r="B32" i="5"/>
  <c r="B126" i="6"/>
  <c r="B107" i="5"/>
  <c r="B33" i="5"/>
  <c r="B130" i="6"/>
  <c r="B111" i="5"/>
  <c r="B37" i="5"/>
  <c r="B131" i="6"/>
  <c r="B38" i="5"/>
  <c r="B112" i="5"/>
  <c r="B132" i="6"/>
  <c r="B39" i="5"/>
  <c r="B113" i="5"/>
  <c r="B133" i="6"/>
  <c r="B40" i="5"/>
  <c r="B114" i="5"/>
  <c r="B141" i="6"/>
  <c r="B48" i="5"/>
  <c r="B122" i="5"/>
  <c r="B55" i="5"/>
  <c r="B129" i="5"/>
  <c r="B56" i="5"/>
  <c r="B130" i="5"/>
  <c r="B143" i="6"/>
  <c r="B50" i="5"/>
  <c r="B124" i="5"/>
  <c r="B142" i="6"/>
  <c r="B49" i="5"/>
  <c r="B123" i="5"/>
  <c r="B53" i="5"/>
  <c r="B127" i="5"/>
  <c r="B60" i="5"/>
  <c r="B134" i="5"/>
  <c r="B64" i="5"/>
  <c r="B138" i="5"/>
  <c r="S7" i="6"/>
  <c r="S100" i="6" s="1"/>
  <c r="S7" i="5"/>
  <c r="S81" i="5" s="1"/>
  <c r="B100" i="6"/>
  <c r="B81" i="5"/>
  <c r="CU350" i="9"/>
  <c r="CQ385" i="9"/>
  <c r="CT385" i="9"/>
  <c r="DN385" i="9"/>
  <c r="DH320" i="9"/>
  <c r="DL320" i="9"/>
  <c r="DP320" i="9"/>
  <c r="DT320" i="9"/>
  <c r="DW217" i="9"/>
  <c r="DB320" i="9"/>
  <c r="DK320" i="9"/>
  <c r="CQ350" i="9"/>
  <c r="G8" i="1"/>
  <c r="N8" i="1" s="1"/>
  <c r="N8" i="3"/>
  <c r="CN320" i="9"/>
  <c r="CR320" i="9"/>
  <c r="CZ320" i="9"/>
  <c r="CO350" i="9"/>
  <c r="CW350" i="9"/>
  <c r="DI350" i="9"/>
  <c r="DM350" i="9"/>
  <c r="DQ350" i="9"/>
  <c r="DT350" i="9"/>
  <c r="CL385" i="9"/>
  <c r="CV385" i="9"/>
  <c r="DD385" i="9"/>
  <c r="DH385" i="9"/>
  <c r="DL385" i="9"/>
  <c r="DT385" i="9"/>
  <c r="CO320" i="9"/>
  <c r="DO320" i="9"/>
  <c r="B47" i="6"/>
  <c r="B11" i="6"/>
  <c r="B104" i="6"/>
  <c r="B15" i="6"/>
  <c r="B19" i="6"/>
  <c r="B23" i="6"/>
  <c r="B25" i="6"/>
  <c r="B63" i="6"/>
  <c r="B156" i="6"/>
  <c r="B62" i="6"/>
  <c r="B155" i="6"/>
  <c r="B31" i="6"/>
  <c r="B40" i="6"/>
  <c r="B58" i="6"/>
  <c r="B57" i="6"/>
  <c r="B51" i="6"/>
  <c r="B59" i="6"/>
  <c r="B52" i="3"/>
  <c r="B52" i="6"/>
  <c r="H8" i="6"/>
  <c r="H101" i="6" s="1"/>
  <c r="B7" i="6"/>
  <c r="B12" i="3"/>
  <c r="B12" i="6"/>
  <c r="B16" i="6"/>
  <c r="B20" i="6"/>
  <c r="B24" i="6"/>
  <c r="B29" i="6"/>
  <c r="B34" i="3"/>
  <c r="B34" i="6"/>
  <c r="B41" i="3"/>
  <c r="B41" i="6"/>
  <c r="B42" i="6"/>
  <c r="B45" i="6"/>
  <c r="B46" i="3"/>
  <c r="B46" i="6"/>
  <c r="B55" i="6"/>
  <c r="B148" i="6"/>
  <c r="B50" i="6"/>
  <c r="B49" i="6"/>
  <c r="B53" i="6"/>
  <c r="B146" i="6"/>
  <c r="B60" i="6"/>
  <c r="B153" i="6"/>
  <c r="I8" i="6"/>
  <c r="I101" i="6" s="1"/>
  <c r="M8" i="6"/>
  <c r="M101" i="6" s="1"/>
  <c r="Q8" i="6"/>
  <c r="Q101" i="6" s="1"/>
  <c r="B10" i="6"/>
  <c r="B103" i="6"/>
  <c r="B13" i="6"/>
  <c r="B17" i="6"/>
  <c r="B21" i="6"/>
  <c r="B26" i="6"/>
  <c r="B28" i="6"/>
  <c r="B32" i="6"/>
  <c r="B33" i="6"/>
  <c r="B37" i="6"/>
  <c r="B38" i="6"/>
  <c r="B39" i="6"/>
  <c r="B54" i="6"/>
  <c r="B147" i="6"/>
  <c r="J8" i="6"/>
  <c r="J101" i="6" s="1"/>
  <c r="N8" i="6"/>
  <c r="N101" i="6" s="1"/>
  <c r="R8" i="6"/>
  <c r="R101" i="6" s="1"/>
  <c r="E3" i="6"/>
  <c r="B14" i="6"/>
  <c r="B18" i="6"/>
  <c r="B22" i="6"/>
  <c r="B27" i="6"/>
  <c r="B61" i="6"/>
  <c r="B154" i="6"/>
  <c r="B30" i="6"/>
  <c r="B35" i="6"/>
  <c r="B36" i="6"/>
  <c r="B43" i="3"/>
  <c r="B43" i="6"/>
  <c r="B44" i="6"/>
  <c r="B48" i="6"/>
  <c r="B56" i="6"/>
  <c r="B149" i="6"/>
  <c r="B64" i="6"/>
  <c r="B157" i="6"/>
  <c r="G8" i="6"/>
  <c r="G101" i="6" s="1"/>
  <c r="K8" i="6"/>
  <c r="K101" i="6" s="1"/>
  <c r="O8" i="6"/>
  <c r="O101" i="6" s="1"/>
  <c r="B22" i="3"/>
  <c r="CN350" i="9"/>
  <c r="CR350" i="9"/>
  <c r="CV350" i="9"/>
  <c r="CZ350" i="9"/>
  <c r="DD350" i="9"/>
  <c r="DH350" i="9"/>
  <c r="DL350" i="9"/>
  <c r="DP350" i="9"/>
  <c r="CN385" i="9"/>
  <c r="CX385" i="9"/>
  <c r="DB385" i="9"/>
  <c r="DF385" i="9"/>
  <c r="DJ385" i="9"/>
  <c r="DR385" i="9"/>
  <c r="B58" i="3"/>
  <c r="B25" i="1"/>
  <c r="B51" i="3"/>
  <c r="I8" i="1"/>
  <c r="L8" i="1" s="1"/>
  <c r="B47" i="3"/>
  <c r="B19" i="1"/>
  <c r="B45" i="1"/>
  <c r="DF320" i="9"/>
  <c r="DJ320" i="9"/>
  <c r="DN320" i="9"/>
  <c r="DR320" i="9"/>
  <c r="CP320" i="9"/>
  <c r="CT320" i="9"/>
  <c r="CX320" i="9"/>
  <c r="DU350" i="9"/>
  <c r="CM350" i="9"/>
  <c r="CY350" i="9"/>
  <c r="DC350" i="9"/>
  <c r="DG350" i="9"/>
  <c r="DK350" i="9"/>
  <c r="DO350" i="9"/>
  <c r="CS385" i="9"/>
  <c r="CW385" i="9"/>
  <c r="DA385" i="9"/>
  <c r="DE385" i="9"/>
  <c r="DI385" i="9"/>
  <c r="DQ385" i="9"/>
  <c r="EF216" i="9"/>
  <c r="EB216" i="9"/>
  <c r="DX216" i="9"/>
  <c r="E3" i="1"/>
  <c r="B31" i="3"/>
  <c r="E2" i="1"/>
  <c r="CZ5" i="9"/>
  <c r="CZ4" i="9" s="1"/>
  <c r="DG5" i="9"/>
  <c r="DG4" i="9" s="1"/>
  <c r="DH5" i="9"/>
  <c r="DH4" i="9" s="1"/>
  <c r="DJ263" i="9"/>
  <c r="CS320" i="9"/>
  <c r="CW320" i="9"/>
  <c r="DA320" i="9"/>
  <c r="DG320" i="9"/>
  <c r="DS320" i="9"/>
  <c r="DC320" i="9"/>
  <c r="CM320" i="9"/>
  <c r="CQ320" i="9"/>
  <c r="CU320" i="9"/>
  <c r="CY320" i="9"/>
  <c r="DE320" i="9"/>
  <c r="DI320" i="9"/>
  <c r="DM320" i="9"/>
  <c r="DQ320" i="9"/>
  <c r="DU320" i="9"/>
  <c r="CP385" i="9"/>
  <c r="DH190" i="9"/>
  <c r="DF190" i="9"/>
  <c r="B55" i="3"/>
  <c r="B56" i="1"/>
  <c r="B21" i="3"/>
  <c r="B49" i="3"/>
  <c r="B41" i="1"/>
  <c r="B30" i="3"/>
  <c r="B17" i="1"/>
  <c r="B34" i="1"/>
  <c r="E190" i="9"/>
  <c r="B13" i="3"/>
  <c r="B26" i="3"/>
  <c r="B37" i="3"/>
  <c r="B50" i="3"/>
  <c r="B10" i="1"/>
  <c r="B27" i="1"/>
  <c r="B35" i="1"/>
  <c r="B32" i="3"/>
  <c r="B38" i="3"/>
  <c r="B60" i="3"/>
  <c r="B13" i="1"/>
  <c r="B29" i="1"/>
  <c r="B39" i="1"/>
  <c r="B52" i="1"/>
  <c r="B58" i="1"/>
  <c r="E2" i="3"/>
  <c r="B10" i="3"/>
  <c r="B17" i="3"/>
  <c r="B28" i="3"/>
  <c r="B33" i="3"/>
  <c r="B39" i="3"/>
  <c r="B53" i="3"/>
  <c r="B22" i="1"/>
  <c r="B32" i="1"/>
  <c r="B40" i="1"/>
  <c r="B53" i="1"/>
  <c r="B63" i="1"/>
  <c r="E192" i="9"/>
  <c r="DD5" i="9"/>
  <c r="DD4" i="9" s="1"/>
  <c r="CO385" i="9"/>
  <c r="DA5" i="9"/>
  <c r="DA4" i="9" s="1"/>
  <c r="DB5" i="9"/>
  <c r="DB4" i="9" s="1"/>
  <c r="DC5" i="9"/>
  <c r="DC4" i="9" s="1"/>
  <c r="DE5" i="9"/>
  <c r="DE4" i="9" s="1"/>
  <c r="DI5" i="9"/>
  <c r="DI4" i="9" s="1"/>
  <c r="DJ217" i="9"/>
  <c r="DJ216" i="9" s="1"/>
  <c r="O8" i="3"/>
  <c r="B20" i="3"/>
  <c r="B42" i="3"/>
  <c r="B59" i="3"/>
  <c r="B48" i="1"/>
  <c r="B55" i="1"/>
  <c r="B60" i="1"/>
  <c r="E191" i="9"/>
  <c r="B49" i="1"/>
  <c r="B54" i="1"/>
  <c r="B61" i="1" s="1"/>
  <c r="B16" i="3"/>
  <c r="B24" i="3"/>
  <c r="B29" i="3"/>
  <c r="B45" i="3"/>
  <c r="B57" i="3"/>
  <c r="B30" i="1"/>
  <c r="B36" i="1"/>
  <c r="B44" i="1"/>
  <c r="B62" i="1"/>
  <c r="CY5" i="9"/>
  <c r="CY4" i="9" s="1"/>
  <c r="CV190" i="9"/>
  <c r="CT190" i="9"/>
  <c r="CW190" i="9"/>
  <c r="CS190" i="9"/>
  <c r="DS350" i="9"/>
  <c r="CM385" i="9"/>
  <c r="EC216" i="9"/>
  <c r="DY216" i="9"/>
  <c r="B19" i="3"/>
  <c r="B51" i="1"/>
  <c r="B11" i="3"/>
  <c r="B15" i="1"/>
  <c r="B20" i="1"/>
  <c r="G249" i="10"/>
  <c r="T9" i="5" s="1"/>
  <c r="T83" i="5" s="1"/>
  <c r="B63" i="3"/>
  <c r="B11" i="1"/>
  <c r="B43" i="1"/>
  <c r="B14" i="3"/>
  <c r="B18" i="3"/>
  <c r="B35" i="3"/>
  <c r="B44" i="3"/>
  <c r="B54" i="3"/>
  <c r="B31" i="1"/>
  <c r="G246" i="10"/>
  <c r="B36" i="3"/>
  <c r="N7" i="1"/>
  <c r="B28" i="1"/>
  <c r="B37" i="1"/>
  <c r="B46" i="1"/>
  <c r="B50" i="1"/>
  <c r="B64" i="1"/>
  <c r="B61" i="3"/>
  <c r="B23" i="1"/>
  <c r="B38" i="1"/>
  <c r="B47" i="1"/>
  <c r="O6" i="3"/>
  <c r="B25" i="3"/>
  <c r="B56" i="3"/>
  <c r="B64" i="3"/>
  <c r="B12" i="1"/>
  <c r="B16" i="1"/>
  <c r="B24" i="1"/>
  <c r="B65" i="1"/>
  <c r="B40" i="3"/>
  <c r="B48" i="3"/>
  <c r="B21" i="1"/>
  <c r="B33" i="1"/>
  <c r="B66" i="1"/>
  <c r="B23" i="3"/>
  <c r="B62" i="3"/>
  <c r="B26" i="1"/>
  <c r="B42" i="1"/>
  <c r="B59" i="1"/>
  <c r="B67" i="1"/>
  <c r="DD190" i="9"/>
  <c r="DB190" i="9"/>
  <c r="CZ190" i="9"/>
  <c r="CX190" i="9"/>
  <c r="EE216" i="9"/>
  <c r="EA216" i="9"/>
  <c r="DW216" i="9"/>
  <c r="N7" i="3"/>
  <c r="DI190" i="9"/>
  <c r="DG190" i="9"/>
  <c r="DE190" i="9"/>
  <c r="DC190" i="9"/>
  <c r="DA190" i="9"/>
  <c r="CY190" i="9"/>
  <c r="ED216" i="9"/>
  <c r="DZ216" i="9"/>
  <c r="CX5" i="9"/>
  <c r="CX4" i="9" s="1"/>
  <c r="DF5" i="9"/>
  <c r="DF4" i="9" s="1"/>
  <c r="CX191" i="9"/>
  <c r="DH191" i="9"/>
  <c r="DD191" i="9"/>
  <c r="DC191" i="9"/>
  <c r="CZ191" i="9"/>
  <c r="G273" i="10"/>
  <c r="CM190" i="9"/>
  <c r="CN190" i="9"/>
  <c r="CP190" i="9"/>
  <c r="CQ190" i="9"/>
  <c r="G275" i="10"/>
  <c r="G274" i="10"/>
  <c r="G269" i="10"/>
  <c r="G271" i="10"/>
  <c r="G245" i="10"/>
  <c r="R8" i="1"/>
  <c r="R8" i="3"/>
  <c r="G270" i="10"/>
  <c r="E253" i="10" l="1"/>
  <c r="G253" i="10" s="1"/>
  <c r="B7" i="3" s="1"/>
  <c r="F253" i="10"/>
  <c r="P8" i="3"/>
  <c r="S8" i="3" s="1"/>
  <c r="G7" i="3"/>
  <c r="K8" i="3"/>
  <c r="S8" i="6"/>
  <c r="S8" i="5"/>
  <c r="S82" i="5"/>
  <c r="DJ262" i="9"/>
  <c r="S101" i="6"/>
  <c r="T9" i="6"/>
  <c r="T102" i="6" s="1"/>
  <c r="P8" i="1"/>
  <c r="S8" i="1" s="1"/>
  <c r="DH192" i="9"/>
  <c r="P58" i="3"/>
  <c r="P57" i="3"/>
  <c r="P34" i="3"/>
  <c r="P23" i="3"/>
  <c r="P17" i="3"/>
  <c r="P48" i="3"/>
  <c r="P20" i="3"/>
  <c r="P21" i="3"/>
  <c r="P22" i="3"/>
  <c r="P41" i="3"/>
  <c r="P39" i="3"/>
  <c r="P35" i="3"/>
  <c r="P32" i="3"/>
  <c r="P51" i="3"/>
  <c r="P15" i="3"/>
  <c r="P26" i="3"/>
  <c r="P25" i="3"/>
  <c r="P43" i="3"/>
  <c r="P44" i="3"/>
  <c r="P19" i="3"/>
  <c r="P28" i="3"/>
  <c r="P52" i="3"/>
  <c r="P38" i="3"/>
  <c r="S59" i="3"/>
  <c r="S63" i="3"/>
  <c r="S62" i="3"/>
  <c r="S58" i="3"/>
  <c r="S48" i="3" s="1"/>
  <c r="S61" i="3"/>
  <c r="CU190" i="9"/>
  <c r="S64" i="3"/>
  <c r="CU191" i="9"/>
  <c r="DD192" i="9"/>
  <c r="CZ192" i="9"/>
  <c r="CX192" i="9"/>
  <c r="DC192" i="9"/>
  <c r="DE191" i="9"/>
  <c r="DE192" i="9" s="1"/>
  <c r="CY191" i="9"/>
  <c r="CY192" i="9" s="1"/>
  <c r="DF191" i="9"/>
  <c r="DF192" i="9" s="1"/>
  <c r="DB191" i="9"/>
  <c r="DB192" i="9" s="1"/>
  <c r="CP191" i="9"/>
  <c r="DG191" i="9"/>
  <c r="DG192" i="9" s="1"/>
  <c r="DI191" i="9"/>
  <c r="DI192" i="9" s="1"/>
  <c r="CM192" i="9"/>
  <c r="CN191" i="9"/>
  <c r="DA191" i="9"/>
  <c r="DA192" i="9" s="1"/>
  <c r="S18" i="3"/>
  <c r="S33" i="3"/>
  <c r="S15" i="3"/>
  <c r="S28" i="3"/>
  <c r="S26" i="3"/>
  <c r="S32" i="3"/>
  <c r="S16" i="3"/>
  <c r="S45" i="3"/>
  <c r="S19" i="3"/>
  <c r="S30" i="3"/>
  <c r="S50" i="3"/>
  <c r="S52" i="3"/>
  <c r="S49" i="3"/>
  <c r="S35" i="3"/>
  <c r="S44" i="3"/>
  <c r="S13" i="3"/>
  <c r="S22" i="3"/>
  <c r="S43" i="3"/>
  <c r="S47" i="3"/>
  <c r="S34" i="3"/>
  <c r="S20" i="3"/>
  <c r="S11" i="3"/>
  <c r="S39" i="3"/>
  <c r="S38" i="3"/>
  <c r="S57" i="3"/>
  <c r="CR190" i="9"/>
  <c r="S41" i="3"/>
  <c r="S27" i="3"/>
  <c r="S23" i="3"/>
  <c r="S56" i="3"/>
  <c r="S17" i="3"/>
  <c r="S24" i="3"/>
  <c r="S46" i="3"/>
  <c r="S36" i="3"/>
  <c r="S51" i="3"/>
  <c r="S42" i="3"/>
  <c r="S21" i="3"/>
  <c r="S14" i="3"/>
  <c r="S31" i="3"/>
  <c r="S12" i="3"/>
  <c r="S37" i="3"/>
  <c r="S25" i="3"/>
  <c r="K8" i="1"/>
  <c r="S60" i="3" l="1"/>
  <c r="P16" i="3"/>
  <c r="P45" i="3"/>
  <c r="P46" i="3"/>
  <c r="P49" i="3"/>
  <c r="P56" i="3"/>
  <c r="P61" i="3"/>
  <c r="P62" i="3"/>
  <c r="P63" i="3"/>
  <c r="P42" i="3"/>
  <c r="P47" i="3"/>
  <c r="P24" i="3"/>
  <c r="P36" i="3"/>
  <c r="P37" i="3"/>
  <c r="P33" i="3"/>
  <c r="P13" i="3"/>
  <c r="P12" i="3"/>
  <c r="P14" i="3"/>
  <c r="P18" i="3"/>
  <c r="P29" i="3"/>
  <c r="P27" i="3"/>
  <c r="P50" i="3"/>
  <c r="CV191" i="9"/>
  <c r="P55" i="3"/>
  <c r="CS191" i="9"/>
  <c r="CS192" i="9"/>
  <c r="CO191" i="9"/>
  <c r="CL191" i="9"/>
  <c r="CR191" i="9"/>
  <c r="CP192" i="9"/>
  <c r="CV192" i="9"/>
  <c r="CW191" i="9"/>
  <c r="CT191" i="9"/>
  <c r="CM191" i="9"/>
  <c r="CQ192" i="9"/>
  <c r="CQ191" i="9"/>
  <c r="S55" i="3"/>
  <c r="S29" i="3"/>
  <c r="G254" i="10"/>
  <c r="P40" i="3"/>
  <c r="S40" i="3"/>
  <c r="CO190" i="9"/>
  <c r="P30" i="3"/>
  <c r="CU192" i="9" l="1"/>
  <c r="CT192" i="9"/>
  <c r="CN192" i="9"/>
  <c r="CW192" i="9"/>
  <c r="S53" i="3"/>
  <c r="CR192" i="9"/>
  <c r="CO192" i="9"/>
  <c r="CL190" i="9"/>
  <c r="P54" i="3" l="1"/>
  <c r="CL192" i="9"/>
  <c r="P64" i="3" l="1"/>
  <c r="P59" i="3"/>
  <c r="S54" i="3"/>
  <c r="P60" i="3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<sst xmlns="http://schemas.openxmlformats.org/spreadsheetml/2006/main" count="1785" uniqueCount="847">
  <si>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</si>
  <si>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</si>
  <si>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</si>
  <si>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</si>
  <si>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</si>
  <si>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</si>
  <si>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</si>
  <si>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</si>
  <si>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</si>
  <si>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</si>
  <si>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</si>
  <si>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</si>
  <si>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</si>
  <si>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</si>
  <si>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</si>
  <si>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</si>
  <si>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</si>
  <si>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</si>
  <si>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</si>
  <si>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</si>
  <si>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</si>
  <si>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</si>
  <si>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</si>
  <si>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</si>
  <si>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</si>
  <si>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</si>
  <si>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</si>
  <si>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</si>
  <si>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</si>
  <si>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</si>
  <si>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</si>
  <si>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</si>
  <si>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</si>
  <si>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</si>
  <si>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</si>
  <si>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</si>
  <si>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</si>
  <si>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</si>
  <si>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</si>
  <si>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</si>
  <si>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</si>
  <si>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</si>
  <si>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</si>
  <si>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</si>
  <si>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</si>
  <si>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</si>
  <si>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</si>
  <si>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</si>
  <si>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</si>
  <si>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</si>
  <si>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</si>
  <si>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</si>
  <si>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</si>
  <si>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</si>
  <si>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</si>
  <si>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</si>
  <si>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</si>
  <si>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</si>
  <si>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</si>
  <si>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</si>
  <si>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</si>
  <si>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</si>
  <si>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</si>
  <si>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</si>
  <si>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</si>
  <si>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</si>
  <si>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</si>
  <si>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</si>
  <si>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</si>
  <si>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</si>
  <si>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</si>
  <si>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</si>
  <si>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</si>
  <si>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</si>
  <si>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</si>
  <si>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</si>
  <si>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</si>
  <si>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</si>
  <si>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</si>
  <si>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</si>
  <si>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</si>
  <si>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</si>
  <si>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</si>
  <si>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</si>
  <si>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</si>
  <si>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</si>
  <si>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</si>
  <si>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</si>
  <si>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</si>
  <si>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</si>
  <si>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</si>
  <si>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</si>
  <si>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</si>
  <si>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</si>
  <si>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</si>
  <si>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</si>
  <si>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</si>
  <si>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</si>
  <si>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</si>
  <si>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</si>
  <si>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</si>
  <si>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</si>
  <si>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</si>
  <si>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</si>
  <si>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</si>
  <si>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</si>
  <si>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</si>
  <si>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</si>
  <si>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</si>
  <si>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</si>
  <si>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</si>
  <si>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</si>
  <si>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</si>
  <si>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</si>
  <si>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</si>
  <si>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</si>
  <si>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</si>
  <si>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</si>
  <si>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</si>
  <si>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</si>
  <si>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</si>
  <si>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</si>
  <si>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</si>
  <si>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</si>
  <si>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</si>
  <si>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</si>
  <si>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</si>
  <si>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</si>
  <si>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</si>
  <si>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</si>
  <si>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</si>
  <si>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</si>
  <si>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</si>
  <si>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</si>
  <si>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</si>
  <si>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</si>
  <si>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</si>
  <si>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</si>
  <si>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</si>
  <si>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</si>
  <si>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</si>
  <si>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</si>
  <si>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</si>
  <si>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</si>
  <si>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</si>
  <si>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</si>
  <si>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</si>
  <si>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</si>
  <si>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</si>
  <si>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</si>
  <si>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</si>
  <si>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</si>
  <si>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</si>
  <si>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</si>
  <si>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</si>
  <si>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</si>
  <si>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</si>
  <si>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</si>
  <si>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</si>
  <si>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</si>
  <si>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</si>
  <si>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</si>
  <si>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</si>
  <si>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</si>
  <si>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</si>
  <si>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</si>
  <si>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</si>
  <si>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</si>
  <si>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</si>
  <si>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</si>
  <si>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</si>
  <si>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</si>
  <si>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</si>
  <si>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</si>
  <si>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</si>
  <si>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</si>
  <si>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</si>
  <si>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</si>
  <si>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</si>
  <si>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</si>
  <si>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</si>
  <si>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</si>
  <si>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</si>
  <si>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</si>
  <si>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</si>
  <si>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</si>
  <si>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</si>
  <si>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</si>
  <si>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</si>
  <si>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</si>
  <si>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</si>
  <si>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</si>
  <si>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</si>
  <si>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</si>
  <si>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</si>
  <si>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</si>
  <si>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</si>
  <si>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</si>
  <si>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</si>
  <si>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</si>
  <si>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</si>
  <si>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</si>
  <si>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</si>
  <si>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</si>
  <si>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</si>
  <si>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</si>
  <si>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</si>
  <si>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</si>
  <si>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</si>
  <si>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</si>
  <si>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</si>
  <si>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</si>
  <si>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</si>
  <si>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</si>
  <si>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</si>
  <si>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</si>
  <si>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</si>
  <si>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</si>
  <si>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</si>
  <si>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</si>
  <si>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</si>
  <si>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</si>
  <si>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</si>
  <si>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</si>
  <si>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</si>
  <si>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</si>
  <si>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</si>
  <si>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</si>
  <si>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</si>
  <si>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</si>
  <si>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</si>
  <si>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</si>
  <si>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</si>
  <si>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</si>
  <si>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</si>
  <si>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</si>
  <si>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</si>
  <si>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</si>
  <si>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</si>
  <si>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</si>
  <si>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</si>
  <si>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</si>
  <si>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</si>
  <si>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</si>
  <si>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</si>
  <si>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</si>
  <si>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</si>
  <si>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</si>
  <si>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</si>
  <si>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</si>
  <si>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</si>
  <si>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</si>
  <si>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</si>
  <si>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</si>
  <si>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</si>
  <si>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</si>
  <si>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</si>
  <si>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</si>
  <si>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</si>
  <si>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</si>
  <si>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</si>
  <si>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</si>
  <si>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</si>
  <si>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</si>
  <si>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</si>
  <si>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</si>
  <si>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</si>
  <si>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</si>
  <si>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</si>
  <si>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</si>
  <si>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</si>
  <si>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</si>
  <si>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</si>
  <si>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</si>
  <si>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</si>
  <si>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</si>
  <si>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</si>
  <si>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</si>
  <si>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</si>
  <si>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</si>
  <si>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</si>
  <si>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</si>
  <si>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</si>
  <si>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</si>
  <si>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</si>
  <si>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</si>
  <si>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</si>
  <si>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</si>
  <si>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</si>
  <si>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</si>
  <si>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</si>
  <si>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</si>
  <si>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</si>
  <si>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</si>
  <si>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</si>
  <si>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</si>
  <si>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</si>
  <si>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</si>
  <si>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</si>
  <si>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</si>
  <si>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</si>
  <si>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</si>
  <si>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</si>
  <si>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</si>
  <si>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</si>
  <si>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</si>
  <si>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</si>
  <si>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</si>
  <si>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</si>
  <si>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</si>
  <si>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</si>
  <si>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</si>
  <si>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</si>
  <si>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</si>
  <si>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</si>
  <si>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</si>
  <si>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</si>
  <si>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</si>
  <si>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</si>
  <si>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</si>
  <si>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</si>
  <si>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</si>
  <si>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</si>
  <si>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</si>
  <si>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</si>
  <si>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</si>
  <si>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</si>
  <si>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</si>
  <si>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</si>
  <si>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</si>
  <si>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</si>
  <si>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</si>
  <si>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</si>
  <si>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</si>
  <si>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</si>
  <si>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</si>
  <si>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</si>
  <si>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</si>
  <si>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</si>
  <si>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</si>
  <si>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</si>
  <si>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</si>
  <si>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</si>
  <si>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</si>
  <si>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</si>
  <si>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</si>
  <si>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</si>
  <si>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</si>
  <si>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</si>
  <si>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</si>
  <si>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</si>
  <si>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</si>
  <si>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</si>
  <si>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</si>
  <si>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</si>
  <si>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</si>
  <si>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</si>
  <si>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</si>
  <si>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</si>
  <si>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</si>
  <si>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</si>
  <si>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</si>
  <si>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</si>
  <si>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</si>
  <si>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</si>
  <si>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</si>
  <si>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</si>
  <si>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</si>
  <si>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</si>
  <si>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</si>
  <si>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</si>
  <si>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</si>
  <si>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</si>
  <si>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</si>
  <si>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</si>
  <si>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</si>
  <si>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</si>
  <si>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</si>
  <si>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</si>
  <si>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</si>
  <si>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</si>
  <si>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</si>
  <si>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</si>
  <si>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</si>
  <si>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</si>
  <si>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</si>
  <si>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</si>
  <si>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</si>
  <si>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</si>
  <si>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</si>
  <si>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</si>
  <si>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</si>
  <si>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</si>
  <si>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</si>
  <si>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</si>
  <si>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</si>
  <si>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</si>
  <si>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</si>
  <si>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</si>
  <si>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</si>
  <si>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</si>
  <si>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</si>
  <si>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</si>
  <si>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</si>
  <si>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</si>
  <si>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</si>
  <si>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</si>
  <si>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</si>
  <si>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</si>
  <si>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</si>
  <si>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</si>
  <si>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</si>
  <si>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</si>
  <si>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</si>
  <si>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</si>
  <si>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</si>
  <si>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</si>
  <si>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</si>
  <si>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</si>
  <si>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</si>
  <si>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</si>
  <si>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</si>
  <si>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</si>
  <si>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</si>
  <si>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</si>
  <si>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</si>
  <si>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</si>
  <si>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</si>
  <si>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</si>
  <si>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</si>
  <si>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</si>
  <si>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</si>
  <si>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</si>
  <si>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</si>
  <si>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</si>
  <si>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</si>
  <si>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</si>
  <si>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</si>
  <si>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</si>
  <si>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</si>
  <si>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</si>
  <si>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</si>
  <si>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</si>
  <si>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</si>
  <si>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</si>
  <si>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</si>
  <si>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</si>
  <si>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</si>
  <si>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</si>
  <si>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</si>
  <si>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</si>
  <si>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</si>
  <si>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</si>
  <si>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</si>
  <si>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</si>
  <si>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</si>
  <si>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</si>
  <si>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</si>
  <si>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</si>
  <si>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</si>
  <si>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</si>
  <si>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</si>
  <si>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</si>
  <si>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</si>
  <si>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</si>
  <si>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</si>
  <si>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</si>
  <si>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</si>
  <si>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</si>
  <si>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</si>
  <si>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</si>
  <si>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</si>
  <si>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</si>
  <si>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</si>
  <si>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</si>
  <si>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</si>
  <si>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</si>
  <si>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</si>
  <si>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</si>
  <si>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</si>
  <si>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</si>
  <si>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</si>
  <si>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</si>
  <si>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</si>
  <si>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</si>
  <si>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</si>
  <si>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</si>
  <si>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</si>
  <si>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</si>
  <si>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</si>
  <si>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</si>
  <si>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</si>
  <si>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</si>
  <si>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</si>
  <si>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</si>
  <si>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</si>
  <si>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</si>
  <si>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</si>
  <si>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</si>
  <si>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</si>
  <si>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</si>
  <si>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</si>
  <si>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</si>
  <si>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</si>
  <si>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</si>
  <si>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</si>
  <si>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</si>
  <si>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</si>
  <si>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</si>
  <si>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</si>
  <si>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</si>
  <si>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</si>
  <si>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</si>
  <si>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</si>
  <si>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</si>
  <si>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</si>
  <si>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</si>
  <si>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</si>
  <si>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</si>
  <si>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</si>
  <si>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</si>
  <si>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</si>
  <si>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</si>
  <si>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</si>
  <si>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</si>
  <si>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</si>
  <si>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</si>
  <si>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</si>
  <si>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</si>
  <si>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</si>
  <si>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</si>
  <si>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</si>
  <si>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</si>
  <si>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</si>
  <si>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</si>
  <si>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</si>
  <si>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</si>
  <si>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</si>
  <si>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</si>
  <si>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</si>
  <si>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</si>
  <si>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</si>
  <si>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</si>
  <si>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</si>
  <si>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</si>
  <si>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</si>
  <si>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</si>
  <si>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</si>
  <si>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</si>
  <si>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</si>
  <si>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</si>
  <si>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</si>
  <si>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</si>
  <si>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</si>
  <si>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</si>
  <si>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</si>
  <si>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</si>
  <si>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</si>
  <si>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</si>
  <si>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</si>
  <si>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</si>
  <si>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</si>
  <si>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</si>
  <si>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</si>
  <si>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</si>
  <si>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</si>
  <si>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</si>
  <si>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</si>
  <si>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</si>
  <si>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</si>
  <si>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</si>
  <si>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</si>
  <si>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</si>
  <si>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</si>
  <si>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</si>
  <si>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</si>
  <si>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</si>
  <si>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</si>
  <si>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</si>
  <si>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</si>
  <si>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</si>
  <si>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</si>
  <si>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</si>
  <si>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</si>
  <si>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</si>
  <si>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</si>
  <si>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</si>
  <si>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</si>
  <si>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</si>
  <si>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</si>
  <si>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</si>
  <si>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</si>
  <si>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</si>
  <si>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</si>
  <si>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</si>
  <si>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</si>
  <si>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</si>
  <si>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</si>
  <si>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</si>
  <si>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</si>
  <si>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</si>
  <si>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</si>
  <si>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</si>
  <si>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</si>
  <si>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</si>
  <si>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</si>
  <si>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</si>
  <si>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</si>
  <si>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</si>
  <si>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</si>
  <si>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</si>
  <si>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</si>
  <si>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</si>
  <si>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</si>
  <si>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</si>
  <si>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</si>
  <si>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</si>
  <si>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</si>
  <si>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</si>
  <si>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</si>
  <si>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</si>
  <si>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</si>
  <si>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</si>
  <si>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</si>
  <si>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</si>
  <si>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</si>
  <si>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</si>
  <si>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</si>
  <si>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</si>
  <si>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</si>
  <si>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</si>
  <si>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</si>
  <si>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</si>
  <si>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</si>
  <si>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</si>
  <si>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</si>
  <si>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</si>
  <si>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</si>
  <si>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</si>
  <si>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</si>
  <si>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</si>
  <si>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</si>
  <si>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</si>
  <si>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</si>
  <si>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</si>
  <si>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</si>
  <si>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</si>
  <si>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</si>
  <si>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</si>
  <si>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</si>
  <si>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</si>
  <si>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</si>
  <si>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</si>
  <si>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</si>
  <si>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</si>
  <si>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</si>
  <si>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</si>
  <si>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</si>
  <si>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</si>
  <si>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</si>
  <si>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</si>
  <si>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</si>
  <si>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</si>
  <si>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</si>
  <si>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</si>
  <si>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</si>
  <si>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</si>
  <si>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</si>
  <si>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</si>
  <si>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</si>
  <si>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</si>
  <si>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</si>
  <si>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</si>
  <si>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</si>
  <si>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</si>
  <si>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</si>
  <si>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</si>
  <si>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</si>
  <si>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</si>
  <si>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</si>
  <si>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</si>
  <si>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</si>
  <si>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</si>
  <si>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</si>
  <si>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</si>
  <si>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</si>
  <si>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</si>
  <si>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</si>
  <si>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</si>
  <si>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</si>
  <si>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</si>
  <si>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</si>
  <si>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</si>
  <si>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</si>
  <si>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</si>
  <si>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</si>
  <si>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</si>
  <si>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</si>
  <si>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</si>
  <si>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</si>
  <si>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</si>
  <si>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</si>
  <si>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</si>
  <si>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</si>
  <si>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</si>
  <si>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</si>
  <si>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</si>
  <si>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</si>
  <si>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</si>
  <si>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</si>
  <si>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</si>
  <si>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</si>
  <si>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</si>
  <si>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</si>
  <si>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</si>
  <si>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</si>
  <si>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</si>
  <si>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</si>
  <si>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</si>
  <si>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</si>
  <si>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</si>
  <si>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</si>
  <si>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</si>
  <si>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</si>
  <si>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</si>
  <si>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</si>
  <si>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</si>
  <si>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</si>
  <si>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</si>
  <si>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</si>
  <si>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</si>
  <si>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</si>
  <si>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</si>
  <si>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</si>
  <si>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</si>
  <si>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</si>
  <si>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</si>
  <si>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</si>
  <si>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</si>
  <si>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</si>
  <si>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</si>
  <si>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</si>
  <si>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</si>
  <si>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</si>
  <si>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</si>
  <si>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</si>
  <si>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</si>
  <si>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</si>
  <si>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</si>
  <si>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</si>
  <si>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</si>
  <si>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</si>
  <si>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</si>
  <si>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</si>
  <si>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</si>
  <si>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</si>
  <si>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</si>
  <si>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</si>
  <si>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</si>
  <si>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</si>
  <si>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</si>
  <si>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</si>
  <si>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</si>
  <si>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</si>
  <si>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</si>
  <si>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</si>
  <si>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</si>
  <si>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</si>
  <si>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</si>
  <si>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</si>
  <si>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</si>
  <si>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</si>
  <si>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</si>
  <si>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</si>
  <si>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</si>
  <si>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</si>
  <si>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</si>
  <si>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</si>
  <si>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</si>
  <si>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</si>
  <si>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</si>
  <si>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</si>
  <si>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</si>
  <si>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</si>
  <si>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</si>
  <si>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</si>
  <si>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</si>
  <si>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</si>
  <si>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</si>
  <si>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</si>
  <si>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</si>
  <si>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</si>
  <si>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</si>
  <si>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</si>
  <si>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</si>
  <si>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</si>
  <si>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</si>
  <si>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</si>
  <si>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</si>
  <si>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</si>
  <si>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</si>
  <si>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</si>
  <si>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</si>
  <si>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</si>
  <si>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</si>
  <si>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</si>
  <si>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</si>
  <si>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</si>
  <si>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</si>
  <si>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</si>
  <si>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</si>
  <si>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</si>
  <si>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</si>
  <si>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</si>
  <si>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</si>
  <si>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</si>
  <si>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</si>
  <si>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</si>
  <si>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</si>
  <si>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</si>
  <si>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</si>
  <si>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</si>
  <si>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</si>
  <si>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</si>
  <si>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</si>
  <si>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</si>
  <si>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</si>
  <si>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</si>
  <si>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</si>
  <si>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</si>
  <si>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</si>
  <si>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</si>
  <si>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</si>
  <si>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</si>
  <si>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</si>
  <si>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</si>
  <si>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</si>
  <si>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</si>
  <si>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</si>
  <si>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</si>
  <si>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Prihodi za mjesec Septebar</t>
  </si>
  <si>
    <t>Rashodi za mjesec Septembar</t>
  </si>
  <si>
    <t>Suficit/Deficit za mjesec Septembar</t>
  </si>
  <si>
    <t>Prihodi za period Januar - Septembar</t>
  </si>
  <si>
    <t>Rashodi za period Januar - Septembar</t>
  </si>
  <si>
    <t>Suficit/Deficit za period Januar - Septembar</t>
  </si>
  <si>
    <t>PREMILINARNI PODACI IZVRŠENJA BUDŽETA ZA SEPTEMBAR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</si>
</sst>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30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175" fontId="0" fillId="3" borderId="0" xfId="0" applyNumberFormat="1" applyFill="1" applyAlignment="1">
      <alignment vertical="center"/>
    </xf>
    <xf numFmtId="166" fontId="4" fillId="0" borderId="0" xfId="0" applyNumberFormat="1" applyFont="1" applyFill="1" applyBorder="1" applyAlignment="1" applyProtection="1">
      <alignment horizontal="center" vertical="center"/>
      <protection hidden="1"/>
    </xf>
    <xf numFmtId="176" fontId="22" fillId="4" borderId="14" xfId="0" applyNumberFormat="1" applyFont="1" applyFill="1" applyBorder="1" applyAlignment="1">
      <alignment horizontal="center" vertical="center"/>
    </xf>
    <xf numFmtId="176" fontId="24" fillId="3" borderId="30" xfId="0" applyNumberFormat="1" applyFont="1" applyFill="1" applyBorder="1" applyAlignment="1">
      <alignment horizontal="center" vertical="center"/>
    </xf>
    <xf numFmtId="176" fontId="24" fillId="3" borderId="31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24" fillId="3" borderId="33" xfId="0" applyNumberFormat="1" applyFont="1" applyFill="1" applyBorder="1" applyAlignment="1">
      <alignment horizontal="center" vertical="center"/>
    </xf>
    <xf numFmtId="176" fontId="24" fillId="3" borderId="25" xfId="0" applyNumberFormat="1" applyFont="1" applyFill="1" applyBorder="1" applyAlignment="1">
      <alignment horizontal="center" vertical="center"/>
    </xf>
    <xf numFmtId="10" fontId="3" fillId="3" borderId="7" xfId="0" applyNumberFormat="1" applyFont="1" applyFill="1" applyBorder="1" applyAlignment="1" applyProtection="1">
      <alignment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[1]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2021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6</xdr:row>
      <xdr:rowOff>180976</xdr:rowOff>
    </xdr:from>
    <xdr:to>
      <xdr:col>18</xdr:col>
      <xdr:colOff>257175</xdr:colOff>
      <xdr:row>21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610350" y="1323976"/>
          <a:ext cx="4010025" cy="28670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periodu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Januaru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Septembar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2022. godine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iznosili su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459,3 mil. € ili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7,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procijenjenog BDP-a i veći su 114,9 mil. € ili 8,5%. u odnosu na isti period 2021. godine, dok su u odnosu na planirane veći za 69,6 mil. € ili 5%. Prihodi za 9 mjeseci tekuće godine su veći i u odnosu na uporedni period 2019. godine za 121.1 mil. € ili 9,1%.</a:t>
          </a:r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endParaRPr lang="en-GB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r>
            <a:rPr lang="sr-Latn-R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- septembar 2022 iznosili su 1495.2 mil. € ili 28.2% procijenjenog BDP-a i u odnosu na planirane niži su za 70,5 mil. € ili 4.5%. U odnosu na posmatrani period prethodne godine, izdaci su viši za 85.6 mil €, odnosno 6.1%.</a:t>
          </a:r>
        </a:p>
        <a:p>
          <a:pPr algn="l"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posmatranom periodu </a:t>
          </a:r>
          <a:r>
            <a:rPr lang="sr-Latn-ME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budžetski deficit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iznosio je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36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 €</a:t>
          </a:r>
          <a:r>
            <a:rPr lang="sr-Latn-M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odnosno 0,7% BDP-a,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niži je od plana za 140,1 mil €, odnosno 79.6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U odnosu na isti period prethodne 2021. godine, budžetki deficit je niži za 29,3 mil€, odnosno 44,9%.</a:t>
          </a:r>
          <a:endParaRPr lang="sr-Latn-ME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400052</xdr:colOff>
      <xdr:row>6</xdr:row>
      <xdr:rowOff>180976</xdr:rowOff>
    </xdr:from>
    <xdr:to>
      <xdr:col>24</xdr:col>
      <xdr:colOff>390526</xdr:colOff>
      <xdr:row>21</xdr:row>
      <xdr:rowOff>180975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763252" y="1323976"/>
          <a:ext cx="3648074" cy="2867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[1]Master!G279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[1]Master!G11" fLocksText="0">
      <xdr:nvSpPr>
        <xdr:cNvPr id="7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142875</xdr:colOff>
          <xdr:row>1</xdr:row>
          <xdr:rowOff>47625</xdr:rowOff>
        </xdr:to>
        <xdr:sp macro="" textlink="">
          <xdr:nvSpPr>
            <xdr:cNvPr id="89089" name="Option Button 1" hidden="1">
              <a:extLst>
                <a:ext uri="{63B3BB69-23CF-44E3-9099-C40C66FF867C}">
                  <a14:compatExt spid="_x0000_s89089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3</xdr:col>
          <xdr:colOff>266700</xdr:colOff>
          <xdr:row>1</xdr:row>
          <xdr:rowOff>47625</xdr:rowOff>
        </xdr:to>
        <xdr:sp macro="" textlink="">
          <xdr:nvSpPr>
            <xdr:cNvPr id="89090" name="Option Button 2" hidden="1">
              <a:extLst>
                <a:ext uri="{63B3BB69-23CF-44E3-9099-C40C66FF867C}">
                  <a14:compatExt spid="_x0000_s89090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440222</xdr:colOff>
      <xdr:row>1</xdr:row>
      <xdr:rowOff>122092</xdr:rowOff>
    </xdr:from>
    <xdr:to>
      <xdr:col>10</xdr:col>
      <xdr:colOff>195582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655343</xdr:colOff>
      <xdr:row>2</xdr:row>
      <xdr:rowOff>9524</xdr:rowOff>
    </xdr:from>
    <xdr:to>
      <xdr:col>12</xdr:col>
      <xdr:colOff>765640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219710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523875</xdr:colOff>
      <xdr:row>2</xdr:row>
      <xdr:rowOff>123824</xdr:rowOff>
    </xdr:from>
    <xdr:to>
      <xdr:col>11</xdr:col>
      <xdr:colOff>26035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342900</xdr:colOff>
      <xdr:row>3</xdr:row>
      <xdr:rowOff>28575</xdr:rowOff>
    </xdr:from>
    <xdr:to>
      <xdr:col>13</xdr:col>
      <xdr:colOff>95568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381000</xdr:colOff>
      <xdr:row>3</xdr:row>
      <xdr:rowOff>9525</xdr:rowOff>
    </xdr:from>
    <xdr:to>
      <xdr:col>15</xdr:col>
      <xdr:colOff>133668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jan.paunovic/Desktop/MoF/Budzet/izvrsenje%20budzeta/Izvjestaji/Izvjestaji%202022/Januar%20GDDS/GDD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2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G6" t="str">
            <v>Crna Gora</v>
          </cell>
        </row>
        <row r="8">
          <cell r="G8" t="str">
            <v>Direktorat za državni budžet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16.xml"/><Relationship Id="rId5" Type="http://schemas.openxmlformats.org/officeDocument/2006/relationships/ctrlProp" Target="../ctrlProps/ctrlProp15.xml"/><Relationship Id="rId4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activeCell="E1" sqref="E1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 i socijalnog staranja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2022-09</v>
      </c>
      <c r="O6" s="143" t="str">
        <f>+CONCATENATE(N6,"p")</f>
        <v>2022-09p</v>
      </c>
      <c r="P6" s="130"/>
      <c r="Q6" s="130"/>
      <c r="R6" s="143" t="str">
        <f>+IF(Master!B3-10&gt;=0,CONCATENATE(Master!B4-1,"-",Master!B3),CONCATENATE(Master!B4-1,"-0",Master!B3))</f>
        <v>2021-09</v>
      </c>
      <c r="S6" s="130"/>
      <c r="T6" s="130"/>
    </row>
    <row r="7" spans="1:20">
      <c r="A7" s="144"/>
      <c r="B7" s="514" t="s">
        <v>692</v>
      </c>
      <c r="C7" s="515"/>
      <c r="D7" s="515"/>
      <c r="E7" s="515"/>
      <c r="F7" s="515"/>
      <c r="G7" s="523" t="s">
        <v>691</v>
      </c>
      <c r="H7" s="524"/>
      <c r="I7" s="524"/>
      <c r="J7" s="524"/>
      <c r="K7" s="524"/>
      <c r="L7" s="524"/>
      <c r="M7" s="525"/>
      <c r="N7" s="526" t="str">
        <f>+Master!G242</f>
        <v>Decembar</v>
      </c>
      <c r="O7" s="524"/>
      <c r="P7" s="524"/>
      <c r="Q7" s="524"/>
      <c r="R7" s="524"/>
      <c r="S7" s="524"/>
      <c r="T7" s="527"/>
    </row>
    <row r="8" spans="1:20">
      <c r="A8" s="144"/>
      <c r="B8" s="516"/>
      <c r="C8" s="517"/>
      <c r="D8" s="517"/>
      <c r="E8" s="517"/>
      <c r="F8" s="518"/>
      <c r="G8" s="145" t="str">
        <f>+Master!G25</f>
        <v>Ostvarenje</v>
      </c>
      <c r="H8" s="145" t="str">
        <f>+Master!G24</f>
        <v>Plan</v>
      </c>
      <c r="I8" s="510" t="str">
        <f>+Master!G260</f>
        <v>Odstupanje</v>
      </c>
      <c r="J8" s="510"/>
      <c r="K8" s="145" t="str">
        <f>+CONCATENATE(Master!G245," ",Master!B4-1)</f>
        <v>Jan - Sep 2021</v>
      </c>
      <c r="L8" s="510" t="str">
        <f>+I8</f>
        <v>Odstupanje</v>
      </c>
      <c r="M8" s="522"/>
      <c r="N8" s="146" t="str">
        <f>+G8</f>
        <v>Ostvarenje</v>
      </c>
      <c r="O8" s="145" t="str">
        <f>+H8</f>
        <v>Plan</v>
      </c>
      <c r="P8" s="510" t="str">
        <f>+I8</f>
        <v>Odstupanje</v>
      </c>
      <c r="Q8" s="510"/>
      <c r="R8" s="145" t="str">
        <f>+CONCATENATE(Master!G244," ",Master!B4-1)</f>
        <v>Septembar 2021</v>
      </c>
      <c r="S8" s="510" t="str">
        <f>+P8</f>
        <v>Odstupanje</v>
      </c>
      <c r="T8" s="511"/>
    </row>
    <row r="9" spans="1:20" ht="15.75" thickBot="1">
      <c r="A9" s="144"/>
      <c r="B9" s="519"/>
      <c r="C9" s="520"/>
      <c r="D9" s="520"/>
      <c r="E9" s="520"/>
      <c r="F9" s="521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56" t="str">
        <f>+VLOOKUP($A10,Master!$D$29:$G$225,4,FALSE)</f>
        <v>Prihodi budžeta</v>
      </c>
      <c r="C10" s="557"/>
      <c r="D10" s="557"/>
      <c r="E10" s="557"/>
      <c r="F10" s="557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58" t="str">
        <f>+VLOOKUP($A11,Master!$D$29:$G$225,4,FALSE)</f>
        <v>Porezi</v>
      </c>
      <c r="C11" s="559"/>
      <c r="D11" s="559"/>
      <c r="E11" s="559"/>
      <c r="F11" s="559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44" t="str">
        <f>+VLOOKUP($A12,Master!$D$29:$G$225,4,FALSE)</f>
        <v>Porez na dohodak fizičkih lica</v>
      </c>
      <c r="C12" s="545"/>
      <c r="D12" s="545"/>
      <c r="E12" s="545"/>
      <c r="F12" s="545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44" t="str">
        <f>+VLOOKUP($A13,Master!$D$29:$G$225,4,FALSE)</f>
        <v>Porez na dobit pravnih lica</v>
      </c>
      <c r="C13" s="545"/>
      <c r="D13" s="545"/>
      <c r="E13" s="545"/>
      <c r="F13" s="545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44" t="str">
        <f>+VLOOKUP($A14,Master!$D$29:$G$225,4,FALSE)</f>
        <v>Porez na promet nepokretnosti</v>
      </c>
      <c r="C14" s="545"/>
      <c r="D14" s="545"/>
      <c r="E14" s="545"/>
      <c r="F14" s="545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44" t="str">
        <f>+VLOOKUP($A15,Master!$D$29:$G$225,4,FALSE)</f>
        <v>Porez na dodatu vrijednost</v>
      </c>
      <c r="C15" s="545"/>
      <c r="D15" s="545"/>
      <c r="E15" s="545"/>
      <c r="F15" s="545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44" t="str">
        <f>+VLOOKUP($A16,Master!$D$29:$G$225,4,FALSE)</f>
        <v>Akcize</v>
      </c>
      <c r="C16" s="545"/>
      <c r="D16" s="545"/>
      <c r="E16" s="545"/>
      <c r="F16" s="545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44" t="str">
        <f>+VLOOKUP($A17,Master!$D$29:$G$225,4,FALSE)</f>
        <v>Porez na međunarodnu trgovinu i transakcije</v>
      </c>
      <c r="C17" s="545"/>
      <c r="D17" s="545"/>
      <c r="E17" s="545"/>
      <c r="F17" s="545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44" t="e">
        <f>+VLOOKUP($A18,Master!$D$29:$G$225,4,FALSE)</f>
        <v>#N/A</v>
      </c>
      <c r="C18" s="545"/>
      <c r="D18" s="545"/>
      <c r="E18" s="545"/>
      <c r="F18" s="545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44" t="str">
        <f>+VLOOKUP($A19,Master!$D$29:$G$225,4,FALSE)</f>
        <v>Ostali državni porezi</v>
      </c>
      <c r="C19" s="545"/>
      <c r="D19" s="545"/>
      <c r="E19" s="545"/>
      <c r="F19" s="545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54" t="str">
        <f>+VLOOKUP($A20,Master!$D$29:$G$225,4,FALSE)</f>
        <v>Doprinosi</v>
      </c>
      <c r="C20" s="555"/>
      <c r="D20" s="555"/>
      <c r="E20" s="555"/>
      <c r="F20" s="555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44" t="str">
        <f>+VLOOKUP($A21,Master!$D$29:$G$225,4,FALSE)</f>
        <v>Doprinosi za penzijsko i invalidsko osiguranje</v>
      </c>
      <c r="C21" s="545"/>
      <c r="D21" s="545"/>
      <c r="E21" s="545"/>
      <c r="F21" s="545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44" t="str">
        <f>+VLOOKUP($A22,Master!$D$29:$G$225,4,FALSE)</f>
        <v>Doprinosi za zdravstveno osiguranje</v>
      </c>
      <c r="C22" s="545"/>
      <c r="D22" s="545"/>
      <c r="E22" s="545"/>
      <c r="F22" s="545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44" t="str">
        <f>+VLOOKUP($A23,Master!$D$29:$G$225,4,FALSE)</f>
        <v>Doprinosi za osiguranje od nezaposlenosti</v>
      </c>
      <c r="C23" s="545"/>
      <c r="D23" s="545"/>
      <c r="E23" s="545"/>
      <c r="F23" s="545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44" t="str">
        <f>+VLOOKUP($A24,Master!$D$29:$G$225,4,FALSE)</f>
        <v>Ostali doprinosi</v>
      </c>
      <c r="C24" s="545"/>
      <c r="D24" s="545"/>
      <c r="E24" s="545"/>
      <c r="F24" s="545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46" t="str">
        <f>+VLOOKUP($A25,Master!$D$29:$G$225,4,FALSE)</f>
        <v>Takse</v>
      </c>
      <c r="C25" s="547"/>
      <c r="D25" s="547"/>
      <c r="E25" s="547"/>
      <c r="F25" s="547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46" t="str">
        <f>+VLOOKUP($A26,Master!$D$29:$G$225,4,FALSE)</f>
        <v>Naknade</v>
      </c>
      <c r="C26" s="547"/>
      <c r="D26" s="547"/>
      <c r="E26" s="547"/>
      <c r="F26" s="547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46" t="str">
        <f>+VLOOKUP($A27,Master!$D$29:$G$225,4,FALSE)</f>
        <v>Ostali prihodi</v>
      </c>
      <c r="C27" s="547"/>
      <c r="D27" s="547"/>
      <c r="E27" s="547"/>
      <c r="F27" s="547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46" t="str">
        <f>+VLOOKUP($A28,Master!$D$29:$G$225,4,FALSE)</f>
        <v>Primici od otplate kredita i sredstva prenesena iz prethodne godine</v>
      </c>
      <c r="C28" s="547"/>
      <c r="D28" s="547"/>
      <c r="E28" s="547"/>
      <c r="F28" s="547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48" t="str">
        <f>+VLOOKUP($A29,Master!$D$29:$G$225,4,FALSE)</f>
        <v>Donacije i transferi</v>
      </c>
      <c r="C29" s="549"/>
      <c r="D29" s="549"/>
      <c r="E29" s="549"/>
      <c r="F29" s="549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34" t="str">
        <f>+VLOOKUP($A30,Master!$D$29:$G$225,4,FALSE)</f>
        <v>Izdaci budžeta</v>
      </c>
      <c r="C30" s="535"/>
      <c r="D30" s="535"/>
      <c r="E30" s="535"/>
      <c r="F30" s="535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50" t="str">
        <f>+VLOOKUP($A31,Master!$D$29:$G$225,4,FALSE)</f>
        <v>Tekući izdaci</v>
      </c>
      <c r="C31" s="551"/>
      <c r="D31" s="551"/>
      <c r="E31" s="551"/>
      <c r="F31" s="551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52" t="str">
        <f>+VLOOKUP($A32,Master!$D$29:$G$225,4,FALSE)</f>
        <v>Tekuća budžetska potrošnja</v>
      </c>
      <c r="C32" s="553"/>
      <c r="D32" s="553"/>
      <c r="E32" s="553"/>
      <c r="F32" s="553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44" t="str">
        <f>+VLOOKUP($A33,Master!$D$29:$G$225,4,FALSE)</f>
        <v>Bruto zarade i doprinosi na teret poslodavca</v>
      </c>
      <c r="C33" s="545"/>
      <c r="D33" s="545"/>
      <c r="E33" s="545"/>
      <c r="F33" s="545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44" t="str">
        <f>+VLOOKUP($A34,Master!$D$29:$G$225,4,FALSE)</f>
        <v>Ostala lična primanja</v>
      </c>
      <c r="C34" s="545"/>
      <c r="D34" s="545"/>
      <c r="E34" s="545"/>
      <c r="F34" s="545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44" t="str">
        <f>+VLOOKUP($A35,Master!$D$29:$G$225,4,FALSE)</f>
        <v>Rashodi za materijal</v>
      </c>
      <c r="C35" s="545"/>
      <c r="D35" s="545"/>
      <c r="E35" s="545"/>
      <c r="F35" s="545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44" t="str">
        <f>+VLOOKUP($A36,Master!$D$29:$G$225,4,FALSE)</f>
        <v>Rashodi za usluge</v>
      </c>
      <c r="C36" s="545"/>
      <c r="D36" s="545"/>
      <c r="E36" s="545"/>
      <c r="F36" s="545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44" t="str">
        <f>+VLOOKUP($A37,Master!$D$29:$G$225,4,FALSE)</f>
        <v>Rashodi za tekuće održavanje</v>
      </c>
      <c r="C37" s="545"/>
      <c r="D37" s="545"/>
      <c r="E37" s="545"/>
      <c r="F37" s="545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44" t="str">
        <f>+VLOOKUP($A38,Master!$D$29:$G$225,4,FALSE)</f>
        <v>Kamate</v>
      </c>
      <c r="C38" s="545"/>
      <c r="D38" s="545"/>
      <c r="E38" s="545"/>
      <c r="F38" s="545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44" t="str">
        <f>+VLOOKUP($A39,Master!$D$29:$G$225,4,FALSE)</f>
        <v>Renta</v>
      </c>
      <c r="C39" s="545"/>
      <c r="D39" s="545"/>
      <c r="E39" s="545"/>
      <c r="F39" s="545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44" t="str">
        <f>+VLOOKUP($A40,Master!$D$29:$G$225,4,FALSE)</f>
        <v>Subvencije</v>
      </c>
      <c r="C40" s="545"/>
      <c r="D40" s="545"/>
      <c r="E40" s="545"/>
      <c r="F40" s="545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44" t="str">
        <f>+VLOOKUP($A41,Master!$D$29:$G$225,4,FALSE)</f>
        <v>Ostali izdaci</v>
      </c>
      <c r="C41" s="545"/>
      <c r="D41" s="545"/>
      <c r="E41" s="545"/>
      <c r="F41" s="545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44" t="e">
        <f>+VLOOKUP($A42,Master!$D$29:$G$225,4,FALSE)</f>
        <v>#N/A</v>
      </c>
      <c r="C42" s="545"/>
      <c r="D42" s="545"/>
      <c r="E42" s="545"/>
      <c r="F42" s="545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40" t="str">
        <f>+VLOOKUP($A43,Master!$D$29:$G$225,4,FALSE)</f>
        <v>Transferi za socijalnu zaštitu</v>
      </c>
      <c r="C43" s="541"/>
      <c r="D43" s="541"/>
      <c r="E43" s="541"/>
      <c r="F43" s="541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44" t="str">
        <f>+VLOOKUP($A44,Master!$D$29:$G$225,4,FALSE)</f>
        <v>Prava iz oblasti socijalne zaštite</v>
      </c>
      <c r="C44" s="545"/>
      <c r="D44" s="545"/>
      <c r="E44" s="545"/>
      <c r="F44" s="545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44" t="str">
        <f>+VLOOKUP($A45,Master!$D$29:$G$225,4,FALSE)</f>
        <v>Sredstva za tehnološke viškove</v>
      </c>
      <c r="C45" s="545"/>
      <c r="D45" s="545"/>
      <c r="E45" s="545"/>
      <c r="F45" s="545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44" t="str">
        <f>+VLOOKUP($A46,Master!$D$29:$G$225,4,FALSE)</f>
        <v>Prava iz oblasti penzijskog i invalidskog osiguranja</v>
      </c>
      <c r="C46" s="545"/>
      <c r="D46" s="545"/>
      <c r="E46" s="545"/>
      <c r="F46" s="545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44" t="str">
        <f>+VLOOKUP($A47,Master!$D$29:$G$225,4,FALSE)</f>
        <v>Ostala prava iz oblasti zdravstvene zaštite</v>
      </c>
      <c r="C47" s="545"/>
      <c r="D47" s="545"/>
      <c r="E47" s="545"/>
      <c r="F47" s="545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44" t="str">
        <f>+VLOOKUP($A48,Master!$D$29:$G$225,4,FALSE)</f>
        <v>Ostala prava iz zdravstvenog osiguranja</v>
      </c>
      <c r="C48" s="545"/>
      <c r="D48" s="545"/>
      <c r="E48" s="545"/>
      <c r="F48" s="545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42" t="str">
        <f>+VLOOKUP($A49,Master!$D$29:$G$225,4,FALSE)</f>
        <v xml:space="preserve">Transferi institucijama, pojedincima, nevladinom i javnom sektoru </v>
      </c>
      <c r="C49" s="543"/>
      <c r="D49" s="543"/>
      <c r="E49" s="543"/>
      <c r="F49" s="543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42" t="str">
        <f>+VLOOKUP($A50,Master!$D$29:$G$225,4,FALSE)</f>
        <v>Kapitalni izdaci</v>
      </c>
      <c r="C50" s="543"/>
      <c r="D50" s="543"/>
      <c r="E50" s="543"/>
      <c r="F50" s="543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12" t="str">
        <f>+VLOOKUP($A51,Master!$D$29:$G$225,4,FALSE)</f>
        <v>Pozajmice i krediti</v>
      </c>
      <c r="C51" s="513"/>
      <c r="D51" s="513"/>
      <c r="E51" s="513"/>
      <c r="F51" s="513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12" t="str">
        <f>+VLOOKUP($A52,Master!$D$29:$G$225,4,FALSE)</f>
        <v>Rezerve</v>
      </c>
      <c r="C52" s="513"/>
      <c r="D52" s="513"/>
      <c r="E52" s="513"/>
      <c r="F52" s="513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30" t="str">
        <f>+VLOOKUP($A53,Master!$D$29:$G$225,4,FALSE)</f>
        <v>Otplata garancija</v>
      </c>
      <c r="C53" s="531"/>
      <c r="D53" s="531"/>
      <c r="E53" s="531"/>
      <c r="F53" s="531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30" t="str">
        <f>+VLOOKUP($A54,Master!$D$29:$G$225,4,FALSE)</f>
        <v>Otplata obaveza iz prethodnog perioda</v>
      </c>
      <c r="C54" s="531"/>
      <c r="D54" s="531"/>
      <c r="E54" s="531"/>
      <c r="F54" s="531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30" t="str">
        <f>+VLOOKUP($A55,Master!$D$29:$G$227,4,FALSE)</f>
        <v>Neto povećanje obaveza</v>
      </c>
      <c r="C55" s="531"/>
      <c r="D55" s="531"/>
      <c r="E55" s="531"/>
      <c r="F55" s="531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36" t="str">
        <f>+VLOOKUP($A56,Master!$D$29:$G$225,4,FALSE)</f>
        <v>Suficit / deficit</v>
      </c>
      <c r="C56" s="537"/>
      <c r="D56" s="537"/>
      <c r="E56" s="537"/>
      <c r="F56" s="537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38" t="str">
        <f>+VLOOKUP($A57,Master!$D$29:$G$225,4,FALSE)</f>
        <v>Primarni suficit/deficit</v>
      </c>
      <c r="C57" s="539"/>
      <c r="D57" s="539"/>
      <c r="E57" s="539"/>
      <c r="F57" s="539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40" t="str">
        <f>+VLOOKUP($A58,Master!$D$29:$G$225,4,FALSE)</f>
        <v>Otplata dugova</v>
      </c>
      <c r="C58" s="541"/>
      <c r="D58" s="541"/>
      <c r="E58" s="541"/>
      <c r="F58" s="541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28" t="str">
        <f>+VLOOKUP($A59,Master!$D$29:$G$225,4,FALSE)</f>
        <v>Otplata hartija od vrijednosti i kredita rezidentima</v>
      </c>
      <c r="C59" s="529"/>
      <c r="D59" s="529"/>
      <c r="E59" s="529"/>
      <c r="F59" s="529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12" t="str">
        <f>+VLOOKUP($A60,Master!$D$29:$G$225,4,FALSE)</f>
        <v>Otplata hartija od vrijednosti i kredita nerezidentima</v>
      </c>
      <c r="C60" s="513"/>
      <c r="D60" s="513"/>
      <c r="E60" s="513"/>
      <c r="F60" s="513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32" t="str">
        <f>+VLOOKUP($A62,Master!$D$29:$G$225,4,FALSE)</f>
        <v>Nedostajuća sredstva</v>
      </c>
      <c r="C62" s="533"/>
      <c r="D62" s="533"/>
      <c r="E62" s="533"/>
      <c r="F62" s="533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34" t="str">
        <f>+VLOOKUP($A63,Master!$D$29:$G$225,4,FALSE)</f>
        <v>Finansiranje</v>
      </c>
      <c r="C63" s="535"/>
      <c r="D63" s="535"/>
      <c r="E63" s="535"/>
      <c r="F63" s="535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28" t="str">
        <f>+VLOOKUP($A64,Master!$D$29:$G$225,4,FALSE)</f>
        <v>Pozajmice i krediti od domaćih izvora</v>
      </c>
      <c r="C64" s="529"/>
      <c r="D64" s="529"/>
      <c r="E64" s="529"/>
      <c r="F64" s="529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12" t="str">
        <f>+VLOOKUP($A65,Master!$D$29:$G$225,4,FALSE)</f>
        <v>Pozajmice i krediti od inostranih izvora</v>
      </c>
      <c r="C65" s="513"/>
      <c r="D65" s="513"/>
      <c r="E65" s="513"/>
      <c r="F65" s="513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12" t="str">
        <f>+VLOOKUP($A66,Master!$D$29:$G$225,4,FALSE)</f>
        <v>Primici od prodaje imovine</v>
      </c>
      <c r="C66" s="513"/>
      <c r="D66" s="513"/>
      <c r="E66" s="513"/>
      <c r="F66" s="513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customSheetViews>
    <customSheetView guid="{59E4E612-301A-4B15-B14A-FF0442744080}" scale="106" fitToPage="1" state="hidden" topLeftCell="E1">
      <pane ySplit="5" topLeftCell="A6" activePane="bottomLeft" state="frozen"/>
      <selection pane="bottomLeft" activeCell="H4" sqref="H4"/>
      <pageMargins left="0.7" right="0.7" top="0.75" bottom="0.75" header="0.3" footer="0.3"/>
      <pageSetup paperSize="9" scale="39" orientation="portrait" r:id="rId1"/>
    </customSheetView>
  </customSheetViews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1</v>
      </c>
      <c r="C2" s="56" t="s">
        <v>0</v>
      </c>
    </row>
    <row r="3" spans="2:7" ht="15.75" thickBot="1">
      <c r="B3" s="260">
        <v>9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260">
        <v>2022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Crna Gora</v>
      </c>
    </row>
    <row r="7" spans="2:7">
      <c r="E7" s="11" t="s">
        <v>806</v>
      </c>
      <c r="F7" s="12" t="s">
        <v>807</v>
      </c>
      <c r="G7" s="52" t="str">
        <f t="shared" si="0"/>
        <v>Ministarstvo finansija i socijalnog staranja</v>
      </c>
    </row>
    <row r="8" spans="2:7">
      <c r="D8" s="43"/>
      <c r="E8" s="33" t="s">
        <v>771</v>
      </c>
      <c r="F8" s="34" t="s">
        <v>805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50"/>
      <c r="E11" s="11" t="s">
        <v>826</v>
      </c>
      <c r="F11" s="12" t="s">
        <v>827</v>
      </c>
      <c r="G11" s="52" t="str">
        <f>+IF(ISBLANK(IF($B$2=1,E11,F11)),"",IF($B$2=1,E11,F11))</f>
        <v>Mjesečni podaci 2021</v>
      </c>
    </row>
    <row r="12" spans="2:7">
      <c r="D12" s="350"/>
      <c r="E12" s="11" t="s">
        <v>789</v>
      </c>
      <c r="F12" s="12" t="s">
        <v>790</v>
      </c>
      <c r="G12" s="52" t="str">
        <f t="shared" si="0"/>
        <v>Mjesečni podaci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Mjesečni podaci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Mjesečni podaci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Mjesečni podaci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Mjesečni podaci 2016</v>
      </c>
    </row>
    <row r="17" spans="2:7">
      <c r="E17" s="11" t="s">
        <v>689</v>
      </c>
      <c r="F17" s="12" t="s">
        <v>690</v>
      </c>
      <c r="G17" s="52" t="str">
        <f t="shared" si="0"/>
        <v>Mjesečni podaci 2015</v>
      </c>
    </row>
    <row r="18" spans="2:7">
      <c r="E18" s="11" t="s">
        <v>10</v>
      </c>
      <c r="F18" s="12" t="s">
        <v>11</v>
      </c>
      <c r="G18" s="52" t="str">
        <f t="shared" si="0"/>
        <v>Mjesečni podaci 2014</v>
      </c>
    </row>
    <row r="19" spans="2:7">
      <c r="E19" s="11" t="s">
        <v>12</v>
      </c>
      <c r="F19" s="12" t="s">
        <v>13</v>
      </c>
      <c r="G19" s="52" t="str">
        <f t="shared" si="0"/>
        <v>Mjesečni podaci 2013</v>
      </c>
    </row>
    <row r="20" spans="2:7">
      <c r="E20" s="11" t="s">
        <v>738</v>
      </c>
      <c r="F20" s="12" t="s">
        <v>739</v>
      </c>
      <c r="G20" s="52" t="str">
        <f t="shared" si="0"/>
        <v>Mjesečni podaci 2012</v>
      </c>
    </row>
    <row r="21" spans="2:7">
      <c r="E21" s="11" t="s">
        <v>740</v>
      </c>
      <c r="F21" s="12" t="s">
        <v>741</v>
      </c>
      <c r="G21" s="52" t="str">
        <f t="shared" si="0"/>
        <v>Mjesečni podaci 2011</v>
      </c>
    </row>
    <row r="22" spans="2:7">
      <c r="E22" s="11" t="s">
        <v>14</v>
      </c>
      <c r="F22" s="12" t="s">
        <v>404</v>
      </c>
      <c r="G22" s="52" t="str">
        <f t="shared" si="0"/>
        <v>Istorijski podaci, od 2006</v>
      </c>
    </row>
    <row r="23" spans="2:7">
      <c r="E23" s="11" t="s">
        <v>15</v>
      </c>
      <c r="F23" s="12" t="s">
        <v>16</v>
      </c>
      <c r="G23" s="52" t="str">
        <f t="shared" si="0"/>
        <v>Javni dug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Ostvarenje</v>
      </c>
    </row>
    <row r="26" spans="2:7">
      <c r="D26" s="43"/>
      <c r="E26" s="33" t="s">
        <v>414</v>
      </c>
      <c r="F26" s="34" t="s">
        <v>415</v>
      </c>
      <c r="G26" s="53" t="str">
        <f t="shared" si="0"/>
        <v>Početak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Prihodi budžeta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Tekući prihodi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Porezi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Porez na dohodak fizičkih lica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Porez na dobit pravnih lica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>Porez na promet nepokretnosti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Porez na dodatu vrijednost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Akcize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Porez na međunarodnu trgovinu i transakcije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Ostali državni porezi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Doprinosi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Doprinosi za penzijsko i invalidsko osiguranje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Doprinosi za zdravstveno osiguranje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Doprinosi za osiguranje od nezaposlenosti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Ostali doprinosi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Takse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Administrativne takse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Sudske takse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Boravišne takse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Registracione takse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Lokalne komunalne takse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Ostale takse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Naknade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Naknade za korišćenje dobara od opšteg interesa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Naknade za korišćenje prirodnih dobara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Ekološke naknade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Naknade za priređivanje igara na sreću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Naknade za korišćenje građevinskog zemljišta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Naknade za uređivanje i izgradnju građevinskog zemljišta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 xml:space="preserve">Naknade za izgradnju i održavanje lokalnih puteva i drugih javnih objekata od opštinskog značaja 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Naknada za puteve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Ostale naknade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Ostali prihodi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Prihodi od kapitala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Novčane kazne i oduzete imovinske koristi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Prihodi koje organi ostvaruju vršenjem svoje djelatnosti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Samodoprinosi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Ostali prihodi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Primici od prodaje imovine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Primici od prodaje nefinansijske imovine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Primici od prodaje finansijske imovine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Primici od otplate kredita i sredstva prenesena iz prethodne godine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Primici od otplate kredita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Sredstva prenesena iz prethodne godine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Donacije i transferi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Donacije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Transferi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 xml:space="preserve">Pozajmice i krediti 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Pozajmice i krediti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Pozajmice i krediti od domaćih izvora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Pozajmice i krediti od inostranih izvora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Izdaci budžeta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Tekuća budžetska potrošnja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Tekući izdaci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Bruto zarade i doprinosi na teret poslodavca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Neto zarade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Porez na zarade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Doprinosi na teret zaposlenog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Doprinosi na teret poslodavca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Opštinski prirez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Ostala lična primanja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Naknada za zimnicu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Naknada za stanovanje i odvojen život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Naknada za prevoz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Jubilarne nagrade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Otpremnine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Naknada skupstinskim poslanicima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Ostale naknade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>Ostala prava iz oblasti socijalne zaštite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Rashodi za materijal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Administrativni materijal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Materijal za zdravstvenu zaštitu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Materijal za posebne namjene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Rashodi za energiju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Rashodi za gorivo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Ostali rashodi za materijal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Rashodi za usluge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Službena putovanja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Reprezentacija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Komunikacione usluge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Bankarske usluge i negativne kursne razlike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Usluge prevoza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Advokatske, notarske i pravne usluge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Konsultantske usluge, projekti i studije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Usluge stručnog usavršavanja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Ostale usluge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Rashodi za tekuće održavanje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Tekuće održavanje javne infrastrukture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Tekuće održavanje građevinskih objekata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Tekuće održavanje opreme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Kamate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Kamate rezidentima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Kamate nerezidentima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Renta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Zakup objekata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Zakup opreme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Zakup zemljišta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Subvencije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Subvencije za proizvodnju i pružanje usluga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Izvozne subvencije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Uvozne subvencije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Ostali izdaci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>Izdaci po osnovu isplate ugovora o djelu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Izdaci po osnovu troškova sudskih postupaka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Izrada i održavanje softvera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Osiguranje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Kontribucije za članstvo u domaćim i međunarodnim organizacijama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Komunalne naknade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Kazne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Takse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Ostalo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Transferi za socijalnu zaštitu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Prava iz oblasti socijalne zaštite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Dječiji dodaci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Boračko invalidska zaštita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Materijalno obezbjeđenje porodice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Porodiljska odsustva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Tuđa njega i pomoć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Ishrana djece u predškolskim ustanovama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Izdržavanje štićenika u domovima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Ostala prava iz oblasti socijalne zaštite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Sredstva za tehnološke viškove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Garantovane zarade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Otpremnine za tehnološke viškove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Dokup staža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Naknade nezaposlenim licima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Ostalo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Prava iz oblasti penzijskog i invalidskog osiguranja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Starosna penzija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Invalidska penzija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Porodična penzija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Naknade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Dodaci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Ostala prava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Doprinos za zdravstvenu zaštitu penzionera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Ostala prava iz oblasti zdravstvene zaštite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Liječenje van Crne Gore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Ostala prava iz zdravstvenog osiguranja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Ortopedske sprave i pomagala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>Naknade za bolovanje preko 60 dana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Naknade za putne troškove osiguranika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Transferi institucijama, pojedincima, nevladinom i javnom sektoru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Transferi institucijama, pojedincima, nevladinom i javnom sektoru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 xml:space="preserve">Transferi za zdravstvenu zaštitu 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Transferi obrazovanju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Transferi institucijama kulture i sporta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Transferi nevladinim organizacijama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Transferi političkim partijama, strankama i udruženjima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Transferi za jednokratne socijalne pomoći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Transferi za lična primanja pripravnika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Ostali transferi pojedincima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Ostali transferi institucijama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 xml:space="preserve">Ostali transferi 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Transferi Fondu penzijskog i invalidskog osiguranja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Transferi Fondu zdravstva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Transferi zavodu za zapošljavanje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Transferi opštinama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Transferi budžetu države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Transferi javnim preduzećima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Kapitalni izdaci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Izdaci za infrastrukturu opšeg značaja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Izdaci za lokalnu infrastrukturu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Izdaci za građevinske objekte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Izdaci za uređenje zemljišta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Izdaci za opremu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Izdaci za investiciono održavanje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Izdaci za zalihe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Izdaci za kupovinu hartija od vrijednosti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Ostali kapitalni izdaci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Krediti i pozajmice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Pozajmice i krediti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Pozajmice i krediti nefinansijskim institucijama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Pozajmice i krediti finansijskim institucijama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Pozajmice i krediti pojedincima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Pozajmice i krediti vanbudžetskim fondovima i opštinama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Ostale pozajmice i krediti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Otplata dugova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Otplata duga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Otplata hartija od vrijednosti i kredita rezidentima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Otplata hartija od vrijednosti i kredita nerezidentima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Otplata garancija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Otplata garancija u zemlji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Otplata garancija u inostranstvu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Otplata obaveza iz prethodnog perioda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Rezerve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Tekuća budžetska rezerva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Stalna budžetska rezerva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Ostale rezerve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Suficit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Primarni suficit/deficit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/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Nedostajuća sredstva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Finansiranje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Povećanje / smanjenje depozita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Neto povećanje obaveza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Mart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Maj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Avgust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Septembar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Oktobar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Novembar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Decembar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Septembar</v>
      </c>
    </row>
    <row r="245" spans="4:7">
      <c r="D245" s="49"/>
      <c r="E245" s="9"/>
      <c r="F245" s="10"/>
      <c r="G245" s="52" t="str">
        <f>+CONCATENATE("Jan - ",LEFT(G244,3))</f>
        <v>Jan - Sep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BDP</v>
      </c>
    </row>
    <row r="249" spans="4:7">
      <c r="D249" s="46"/>
      <c r="E249" s="9"/>
      <c r="F249" s="10"/>
      <c r="G249" s="52" t="str">
        <f>+CONCATENATE("% ",G248)</f>
        <v>% BDP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Ostvarenje budžeta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 ostvarenja budžeta</v>
      </c>
    </row>
    <row r="253" spans="4:7">
      <c r="D253" s="46"/>
      <c r="E253" s="9" t="str">
        <f>+CONCATENATE("Analitika za period ",G245)</f>
        <v>Analitika za period Jan - Sep</v>
      </c>
      <c r="F253" s="10" t="str">
        <f>+CONCATENATE("Analytics for period ",G245)</f>
        <v>Analytics for period Jan - Sep</v>
      </c>
      <c r="G253" s="52" t="str">
        <f>+IF(ISBLANK(IF($B$2=1,E253,F253)),"",IF($B$2=1,E253,F253))</f>
        <v>Analitika za period Jan - Sep</v>
      </c>
    </row>
    <row r="254" spans="4:7">
      <c r="D254" s="46"/>
      <c r="E254" s="9" t="str">
        <f>+CONCATENATE("Analitika za period ",G244)</f>
        <v>Analitika za period Septembar</v>
      </c>
      <c r="F254" s="10" t="str">
        <f>+CONCATENATE("Analytics for period ",G244)</f>
        <v>Analytics for period Septembar</v>
      </c>
      <c r="G254" s="52" t="str">
        <f>+IF(ISBLANK(IF($B$2=1,E254,F254)),"",IF($B$2=1,E254,F254))</f>
        <v>Analitika za period Septembar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Ostvarenje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Odstupanje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Realizacija budžeta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Prihodi za mjesec Septembar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Rashodi za mjesec Septembar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Suficit/Deficit za mjesec Septembar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Prihodi za period Januar - Septembar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Rashodi za period Januar - Septembar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Suficit/Deficit za period Januar - Septembar</v>
      </c>
    </row>
    <row r="277" spans="5:7">
      <c r="E277" s="9" t="s">
        <v>409</v>
      </c>
      <c r="F277" s="10" t="s">
        <v>410</v>
      </c>
      <c r="G277" s="52" t="str">
        <f t="shared" si="3"/>
        <v>Stanje javnog duga (% BDP)</v>
      </c>
    </row>
    <row r="279" spans="5:7">
      <c r="E279" s="9" t="s">
        <v>407</v>
      </c>
      <c r="F279" s="10" t="s">
        <v>408</v>
      </c>
      <c r="G279" s="52" t="str">
        <f t="shared" si="3"/>
        <v>Pregled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Kontakt: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customSheetViews>
    <customSheetView guid="{59E4E612-301A-4B15-B14A-FF0442744080}" state="hidden">
      <pane ySplit="4" topLeftCell="A5" activePane="bottomLeft" state="frozen"/>
      <selection pane="bottomLeft" activeCell="B4" sqref="B4"/>
      <pageMargins left="0.7" right="0.7" top="0.75" bottom="0.75" header="0.3" footer="0.3"/>
      <pageSetup paperSize="9" orientation="portrait" verticalDpi="0" r:id="rId1"/>
    </customSheetView>
  </customSheetView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L32"/>
  <sheetViews>
    <sheetView tabSelected="1" zoomScaleNormal="100" workbookViewId="0">
      <selection activeCell="H16" sqref="H16"/>
    </sheetView>
  </sheetViews>
  <sheetFormatPr defaultColWidth="9.140625" defaultRowHeight="15"/>
  <cols>
    <col min="1" max="1" width="9.140625" style="130"/>
    <col min="2" max="2" width="3.140625" style="130" customWidth="1"/>
    <col min="3" max="3" width="9.140625" style="130"/>
    <col min="4" max="4" width="10" style="130" bestFit="1" customWidth="1"/>
    <col min="5" max="7" width="9.140625" style="130"/>
    <col min="8" max="8" width="11" style="130" bestFit="1" customWidth="1"/>
    <col min="9" max="11" width="9.140625" style="130"/>
    <col min="12" max="12" width="3.28515625" style="130" customWidth="1"/>
    <col min="13" max="16384" width="9.140625" style="130"/>
  </cols>
  <sheetData>
    <row r="1" spans="3:11" s="126" customFormat="1"/>
    <row r="2" spans="3:11" s="126" customFormat="1">
      <c r="C2" s="127"/>
      <c r="E2" s="128" t="str">
        <f>+[1]Master!G6</f>
        <v>Crna Gora</v>
      </c>
      <c r="I2" s="129"/>
    </row>
    <row r="3" spans="3:11" s="126" customFormat="1">
      <c r="E3" s="129" t="s">
        <v>808</v>
      </c>
    </row>
    <row r="4" spans="3:11" s="126" customFormat="1">
      <c r="E4" s="129" t="str">
        <f>+[1]Master!G8</f>
        <v>Direktorat za državni budžet</v>
      </c>
    </row>
    <row r="5" spans="3:11" s="126" customFormat="1"/>
    <row r="6" spans="3:11">
      <c r="C6" s="456" t="s">
        <v>846</v>
      </c>
    </row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">
        <v>840</v>
      </c>
      <c r="E11" s="135"/>
      <c r="F11" s="135"/>
      <c r="G11" s="137" t="s">
        <v>843</v>
      </c>
      <c r="H11" s="135"/>
      <c r="I11" s="135"/>
      <c r="J11" s="135"/>
      <c r="K11" s="136"/>
    </row>
    <row r="12" spans="3:11">
      <c r="C12" s="134"/>
      <c r="D12" s="138">
        <f>'2022'!O10</f>
        <v>175603806.03</v>
      </c>
      <c r="E12" s="455">
        <f>D12/'2022'!$T$7</f>
        <v>3.3092832434418816E-2</v>
      </c>
      <c r="F12" s="135"/>
      <c r="G12" s="138">
        <f>'2022'!S10</f>
        <v>1459277187.4100001</v>
      </c>
      <c r="H12" s="455">
        <f>G12/'2022'!$T$7</f>
        <v>0.27500323899630635</v>
      </c>
      <c r="I12" s="135"/>
      <c r="J12" s="135"/>
      <c r="K12" s="136"/>
    </row>
    <row r="13" spans="3:11">
      <c r="C13" s="134"/>
      <c r="D13" s="139" t="s">
        <v>417</v>
      </c>
      <c r="E13" s="139" t="s">
        <v>810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">
        <v>841</v>
      </c>
      <c r="E15" s="135"/>
      <c r="F15" s="135"/>
      <c r="G15" s="137" t="s">
        <v>844</v>
      </c>
      <c r="H15" s="135"/>
      <c r="I15" s="135"/>
      <c r="J15" s="135"/>
      <c r="K15" s="136"/>
    </row>
    <row r="16" spans="3:11">
      <c r="C16" s="134"/>
      <c r="D16" s="138">
        <f>'2022'!O29</f>
        <v>202137009.99000004</v>
      </c>
      <c r="E16" s="455">
        <f>D16/'2022'!$T$7</f>
        <v>3.8093059322704667E-2</v>
      </c>
      <c r="F16" s="135"/>
      <c r="G16" s="138">
        <f>'2022'!S29</f>
        <v>1495249389.3</v>
      </c>
      <c r="H16" s="455">
        <f>G16/'2022'!$T$7</f>
        <v>0.28178226091135233</v>
      </c>
      <c r="I16" s="135"/>
      <c r="J16" s="135"/>
      <c r="K16" s="136"/>
    </row>
    <row r="17" spans="3:12">
      <c r="C17" s="134"/>
      <c r="D17" s="139" t="s">
        <v>417</v>
      </c>
      <c r="E17" s="139" t="s">
        <v>810</v>
      </c>
      <c r="F17" s="135"/>
      <c r="G17" s="139" t="s">
        <v>417</v>
      </c>
      <c r="H17" s="139" t="s">
        <v>810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">
        <v>842</v>
      </c>
      <c r="E19" s="135"/>
      <c r="F19" s="135"/>
      <c r="G19" s="137" t="s">
        <v>845</v>
      </c>
      <c r="H19" s="135"/>
      <c r="I19" s="135"/>
      <c r="J19" s="135"/>
      <c r="K19" s="136"/>
    </row>
    <row r="20" spans="3:12">
      <c r="C20" s="134"/>
      <c r="D20" s="138">
        <f>'2022'!O53</f>
        <v>-26533203.960000038</v>
      </c>
      <c r="E20" s="509">
        <f>D20/'2022'!$T$7</f>
        <v>-5.0002268882858511E-3</v>
      </c>
      <c r="F20" s="135"/>
      <c r="G20" s="138">
        <f>'2022'!S53</f>
        <v>-35972201.889999986</v>
      </c>
      <c r="H20" s="509">
        <f>G20/'2022'!$T$7</f>
        <v>-6.7790219150459796E-3</v>
      </c>
      <c r="I20" s="135"/>
      <c r="J20" s="135"/>
      <c r="K20" s="136"/>
    </row>
    <row r="21" spans="3:12">
      <c r="C21" s="134"/>
      <c r="D21" s="139" t="s">
        <v>417</v>
      </c>
      <c r="E21" s="139" t="s">
        <v>810</v>
      </c>
      <c r="F21" s="135"/>
      <c r="G21" s="139" t="s">
        <v>417</v>
      </c>
      <c r="H21" s="139" t="s">
        <v>810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6"/>
    </row>
  </sheetData>
  <sheetProtection algorithmName="SHA-512" hashValue="Slk36lngIYZKGhE4wcQYXgO+AheDnss3Ccxl/ewLFJ145PRoLpk5Ya78GubYGscgSHKNFccATM6aDm93UT1cHw==" saltValue="06oLrxJeXyRDH4wPqM/Z8A==" spinCount="100000" sheet="1" objects="1" scenarios="1"/>
  <customSheetViews>
    <customSheetView guid="{59E4E612-301A-4B15-B14A-FF0442744080}" fitToPage="1">
      <selection activeCell="J6" sqref="J6"/>
      <pageMargins left="0.19685039370078741" right="0.19685039370078741" top="0.19685039370078741" bottom="0.19685039370078741" header="0.31496062992125984" footer="0.31496062992125984"/>
      <pageSetup paperSize="9" scale="45" fitToHeight="0" orientation="portrait" horizontalDpi="4294967294" verticalDpi="4294967294" r:id="rId1"/>
    </customSheetView>
  </customSheetViews>
  <pageMargins left="0.19685039370078741" right="0.19685039370078741" top="0.19685039370078741" bottom="0.19685039370078741" header="0.31496062992125984" footer="0.31496062992125984"/>
  <pageSetup paperSize="9" scale="45" fitToHeight="0"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9089" r:id="rId5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142875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0" r:id="rId6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3</xdr:col>
                    <xdr:colOff>266700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W70"/>
  <sheetViews>
    <sheetView zoomScale="85" zoomScaleNormal="85" workbookViewId="0">
      <pane ySplit="5" topLeftCell="A6" activePane="bottomLeft" state="frozen"/>
      <selection pane="bottomLeft" activeCell="R19" sqref="R19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59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7109375" style="5" bestFit="1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5"/>
    </row>
    <row r="2" spans="1:20" s="1" customFormat="1">
      <c r="C2" s="2"/>
      <c r="E2" s="3" t="str">
        <f>+Master!G6</f>
        <v>Crna Gora</v>
      </c>
      <c r="G2" s="355"/>
      <c r="I2" s="4"/>
      <c r="P2" s="363"/>
    </row>
    <row r="3" spans="1:20" s="1" customFormat="1">
      <c r="B3" s="163"/>
      <c r="E3" s="4" t="s">
        <v>808</v>
      </c>
      <c r="G3" s="355"/>
    </row>
    <row r="4" spans="1:20" s="1" customFormat="1">
      <c r="B4" s="163"/>
      <c r="E4" s="4" t="str">
        <f>+Master!G8</f>
        <v>Direktorat za državni budžet</v>
      </c>
      <c r="G4" s="355"/>
      <c r="H4" s="363"/>
      <c r="I4" s="363"/>
      <c r="J4" s="363"/>
      <c r="N4" s="484"/>
      <c r="P4" s="484"/>
      <c r="Q4" s="484"/>
    </row>
    <row r="5" spans="1:20" s="1" customFormat="1">
      <c r="B5" s="484"/>
      <c r="G5" s="163"/>
      <c r="H5" s="163"/>
      <c r="N5" s="484"/>
      <c r="P5" s="484"/>
    </row>
    <row r="6" spans="1:20" ht="15.75" thickBot="1">
      <c r="A6" s="130"/>
      <c r="B6" s="130"/>
      <c r="C6" s="130"/>
      <c r="D6" s="130"/>
      <c r="E6" s="130"/>
      <c r="F6" s="130"/>
      <c r="G6" s="356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2022-09</v>
      </c>
      <c r="O6" s="143" t="str">
        <f>+CONCATENATE(N6,"p")</f>
        <v>2022-09p</v>
      </c>
      <c r="P6" s="130"/>
      <c r="Q6" s="130"/>
      <c r="R6" s="143" t="str">
        <f>+IF(Master!B3-10&gt;=0,CONCATENATE(Master!B4-1,"-",Master!B3),CONCATENATE(Master!B4-1,"-0",Master!B3))</f>
        <v>2021-09</v>
      </c>
      <c r="S6" s="130"/>
      <c r="T6" s="130"/>
    </row>
    <row r="7" spans="1:20" ht="14.25" customHeight="1">
      <c r="A7" s="144"/>
      <c r="B7" s="514" t="str">
        <f>+Master!G253</f>
        <v>Analitika za period Jan - Sep</v>
      </c>
      <c r="C7" s="515"/>
      <c r="D7" s="515"/>
      <c r="E7" s="515"/>
      <c r="F7" s="515"/>
      <c r="G7" s="523" t="str">
        <f>+Master!G245</f>
        <v>Jan - Sep</v>
      </c>
      <c r="H7" s="524"/>
      <c r="I7" s="524"/>
      <c r="J7" s="524"/>
      <c r="K7" s="524"/>
      <c r="L7" s="524"/>
      <c r="M7" s="525"/>
      <c r="N7" s="526" t="str">
        <f>+Master!G244</f>
        <v>Septembar</v>
      </c>
      <c r="O7" s="524"/>
      <c r="P7" s="524"/>
      <c r="Q7" s="524"/>
      <c r="R7" s="524"/>
      <c r="S7" s="524"/>
      <c r="T7" s="527"/>
    </row>
    <row r="8" spans="1:20">
      <c r="A8" s="144"/>
      <c r="B8" s="516"/>
      <c r="C8" s="517"/>
      <c r="D8" s="517"/>
      <c r="E8" s="517"/>
      <c r="F8" s="518"/>
      <c r="G8" s="357" t="str">
        <f>+Master!G25</f>
        <v>Ostvarenje</v>
      </c>
      <c r="H8" s="145" t="str">
        <f>+Master!G24</f>
        <v>Plan</v>
      </c>
      <c r="I8" s="510" t="str">
        <f>+Master!G260</f>
        <v>Odstupanje</v>
      </c>
      <c r="J8" s="510"/>
      <c r="K8" s="145" t="str">
        <f>+CONCATENATE(Master!G245," ",Master!B4-1)</f>
        <v>Jan - Sep 2021</v>
      </c>
      <c r="L8" s="510" t="str">
        <f>+I8</f>
        <v>Odstupanje</v>
      </c>
      <c r="M8" s="522"/>
      <c r="N8" s="146" t="str">
        <f>+G8</f>
        <v>Ostvarenje</v>
      </c>
      <c r="O8" s="145" t="str">
        <f>+H8</f>
        <v>Plan</v>
      </c>
      <c r="P8" s="510" t="str">
        <f>+I8</f>
        <v>Odstupanje</v>
      </c>
      <c r="Q8" s="510"/>
      <c r="R8" s="145" t="str">
        <f>+CONCATENATE(Master!G244," ",Master!B4-1)</f>
        <v>Septembar 2021</v>
      </c>
      <c r="S8" s="510" t="str">
        <f>+P8</f>
        <v>Odstupanje</v>
      </c>
      <c r="T8" s="511"/>
    </row>
    <row r="9" spans="1:20" ht="15.75" thickBot="1">
      <c r="A9" s="144"/>
      <c r="B9" s="519"/>
      <c r="C9" s="520"/>
      <c r="D9" s="520"/>
      <c r="E9" s="520"/>
      <c r="F9" s="521"/>
      <c r="G9" s="358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34" t="str">
        <f>+VLOOKUP($A10,Master!$D$29:$G$225,4,FALSE)</f>
        <v>Prihodi budžeta</v>
      </c>
      <c r="C10" s="535"/>
      <c r="D10" s="535"/>
      <c r="E10" s="535"/>
      <c r="F10" s="535"/>
      <c r="G10" s="151">
        <f>'2022'!S10</f>
        <v>1459277187.4100001</v>
      </c>
      <c r="H10" s="151">
        <f>SUM('2022'!G84:O84)</f>
        <v>1389689537.2838922</v>
      </c>
      <c r="I10" s="152">
        <f>+G10-H10</f>
        <v>69587650.126107931</v>
      </c>
      <c r="J10" s="154">
        <f>IF(+IF(ISERROR(G10/H10),"…",G10/H10-1)&gt;200%,"...",IF(ISERROR(G10/H10),"…",G10/H10-1))</f>
        <v>5.0074241950554654E-2</v>
      </c>
      <c r="K10" s="151">
        <f>SUM('2021'!G10:O10)</f>
        <v>1344357920.7600002</v>
      </c>
      <c r="L10" s="152">
        <f>+G10-K10</f>
        <v>114919266.64999986</v>
      </c>
      <c r="M10" s="154">
        <f>IF(+IF(ISERROR(G10/K10),"…",G10/K10-1)&gt;200%,"...",IF(ISERROR(G10/K10),"…",G10/K10-1))</f>
        <v>8.5482641843649176E-2</v>
      </c>
      <c r="N10" s="151">
        <f>'2022'!O10</f>
        <v>175603806.03</v>
      </c>
      <c r="O10" s="151">
        <f>'2022'!O84</f>
        <v>173319933.4629713</v>
      </c>
      <c r="P10" s="152">
        <f>+N10-O10</f>
        <v>2283872.5670287013</v>
      </c>
      <c r="Q10" s="154">
        <f>IF(+IF(ISERROR(N10/O10),"…",N10/O10-1)&gt;200%,"...",IF(ISERROR(N10/O10),"…",N10/O10-1))</f>
        <v>1.3177206576280076E-2</v>
      </c>
      <c r="R10" s="151">
        <f>'2021'!O10</f>
        <v>172070591.90000001</v>
      </c>
      <c r="S10" s="152">
        <f>+N10-R10</f>
        <v>3533214.1299999952</v>
      </c>
      <c r="T10" s="154">
        <f>IF(+IF(ISERROR(N10/R10),"…",N10/R10-1)&gt;200%,"...",IF(ISERROR(N10/R10),"…",N10/R10-1))</f>
        <v>2.0533515291522697E-2</v>
      </c>
    </row>
    <row r="11" spans="1:20">
      <c r="A11" s="150">
        <v>711</v>
      </c>
      <c r="B11" s="558" t="str">
        <f>+VLOOKUP($A11,Master!$D$29:$G$225,4,FALSE)</f>
        <v>Porezi</v>
      </c>
      <c r="C11" s="559"/>
      <c r="D11" s="559"/>
      <c r="E11" s="559"/>
      <c r="F11" s="559"/>
      <c r="G11" s="277">
        <f>'2022'!S11</f>
        <v>1040390593.9500002</v>
      </c>
      <c r="H11" s="277">
        <f>SUM('2022'!G85:O85)</f>
        <v>945447937.98229277</v>
      </c>
      <c r="I11" s="158">
        <f t="shared" ref="I11:I57" si="0">+G11-H11</f>
        <v>94942655.967707396</v>
      </c>
      <c r="J11" s="160">
        <f t="shared" ref="J11:J64" si="1">IF(+IF(ISERROR(G11/H11-1),"…",G11/H11-1)&gt;200%,"...",IF(ISERROR(G11/H11-1),"…",G11/H11-1))</f>
        <v>0.10042081869714292</v>
      </c>
      <c r="K11" s="277">
        <f>SUM('2021'!G11:O11)</f>
        <v>861310070.56000006</v>
      </c>
      <c r="L11" s="158">
        <f>+G11-K11</f>
        <v>179080523.3900001</v>
      </c>
      <c r="M11" s="160">
        <f t="shared" ref="M11:M64" si="2">IF(+IF(ISERROR(G11/K11),"…",G11/K11-1)&gt;200%,"...",IF(ISERROR(G11/K11),"…",G11/K11-1))</f>
        <v>0.20791643974807683</v>
      </c>
      <c r="N11" s="277">
        <f>'2022'!O11</f>
        <v>121261181.33999999</v>
      </c>
      <c r="O11" s="277">
        <f>'2022'!O85</f>
        <v>121706415.21215931</v>
      </c>
      <c r="P11" s="158">
        <f>+N11-O11</f>
        <v>-445233.87215931714</v>
      </c>
      <c r="Q11" s="160">
        <f t="shared" ref="Q11:Q64" si="3">IF(+IF(ISERROR(N11/O11),"…",N11/O11-1)&gt;200%,"...",IF(ISERROR(N11/O11),"…",N11/O11-1))</f>
        <v>-3.6582613281574972E-3</v>
      </c>
      <c r="R11" s="277">
        <f>'2021'!O11</f>
        <v>113016911.38000001</v>
      </c>
      <c r="S11" s="158">
        <f t="shared" ref="S11:S57" si="4">+N11-R11</f>
        <v>8244269.9599999785</v>
      </c>
      <c r="T11" s="160">
        <f t="shared" ref="T11:T64" si="5">IF(+IF(ISERROR(N11/R11),"…",N11/R11-1)&gt;200%,"...",IF(ISERROR(N11/R11),"…",N11/R11-1))</f>
        <v>7.2947224086491236E-2</v>
      </c>
    </row>
    <row r="12" spans="1:20">
      <c r="A12" s="150">
        <v>7111</v>
      </c>
      <c r="B12" s="544" t="str">
        <f>+VLOOKUP($A12,Master!$D$29:$G$225,4,FALSE)</f>
        <v>Porez na dohodak fizičkih lica</v>
      </c>
      <c r="C12" s="545"/>
      <c r="D12" s="545"/>
      <c r="E12" s="545"/>
      <c r="F12" s="545"/>
      <c r="G12" s="163">
        <f>'2022'!S12</f>
        <v>65159196.240000002</v>
      </c>
      <c r="H12" s="163">
        <f>SUM('2022'!G86:O86)</f>
        <v>96193330.482745603</v>
      </c>
      <c r="I12" s="164">
        <f t="shared" si="0"/>
        <v>-31034134.242745601</v>
      </c>
      <c r="J12" s="166">
        <f t="shared" si="1"/>
        <v>-0.32262251537607645</v>
      </c>
      <c r="K12" s="163">
        <f>SUM('2021'!G12:O12)</f>
        <v>85841899.279999986</v>
      </c>
      <c r="L12" s="164">
        <f>+G12-K12</f>
        <v>-20682703.039999984</v>
      </c>
      <c r="M12" s="166">
        <f t="shared" si="2"/>
        <v>-0.24093948542001542</v>
      </c>
      <c r="N12" s="163">
        <f>'2022'!O12</f>
        <v>5598868.9900000002</v>
      </c>
      <c r="O12" s="163">
        <f>'2022'!O86</f>
        <v>12015172.827783465</v>
      </c>
      <c r="P12" s="164">
        <f t="shared" ref="P12:P57" si="6">+N12-O12</f>
        <v>-6416303.8377834652</v>
      </c>
      <c r="Q12" s="166">
        <f t="shared" si="3"/>
        <v>-0.53401677443595563</v>
      </c>
      <c r="R12" s="163">
        <f>'2021'!O12</f>
        <v>11496389.41</v>
      </c>
      <c r="S12" s="164">
        <f t="shared" si="4"/>
        <v>-5897520.4199999999</v>
      </c>
      <c r="T12" s="166">
        <f t="shared" si="5"/>
        <v>-0.51298892284129749</v>
      </c>
    </row>
    <row r="13" spans="1:20">
      <c r="A13" s="150">
        <v>7112</v>
      </c>
      <c r="B13" s="544" t="str">
        <f>+VLOOKUP($A13,Master!$D$29:$G$225,4,FALSE)</f>
        <v>Porez na dobit pravnih lica</v>
      </c>
      <c r="C13" s="545"/>
      <c r="D13" s="545"/>
      <c r="E13" s="545"/>
      <c r="F13" s="545"/>
      <c r="G13" s="163">
        <f>'2022'!S13</f>
        <v>82039204.149999991</v>
      </c>
      <c r="H13" s="163">
        <f>SUM('2022'!G87:O87)</f>
        <v>76978068.161839455</v>
      </c>
      <c r="I13" s="164">
        <f t="shared" si="0"/>
        <v>5061135.9881605357</v>
      </c>
      <c r="J13" s="166">
        <f t="shared" si="1"/>
        <v>6.5747765682037551E-2</v>
      </c>
      <c r="K13" s="163">
        <f>SUM('2021'!G13:O13)</f>
        <v>69932707.189999998</v>
      </c>
      <c r="L13" s="164">
        <f t="shared" ref="L13:L57" si="7">+G13-K13</f>
        <v>12106496.959999993</v>
      </c>
      <c r="M13" s="166">
        <f t="shared" si="2"/>
        <v>0.17311637782172351</v>
      </c>
      <c r="N13" s="163">
        <f>'2022'!O13</f>
        <v>2622669.34</v>
      </c>
      <c r="O13" s="163">
        <f>'2022'!O87</f>
        <v>2892088.1311011645</v>
      </c>
      <c r="P13" s="164">
        <f t="shared" si="6"/>
        <v>-269418.79110116465</v>
      </c>
      <c r="Q13" s="166">
        <f t="shared" si="3"/>
        <v>-9.3157185703944378E-2</v>
      </c>
      <c r="R13" s="163">
        <f>'2021'!O13</f>
        <v>3090820.1</v>
      </c>
      <c r="S13" s="164">
        <f t="shared" si="4"/>
        <v>-468150.76000000024</v>
      </c>
      <c r="T13" s="166">
        <f t="shared" si="5"/>
        <v>-0.1514649008526896</v>
      </c>
    </row>
    <row r="14" spans="1:20">
      <c r="A14" s="150">
        <v>7113</v>
      </c>
      <c r="B14" s="544" t="str">
        <f>+VLOOKUP($A14,Master!$D$29:$G$225,4,FALSE)</f>
        <v>Porez na promet nepokretnosti</v>
      </c>
      <c r="C14" s="545"/>
      <c r="D14" s="545"/>
      <c r="E14" s="545"/>
      <c r="F14" s="545"/>
      <c r="G14" s="163">
        <f>'2022'!S14</f>
        <v>1481541.77</v>
      </c>
      <c r="H14" s="163">
        <f>SUM('2022'!G88:O88)</f>
        <v>1266431.7452035362</v>
      </c>
      <c r="I14" s="164">
        <f t="shared" si="0"/>
        <v>215110.02479646378</v>
      </c>
      <c r="J14" s="166">
        <f t="shared" si="1"/>
        <v>0.16985520586574698</v>
      </c>
      <c r="K14" s="163">
        <f>SUM('2021'!G14:O14)</f>
        <v>1306081.24</v>
      </c>
      <c r="L14" s="164">
        <f t="shared" si="7"/>
        <v>175460.53000000003</v>
      </c>
      <c r="M14" s="166">
        <f t="shared" si="2"/>
        <v>0.13434120683028872</v>
      </c>
      <c r="N14" s="163">
        <f>'2022'!O14</f>
        <v>0</v>
      </c>
      <c r="O14" s="163">
        <f>'2022'!O88</f>
        <v>108672.06715796523</v>
      </c>
      <c r="P14" s="164">
        <f t="shared" si="6"/>
        <v>-108672.06715796523</v>
      </c>
      <c r="Q14" s="166">
        <f t="shared" si="3"/>
        <v>-1</v>
      </c>
      <c r="R14" s="163">
        <f>'2021'!O14</f>
        <v>186859.21</v>
      </c>
      <c r="S14" s="164">
        <f t="shared" si="4"/>
        <v>-186859.21</v>
      </c>
      <c r="T14" s="166">
        <f t="shared" si="5"/>
        <v>-1</v>
      </c>
    </row>
    <row r="15" spans="1:20">
      <c r="A15" s="150">
        <v>7114</v>
      </c>
      <c r="B15" s="544" t="str">
        <f>+VLOOKUP($A15,Master!$D$29:$G$225,4,FALSE)</f>
        <v>Porez na dodatu vrijednost</v>
      </c>
      <c r="C15" s="545"/>
      <c r="D15" s="545"/>
      <c r="E15" s="545"/>
      <c r="F15" s="545"/>
      <c r="G15" s="163">
        <f>'2022'!S15</f>
        <v>665183108.78000009</v>
      </c>
      <c r="H15" s="163">
        <f>SUM('2022'!G89:O89)</f>
        <v>537443807.30619216</v>
      </c>
      <c r="I15" s="164">
        <f t="shared" si="0"/>
        <v>127739301.47380793</v>
      </c>
      <c r="J15" s="166">
        <f t="shared" si="1"/>
        <v>0.23767936245106336</v>
      </c>
      <c r="K15" s="163">
        <f>SUM('2021'!G15:O15)</f>
        <v>493556109.44</v>
      </c>
      <c r="L15" s="164">
        <f t="shared" si="7"/>
        <v>171626999.34000009</v>
      </c>
      <c r="M15" s="166">
        <f t="shared" si="2"/>
        <v>0.34773553818375791</v>
      </c>
      <c r="N15" s="163">
        <f>'2022'!O15</f>
        <v>84609670.859999999</v>
      </c>
      <c r="O15" s="163">
        <f>'2022'!O89</f>
        <v>70695564.988729894</v>
      </c>
      <c r="P15" s="164">
        <f t="shared" si="6"/>
        <v>13914105.871270105</v>
      </c>
      <c r="Q15" s="166">
        <f t="shared" si="3"/>
        <v>0.19681723844329202</v>
      </c>
      <c r="R15" s="163">
        <f>'2021'!O15</f>
        <v>66021485.600000001</v>
      </c>
      <c r="S15" s="164">
        <f t="shared" si="4"/>
        <v>18588185.259999998</v>
      </c>
      <c r="T15" s="166">
        <f t="shared" si="5"/>
        <v>0.28154751579840243</v>
      </c>
    </row>
    <row r="16" spans="1:20">
      <c r="A16" s="150">
        <v>7115</v>
      </c>
      <c r="B16" s="544" t="str">
        <f>+VLOOKUP($A16,Master!$D$29:$G$225,4,FALSE)</f>
        <v>Akcize</v>
      </c>
      <c r="C16" s="545"/>
      <c r="D16" s="545"/>
      <c r="E16" s="545"/>
      <c r="F16" s="545"/>
      <c r="G16" s="163">
        <f>'2022'!S16</f>
        <v>188397173.27000001</v>
      </c>
      <c r="H16" s="163">
        <f>SUM('2022'!G90:O90)</f>
        <v>200410094.75710881</v>
      </c>
      <c r="I16" s="164">
        <f t="shared" si="0"/>
        <v>-12012921.487108797</v>
      </c>
      <c r="J16" s="166">
        <f t="shared" si="1"/>
        <v>-5.9941698553998002E-2</v>
      </c>
      <c r="K16" s="163">
        <f>SUM('2021'!G16:O16)</f>
        <v>181545151.65999997</v>
      </c>
      <c r="L16" s="164">
        <f t="shared" si="7"/>
        <v>6852021.6100000441</v>
      </c>
      <c r="M16" s="166">
        <f t="shared" si="2"/>
        <v>3.7742795923476846E-2</v>
      </c>
      <c r="N16" s="163">
        <f>'2022'!O16</f>
        <v>23606498.559999999</v>
      </c>
      <c r="O16" s="163">
        <f>'2022'!O90</f>
        <v>31301086.260136649</v>
      </c>
      <c r="P16" s="164">
        <f t="shared" si="6"/>
        <v>-7694587.7001366504</v>
      </c>
      <c r="Q16" s="166">
        <f t="shared" si="3"/>
        <v>-0.24582494154319678</v>
      </c>
      <c r="R16" s="163">
        <f>'2021'!O16</f>
        <v>28556581.329999998</v>
      </c>
      <c r="S16" s="164">
        <f t="shared" si="4"/>
        <v>-4950082.7699999996</v>
      </c>
      <c r="T16" s="166">
        <f t="shared" si="5"/>
        <v>-0.173342975225109</v>
      </c>
    </row>
    <row r="17" spans="1:20">
      <c r="A17" s="150">
        <v>7116</v>
      </c>
      <c r="B17" s="544" t="str">
        <f>+VLOOKUP($A17,Master!$D$29:$G$225,4,FALSE)</f>
        <v>Porez na međunarodnu trgovinu i transakcije</v>
      </c>
      <c r="C17" s="545"/>
      <c r="D17" s="545"/>
      <c r="E17" s="545"/>
      <c r="F17" s="545"/>
      <c r="G17" s="163">
        <f>'2022'!S17</f>
        <v>29021383.700000003</v>
      </c>
      <c r="H17" s="163">
        <f>SUM('2022'!G91:O91)</f>
        <v>22433607.642815366</v>
      </c>
      <c r="I17" s="164">
        <f t="shared" si="0"/>
        <v>6587776.0571846366</v>
      </c>
      <c r="J17" s="166">
        <f t="shared" si="1"/>
        <v>0.29365656037469523</v>
      </c>
      <c r="K17" s="163">
        <f>SUM('2021'!G17:O17)</f>
        <v>20834357.139999997</v>
      </c>
      <c r="L17" s="164">
        <f t="shared" si="7"/>
        <v>8187026.5600000061</v>
      </c>
      <c r="M17" s="166">
        <f t="shared" si="2"/>
        <v>0.39295796385681081</v>
      </c>
      <c r="N17" s="163">
        <f>'2022'!O17</f>
        <v>3769936.82</v>
      </c>
      <c r="O17" s="163">
        <f>'2022'!O91</f>
        <v>2655237.4002162451</v>
      </c>
      <c r="P17" s="164">
        <f t="shared" si="6"/>
        <v>1114699.4197837547</v>
      </c>
      <c r="Q17" s="166">
        <f t="shared" si="3"/>
        <v>0.4198115843400565</v>
      </c>
      <c r="R17" s="163">
        <f>'2021'!O17</f>
        <v>2664634.4500000002</v>
      </c>
      <c r="S17" s="164">
        <f t="shared" si="4"/>
        <v>1105302.3699999996</v>
      </c>
      <c r="T17" s="166">
        <f t="shared" si="5"/>
        <v>0.41480450348452091</v>
      </c>
    </row>
    <row r="18" spans="1:20">
      <c r="A18" s="150">
        <v>7118</v>
      </c>
      <c r="B18" s="544" t="str">
        <f>+VLOOKUP($A18,Master!$D$29:$G$225,4,FALSE)</f>
        <v>Ostali državni porezi</v>
      </c>
      <c r="C18" s="545"/>
      <c r="D18" s="545"/>
      <c r="E18" s="545"/>
      <c r="F18" s="545"/>
      <c r="G18" s="163">
        <f>'2022'!S18</f>
        <v>9108986.040000001</v>
      </c>
      <c r="H18" s="163">
        <f>SUM('2022'!G92:O92)</f>
        <v>10722597.886387959</v>
      </c>
      <c r="I18" s="164">
        <f t="shared" si="0"/>
        <v>-1613611.8463879582</v>
      </c>
      <c r="J18" s="166">
        <f t="shared" si="1"/>
        <v>-0.15048702408549641</v>
      </c>
      <c r="K18" s="163">
        <f>SUM('2021'!G18:O18)</f>
        <v>8293764.6100000013</v>
      </c>
      <c r="L18" s="164">
        <f t="shared" si="7"/>
        <v>815221.4299999997</v>
      </c>
      <c r="M18" s="166">
        <f t="shared" si="2"/>
        <v>9.8293292411152589E-2</v>
      </c>
      <c r="N18" s="163">
        <f>'2022'!O18</f>
        <v>1053536.77</v>
      </c>
      <c r="O18" s="163">
        <f>'2022'!O92</f>
        <v>2038593.5370339223</v>
      </c>
      <c r="P18" s="164">
        <f t="shared" si="6"/>
        <v>-985056.76703392225</v>
      </c>
      <c r="Q18" s="166">
        <f t="shared" si="3"/>
        <v>-0.48320410574201234</v>
      </c>
      <c r="R18" s="163">
        <f>'2021'!O18</f>
        <v>1000141.28</v>
      </c>
      <c r="S18" s="164">
        <f t="shared" si="4"/>
        <v>53395.489999999991</v>
      </c>
      <c r="T18" s="166">
        <f t="shared" si="5"/>
        <v>5.3387947350798326E-2</v>
      </c>
    </row>
    <row r="19" spans="1:20">
      <c r="A19" s="150">
        <v>712</v>
      </c>
      <c r="B19" s="546" t="str">
        <f>+VLOOKUP($A19,Master!$D$29:$G$225,4,FALSE)</f>
        <v>Doprinosi</v>
      </c>
      <c r="C19" s="547"/>
      <c r="D19" s="547"/>
      <c r="E19" s="547"/>
      <c r="F19" s="547"/>
      <c r="G19" s="169">
        <f>'2022'!S19</f>
        <v>307348887.45999992</v>
      </c>
      <c r="H19" s="169">
        <f>SUM('2022'!G93:O93)</f>
        <v>326455344.24102384</v>
      </c>
      <c r="I19" s="170">
        <f t="shared" si="0"/>
        <v>-19106456.78102392</v>
      </c>
      <c r="J19" s="172">
        <f t="shared" si="1"/>
        <v>-5.8527014852351456E-2</v>
      </c>
      <c r="K19" s="169">
        <f>SUM('2021'!G19:O19)</f>
        <v>376336390.82999998</v>
      </c>
      <c r="L19" s="170">
        <f t="shared" si="7"/>
        <v>-68987503.370000064</v>
      </c>
      <c r="M19" s="172">
        <f t="shared" si="2"/>
        <v>-0.1833134000617106</v>
      </c>
      <c r="N19" s="169">
        <f>'2022'!O19</f>
        <v>38998261.349999994</v>
      </c>
      <c r="O19" s="169">
        <f>'2022'!O93</f>
        <v>39471393.883434452</v>
      </c>
      <c r="P19" s="170">
        <f t="shared" si="6"/>
        <v>-473132.53343445808</v>
      </c>
      <c r="Q19" s="172">
        <f t="shared" si="3"/>
        <v>-1.1986719669229262E-2</v>
      </c>
      <c r="R19" s="169">
        <f>'2021'!O19</f>
        <v>47503080.450000003</v>
      </c>
      <c r="S19" s="170">
        <f t="shared" si="4"/>
        <v>-8504819.1000000089</v>
      </c>
      <c r="T19" s="172">
        <f t="shared" si="5"/>
        <v>-0.1790372123119861</v>
      </c>
    </row>
    <row r="20" spans="1:20">
      <c r="A20" s="150">
        <v>7121</v>
      </c>
      <c r="B20" s="544" t="str">
        <f>+VLOOKUP($A20,Master!$D$29:$G$225,4,FALSE)</f>
        <v>Doprinosi za penzijsko i invalidsko osiguranje</v>
      </c>
      <c r="C20" s="545"/>
      <c r="D20" s="545"/>
      <c r="E20" s="545"/>
      <c r="F20" s="545"/>
      <c r="G20" s="163">
        <f>'2022'!S20</f>
        <v>264400582.71999997</v>
      </c>
      <c r="H20" s="163">
        <f>SUM('2022'!G94:O94)</f>
        <v>286567798.5400005</v>
      </c>
      <c r="I20" s="164">
        <f t="shared" si="0"/>
        <v>-22167215.820000529</v>
      </c>
      <c r="J20" s="166">
        <f t="shared" si="1"/>
        <v>-7.73541756364029E-2</v>
      </c>
      <c r="K20" s="163">
        <f>SUM('2021'!G20:O20)</f>
        <v>232181157.38000003</v>
      </c>
      <c r="L20" s="164">
        <f t="shared" si="7"/>
        <v>32219425.339999944</v>
      </c>
      <c r="M20" s="166">
        <f t="shared" si="2"/>
        <v>0.13876847589000474</v>
      </c>
      <c r="N20" s="163">
        <f>'2022'!O20</f>
        <v>35762026.799999997</v>
      </c>
      <c r="O20" s="163">
        <f>'2022'!O94</f>
        <v>35048794.935994439</v>
      </c>
      <c r="P20" s="164">
        <f t="shared" si="6"/>
        <v>713231.86400555819</v>
      </c>
      <c r="Q20" s="166">
        <f t="shared" si="3"/>
        <v>2.0349682929414525E-2</v>
      </c>
      <c r="R20" s="163">
        <f>'2021'!O20</f>
        <v>29243345.5</v>
      </c>
      <c r="S20" s="164">
        <f t="shared" si="4"/>
        <v>6518681.299999997</v>
      </c>
      <c r="T20" s="166">
        <f t="shared" si="5"/>
        <v>0.22291161248975411</v>
      </c>
    </row>
    <row r="21" spans="1:20">
      <c r="A21" s="150">
        <v>7122</v>
      </c>
      <c r="B21" s="544" t="str">
        <f>+VLOOKUP($A21,Master!$D$29:$G$225,4,FALSE)</f>
        <v>Doprinosi za zdravstveno osiguranje</v>
      </c>
      <c r="C21" s="545"/>
      <c r="D21" s="545"/>
      <c r="E21" s="545"/>
      <c r="F21" s="545"/>
      <c r="G21" s="163">
        <f>'2022'!S21</f>
        <v>21989352.299999997</v>
      </c>
      <c r="H21" s="163">
        <f>SUM('2022'!G95:O95)</f>
        <v>15315338.323772501</v>
      </c>
      <c r="I21" s="164">
        <f t="shared" si="0"/>
        <v>6674013.9762274958</v>
      </c>
      <c r="J21" s="166">
        <f t="shared" si="1"/>
        <v>0.43577319907246692</v>
      </c>
      <c r="K21" s="163">
        <f>SUM('2021'!G21:O21)</f>
        <v>123513506.99000001</v>
      </c>
      <c r="L21" s="164">
        <f t="shared" si="7"/>
        <v>-101524154.69000001</v>
      </c>
      <c r="M21" s="166">
        <f t="shared" si="2"/>
        <v>-0.82196803543291574</v>
      </c>
      <c r="N21" s="163">
        <f>'2022'!O21</f>
        <v>668162.97</v>
      </c>
      <c r="O21" s="163">
        <f>'2022'!O95</f>
        <v>1387272.7272727001</v>
      </c>
      <c r="P21" s="164">
        <f t="shared" si="6"/>
        <v>-719109.75727270008</v>
      </c>
      <c r="Q21" s="166">
        <f t="shared" si="3"/>
        <v>-0.51836221035385688</v>
      </c>
      <c r="R21" s="163">
        <f>'2021'!O21</f>
        <v>15676970.460000001</v>
      </c>
      <c r="S21" s="164">
        <f t="shared" si="4"/>
        <v>-15008807.49</v>
      </c>
      <c r="T21" s="166">
        <f t="shared" si="5"/>
        <v>-0.95737933092973371</v>
      </c>
    </row>
    <row r="22" spans="1:20">
      <c r="A22" s="150">
        <v>7123</v>
      </c>
      <c r="B22" s="544" t="str">
        <f>+VLOOKUP($A22,Master!$D$29:$G$225,4,FALSE)</f>
        <v>Doprinosi za osiguranje od nezaposlenosti</v>
      </c>
      <c r="C22" s="545"/>
      <c r="D22" s="545"/>
      <c r="E22" s="545"/>
      <c r="F22" s="545"/>
      <c r="G22" s="163">
        <f>'2022'!S22</f>
        <v>12020287.16</v>
      </c>
      <c r="H22" s="163">
        <f>SUM('2022'!G96:O96)</f>
        <v>13887074.085522151</v>
      </c>
      <c r="I22" s="164">
        <f t="shared" si="0"/>
        <v>-1866786.9255221505</v>
      </c>
      <c r="J22" s="166">
        <f t="shared" si="1"/>
        <v>-0.13442622355333678</v>
      </c>
      <c r="K22" s="163">
        <f>SUM('2021'!G22:O22)</f>
        <v>11173917.140000001</v>
      </c>
      <c r="L22" s="164">
        <f t="shared" si="7"/>
        <v>846370.01999999955</v>
      </c>
      <c r="M22" s="166">
        <f t="shared" si="2"/>
        <v>7.5745149117867783E-2</v>
      </c>
      <c r="N22" s="163">
        <f>'2022'!O22</f>
        <v>1507262.14</v>
      </c>
      <c r="O22" s="163">
        <f>'2022'!O96</f>
        <v>1731484.6640204804</v>
      </c>
      <c r="P22" s="164">
        <f t="shared" si="6"/>
        <v>-224222.52402048046</v>
      </c>
      <c r="Q22" s="166">
        <f t="shared" si="3"/>
        <v>-0.12949726248215176</v>
      </c>
      <c r="R22" s="163">
        <f>'2021'!O22</f>
        <v>1381018.38</v>
      </c>
      <c r="S22" s="164">
        <f t="shared" si="4"/>
        <v>126243.76000000001</v>
      </c>
      <c r="T22" s="166">
        <f t="shared" si="5"/>
        <v>9.1413526299338521E-2</v>
      </c>
    </row>
    <row r="23" spans="1:20">
      <c r="A23" s="150">
        <v>7124</v>
      </c>
      <c r="B23" s="544" t="str">
        <f>+VLOOKUP($A23,Master!$D$29:$G$225,4,FALSE)</f>
        <v>Ostali doprinosi</v>
      </c>
      <c r="C23" s="545"/>
      <c r="D23" s="545"/>
      <c r="E23" s="545"/>
      <c r="F23" s="545"/>
      <c r="G23" s="163">
        <f>'2022'!S23</f>
        <v>8938665.2800000012</v>
      </c>
      <c r="H23" s="163">
        <f>SUM('2022'!G97:O97)</f>
        <v>10685133.291728674</v>
      </c>
      <c r="I23" s="164">
        <f t="shared" si="0"/>
        <v>-1746468.0117286723</v>
      </c>
      <c r="J23" s="166">
        <f t="shared" si="1"/>
        <v>-0.1634484066830133</v>
      </c>
      <c r="K23" s="163">
        <f>SUM('2021'!G23:O23)</f>
        <v>9467809.3200000003</v>
      </c>
      <c r="L23" s="164">
        <f t="shared" si="7"/>
        <v>-529144.03999999911</v>
      </c>
      <c r="M23" s="166">
        <f t="shared" si="2"/>
        <v>-5.5888751253389102E-2</v>
      </c>
      <c r="N23" s="163">
        <f>'2022'!O23</f>
        <v>1060809.44</v>
      </c>
      <c r="O23" s="163">
        <f>'2022'!O97</f>
        <v>1303841.5561468413</v>
      </c>
      <c r="P23" s="164">
        <f t="shared" si="6"/>
        <v>-243032.11614684132</v>
      </c>
      <c r="Q23" s="166">
        <f t="shared" si="3"/>
        <v>-0.18639697055297</v>
      </c>
      <c r="R23" s="163">
        <f>'2021'!O23</f>
        <v>1201746.1100000001</v>
      </c>
      <c r="S23" s="164">
        <f t="shared" si="4"/>
        <v>-140936.67000000016</v>
      </c>
      <c r="T23" s="166">
        <f t="shared" si="5"/>
        <v>-0.11727657683035908</v>
      </c>
    </row>
    <row r="24" spans="1:20">
      <c r="A24" s="150">
        <v>713</v>
      </c>
      <c r="B24" s="546" t="str">
        <f>+VLOOKUP($A24,Master!$D$29:$G$225,4,FALSE)</f>
        <v>Takse</v>
      </c>
      <c r="C24" s="547"/>
      <c r="D24" s="547"/>
      <c r="E24" s="547"/>
      <c r="F24" s="547"/>
      <c r="G24" s="175">
        <f>'2022'!S24</f>
        <v>10146807.529999999</v>
      </c>
      <c r="H24" s="175">
        <f>SUM('2022'!G98:O98)</f>
        <v>10221906.542001598</v>
      </c>
      <c r="I24" s="176">
        <f t="shared" si="0"/>
        <v>-75099.012001598254</v>
      </c>
      <c r="J24" s="178">
        <f t="shared" si="1"/>
        <v>-7.3468693626789205E-3</v>
      </c>
      <c r="K24" s="175">
        <f>SUM('2021'!G24:O24)</f>
        <v>9344860.4900000002</v>
      </c>
      <c r="L24" s="176">
        <f t="shared" si="7"/>
        <v>801947.03999999911</v>
      </c>
      <c r="M24" s="178">
        <f t="shared" si="2"/>
        <v>8.5816908755156796E-2</v>
      </c>
      <c r="N24" s="175">
        <f>'2022'!O24</f>
        <v>1183872.1599999999</v>
      </c>
      <c r="O24" s="175">
        <f>'2022'!O98</f>
        <v>1380373.0567911586</v>
      </c>
      <c r="P24" s="176">
        <f t="shared" si="6"/>
        <v>-196500.89679115871</v>
      </c>
      <c r="Q24" s="178">
        <f t="shared" si="3"/>
        <v>-0.14235347163899914</v>
      </c>
      <c r="R24" s="175">
        <f>'2021'!O24</f>
        <v>1279203.6200000001</v>
      </c>
      <c r="S24" s="176">
        <f t="shared" si="4"/>
        <v>-95331.460000000196</v>
      </c>
      <c r="T24" s="178">
        <f t="shared" si="5"/>
        <v>-7.4524069905305801E-2</v>
      </c>
    </row>
    <row r="25" spans="1:20">
      <c r="A25" s="150">
        <v>714</v>
      </c>
      <c r="B25" s="546" t="str">
        <f>+VLOOKUP($A25,Master!$D$29:$G$225,4,FALSE)</f>
        <v>Naknade</v>
      </c>
      <c r="C25" s="547"/>
      <c r="D25" s="547"/>
      <c r="E25" s="547"/>
      <c r="F25" s="547"/>
      <c r="G25" s="175">
        <f>'2022'!S25</f>
        <v>43878766.799999997</v>
      </c>
      <c r="H25" s="175">
        <f>SUM('2022'!G99:O99)</f>
        <v>46916882.133970909</v>
      </c>
      <c r="I25" s="176">
        <f t="shared" si="0"/>
        <v>-3038115.3339709118</v>
      </c>
      <c r="J25" s="178">
        <f t="shared" si="1"/>
        <v>-6.4755269229007761E-2</v>
      </c>
      <c r="K25" s="175">
        <f>SUM('2021'!G25:O25)</f>
        <v>29180509.689999998</v>
      </c>
      <c r="L25" s="176">
        <f t="shared" si="7"/>
        <v>14698257.109999999</v>
      </c>
      <c r="M25" s="178">
        <f t="shared" si="2"/>
        <v>0.50370117815443827</v>
      </c>
      <c r="N25" s="175">
        <f>'2022'!O25</f>
        <v>9160845.5500000007</v>
      </c>
      <c r="O25" s="175">
        <f>'2022'!O99</f>
        <v>5838639.4240750894</v>
      </c>
      <c r="P25" s="176">
        <f t="shared" si="6"/>
        <v>3322206.1259249114</v>
      </c>
      <c r="Q25" s="178">
        <f t="shared" si="3"/>
        <v>0.56900347574575361</v>
      </c>
      <c r="R25" s="175">
        <f>'2021'!O25</f>
        <v>3922721.92</v>
      </c>
      <c r="S25" s="176">
        <f t="shared" si="4"/>
        <v>5238123.6300000008</v>
      </c>
      <c r="T25" s="178">
        <f t="shared" si="5"/>
        <v>1.3353288193316546</v>
      </c>
    </row>
    <row r="26" spans="1:20">
      <c r="A26" s="150">
        <v>715</v>
      </c>
      <c r="B26" s="546" t="str">
        <f>+VLOOKUP($A26,Master!$D$29:$G$225,4,FALSE)</f>
        <v>Ostali prihodi</v>
      </c>
      <c r="C26" s="547"/>
      <c r="D26" s="547"/>
      <c r="E26" s="547"/>
      <c r="F26" s="547"/>
      <c r="G26" s="175">
        <f>'2022'!S26</f>
        <v>23161481.409999996</v>
      </c>
      <c r="H26" s="175">
        <f>SUM('2022'!G100:O100)</f>
        <v>33443751.76273118</v>
      </c>
      <c r="I26" s="176">
        <f t="shared" si="0"/>
        <v>-10282270.352731183</v>
      </c>
      <c r="J26" s="178">
        <f t="shared" si="1"/>
        <v>-0.3074496673004693</v>
      </c>
      <c r="K26" s="175">
        <f>SUM('2021'!G26:O26)</f>
        <v>46781423.420000002</v>
      </c>
      <c r="L26" s="176">
        <f t="shared" si="7"/>
        <v>-23619942.010000005</v>
      </c>
      <c r="M26" s="178">
        <f t="shared" si="2"/>
        <v>-0.50490002832838132</v>
      </c>
      <c r="N26" s="175">
        <f>'2022'!O26</f>
        <v>2166236.2000000002</v>
      </c>
      <c r="O26" s="175">
        <f>'2022'!O100</f>
        <v>1810690.2451614358</v>
      </c>
      <c r="P26" s="176">
        <f t="shared" si="6"/>
        <v>355545.95483856439</v>
      </c>
      <c r="Q26" s="178">
        <f t="shared" si="3"/>
        <v>0.19635934737521321</v>
      </c>
      <c r="R26" s="175">
        <f>'2021'!O26</f>
        <v>1871626.8</v>
      </c>
      <c r="S26" s="176">
        <f t="shared" si="4"/>
        <v>294609.40000000014</v>
      </c>
      <c r="T26" s="178">
        <f t="shared" si="5"/>
        <v>0.15740819697602104</v>
      </c>
    </row>
    <row r="27" spans="1:20">
      <c r="A27" s="150">
        <v>73</v>
      </c>
      <c r="B27" s="546" t="str">
        <f>+VLOOKUP($A27,Master!$D$29:$G$225,4,FALSE)</f>
        <v>Primici od otplate kredita i sredstva prenesena iz prethodne godine</v>
      </c>
      <c r="C27" s="547"/>
      <c r="D27" s="547"/>
      <c r="E27" s="547"/>
      <c r="F27" s="547"/>
      <c r="G27" s="175">
        <f>'2022'!S27</f>
        <v>10795980.76</v>
      </c>
      <c r="H27" s="175">
        <f>SUM('2022'!G101:O101)</f>
        <v>5737792.7873830348</v>
      </c>
      <c r="I27" s="176">
        <f t="shared" si="0"/>
        <v>5058187.972616965</v>
      </c>
      <c r="J27" s="178">
        <f t="shared" si="1"/>
        <v>0.8815564033158414</v>
      </c>
      <c r="K27" s="175">
        <f>SUM('2021'!G27:O27)</f>
        <v>5902964.8300000001</v>
      </c>
      <c r="L27" s="176">
        <f t="shared" si="7"/>
        <v>4893015.93</v>
      </c>
      <c r="M27" s="178">
        <f t="shared" si="2"/>
        <v>0.82890819629023604</v>
      </c>
      <c r="N27" s="175">
        <f>'2022'!O27</f>
        <v>1144155.6099999999</v>
      </c>
      <c r="O27" s="175">
        <f>'2022'!O101</f>
        <v>220617.05383413273</v>
      </c>
      <c r="P27" s="176">
        <f t="shared" si="6"/>
        <v>923538.55616586714</v>
      </c>
      <c r="Q27" s="178" t="str">
        <f t="shared" si="3"/>
        <v>...</v>
      </c>
      <c r="R27" s="175">
        <f>'2021'!O27</f>
        <v>261920.15</v>
      </c>
      <c r="S27" s="176">
        <f t="shared" si="4"/>
        <v>882235.45999999985</v>
      </c>
      <c r="T27" s="178" t="str">
        <f t="shared" si="5"/>
        <v>...</v>
      </c>
    </row>
    <row r="28" spans="1:20" ht="15.75" thickBot="1">
      <c r="A28" s="150">
        <v>74</v>
      </c>
      <c r="B28" s="548" t="str">
        <f>+VLOOKUP($A28,Master!$D$29:$G$225,4,FALSE)</f>
        <v>Donacije i transferi</v>
      </c>
      <c r="C28" s="549"/>
      <c r="D28" s="549"/>
      <c r="E28" s="549"/>
      <c r="F28" s="549"/>
      <c r="G28" s="175">
        <f>'2022'!S28</f>
        <v>23554669.5</v>
      </c>
      <c r="H28" s="175">
        <f>SUM('2022'!G102:O102)</f>
        <v>21465921.834488731</v>
      </c>
      <c r="I28" s="176">
        <f t="shared" si="0"/>
        <v>2088747.6655112691</v>
      </c>
      <c r="J28" s="178">
        <f t="shared" si="1"/>
        <v>9.7305286100284549E-2</v>
      </c>
      <c r="K28" s="175">
        <f>SUM('2021'!G28:O28)</f>
        <v>15501700.939999999</v>
      </c>
      <c r="L28" s="176">
        <f t="shared" si="7"/>
        <v>8052968.5600000005</v>
      </c>
      <c r="M28" s="178">
        <f t="shared" si="2"/>
        <v>0.51948935095376703</v>
      </c>
      <c r="N28" s="175">
        <f>'2022'!O28</f>
        <v>1689253.82</v>
      </c>
      <c r="O28" s="175">
        <f>'2022'!O102</f>
        <v>2891804.587515723</v>
      </c>
      <c r="P28" s="176">
        <f t="shared" si="6"/>
        <v>-1202550.7675157229</v>
      </c>
      <c r="Q28" s="178">
        <f t="shared" si="3"/>
        <v>-0.41584786631409432</v>
      </c>
      <c r="R28" s="175">
        <f>'2021'!O28</f>
        <v>4215127.58</v>
      </c>
      <c r="S28" s="176">
        <f t="shared" si="4"/>
        <v>-2525873.7599999998</v>
      </c>
      <c r="T28" s="178">
        <f t="shared" si="5"/>
        <v>-0.59924016819438708</v>
      </c>
    </row>
    <row r="29" spans="1:20" ht="15.75" thickBot="1">
      <c r="A29" s="150">
        <v>4</v>
      </c>
      <c r="B29" s="534" t="str">
        <f>+VLOOKUP($A29,Master!$D$29:$G$225,4,FALSE)</f>
        <v>Izdaci budžeta</v>
      </c>
      <c r="C29" s="535"/>
      <c r="D29" s="535"/>
      <c r="E29" s="535"/>
      <c r="F29" s="535"/>
      <c r="G29" s="151">
        <f>'2022'!S29</f>
        <v>1495249389.3</v>
      </c>
      <c r="H29" s="151">
        <f>SUM('2022'!G103:O103)</f>
        <v>1565791118.7934999</v>
      </c>
      <c r="I29" s="152">
        <f t="shared" si="0"/>
        <v>-70541729.493499994</v>
      </c>
      <c r="J29" s="154">
        <f t="shared" si="1"/>
        <v>-4.505181351894183E-2</v>
      </c>
      <c r="K29" s="151">
        <f>SUM('2021'!G29:O29)</f>
        <v>1409628612.4200001</v>
      </c>
      <c r="L29" s="152">
        <f t="shared" si="7"/>
        <v>85620776.879999876</v>
      </c>
      <c r="M29" s="154">
        <f t="shared" si="2"/>
        <v>6.073995386132891E-2</v>
      </c>
      <c r="N29" s="151">
        <f>'2022'!O29</f>
        <v>202137009.99000004</v>
      </c>
      <c r="O29" s="151">
        <f>'2022'!O103</f>
        <v>183880560.57883337</v>
      </c>
      <c r="P29" s="152">
        <f t="shared" si="6"/>
        <v>18256449.411166668</v>
      </c>
      <c r="Q29" s="154">
        <f t="shared" si="3"/>
        <v>9.9284281893081028E-2</v>
      </c>
      <c r="R29" s="151">
        <f>'2021'!O29</f>
        <v>178840157.63000003</v>
      </c>
      <c r="S29" s="152">
        <f t="shared" si="4"/>
        <v>23296852.360000014</v>
      </c>
      <c r="T29" s="154">
        <f t="shared" si="5"/>
        <v>0.13026633765442419</v>
      </c>
    </row>
    <row r="30" spans="1:20">
      <c r="A30" s="150">
        <v>41</v>
      </c>
      <c r="B30" s="552" t="str">
        <f>+VLOOKUP($A30,Master!$D$29:$G$225,4,FALSE)</f>
        <v>Tekući izdaci</v>
      </c>
      <c r="C30" s="553"/>
      <c r="D30" s="553"/>
      <c r="E30" s="553"/>
      <c r="F30" s="553"/>
      <c r="G30" s="313">
        <f>'2022'!S30</f>
        <v>612036919.26999998</v>
      </c>
      <c r="H30" s="313">
        <f>SUM('2022'!G104:O104)</f>
        <v>626484382.16600013</v>
      </c>
      <c r="I30" s="188">
        <f t="shared" si="0"/>
        <v>-14447462.896000147</v>
      </c>
      <c r="J30" s="190">
        <f t="shared" si="1"/>
        <v>-2.3061170090225791E-2</v>
      </c>
      <c r="K30" s="313">
        <f>SUM('2021'!G30:O30)</f>
        <v>612080454.32999992</v>
      </c>
      <c r="L30" s="188">
        <f t="shared" si="7"/>
        <v>-43535.05999994278</v>
      </c>
      <c r="M30" s="190">
        <f t="shared" si="2"/>
        <v>-7.1126368587637323E-5</v>
      </c>
      <c r="N30" s="313">
        <f>'2022'!O30</f>
        <v>80375015.050000027</v>
      </c>
      <c r="O30" s="313">
        <f>'2022'!O104</f>
        <v>73749748.834666669</v>
      </c>
      <c r="P30" s="188">
        <f t="shared" si="6"/>
        <v>6625266.2153333575</v>
      </c>
      <c r="Q30" s="190">
        <f t="shared" si="3"/>
        <v>8.9834424116968625E-2</v>
      </c>
      <c r="R30" s="313">
        <f>'2021'!O30</f>
        <v>78428128.920000017</v>
      </c>
      <c r="S30" s="188">
        <f t="shared" si="4"/>
        <v>1946886.1300000101</v>
      </c>
      <c r="T30" s="190">
        <f t="shared" si="5"/>
        <v>2.4823824778300141E-2</v>
      </c>
    </row>
    <row r="31" spans="1:20">
      <c r="A31" s="150">
        <v>411</v>
      </c>
      <c r="B31" s="544" t="str">
        <f>+VLOOKUP($A31,Master!$D$29:$G$225,4,FALSE)</f>
        <v>Bruto zarade i doprinosi na teret poslodavca</v>
      </c>
      <c r="C31" s="545"/>
      <c r="D31" s="545"/>
      <c r="E31" s="545"/>
      <c r="F31" s="545"/>
      <c r="G31" s="163">
        <f>'2022'!S31</f>
        <v>398346398.12</v>
      </c>
      <c r="H31" s="163">
        <f>SUM('2022'!G105:O105)</f>
        <v>406048998.84000003</v>
      </c>
      <c r="I31" s="164">
        <f t="shared" si="0"/>
        <v>-7702600.7200000286</v>
      </c>
      <c r="J31" s="166">
        <f t="shared" si="1"/>
        <v>-1.8969633571329525E-2</v>
      </c>
      <c r="K31" s="163">
        <f>SUM('2021'!G31:O31)</f>
        <v>400951330.80000001</v>
      </c>
      <c r="L31" s="164">
        <f t="shared" si="7"/>
        <v>-2604932.6800000072</v>
      </c>
      <c r="M31" s="166">
        <f t="shared" si="2"/>
        <v>-6.4968799948924572E-3</v>
      </c>
      <c r="N31" s="163">
        <f>'2022'!O31</f>
        <v>44535467.410000011</v>
      </c>
      <c r="O31" s="163">
        <f>'2022'!O105</f>
        <v>45493143.776666671</v>
      </c>
      <c r="P31" s="164">
        <f>+N31-O31</f>
        <v>-957676.36666665971</v>
      </c>
      <c r="Q31" s="166">
        <f>IF(+IF(ISERROR(N31/O31),"…",N31/O31-1)&gt;200%,"...",IF(ISERROR(N31/O31),"…",N31/O31-1))</f>
        <v>-2.1051004330851497E-2</v>
      </c>
      <c r="R31" s="163">
        <f>'2021'!O31</f>
        <v>43464882.57</v>
      </c>
      <c r="S31" s="164">
        <f t="shared" si="4"/>
        <v>1070584.840000011</v>
      </c>
      <c r="T31" s="166">
        <f t="shared" si="5"/>
        <v>2.4631030309948176E-2</v>
      </c>
    </row>
    <row r="32" spans="1:20">
      <c r="A32" s="150">
        <v>412</v>
      </c>
      <c r="B32" s="544" t="str">
        <f>+VLOOKUP($A32,Master!$D$29:$G$225,4,FALSE)</f>
        <v>Ostala lična primanja</v>
      </c>
      <c r="C32" s="545"/>
      <c r="D32" s="545"/>
      <c r="E32" s="545"/>
      <c r="F32" s="545"/>
      <c r="G32" s="163">
        <f>'2022'!S32</f>
        <v>11529556.58</v>
      </c>
      <c r="H32" s="163">
        <f>SUM('2022'!G106:O106)</f>
        <v>10165272.729999999</v>
      </c>
      <c r="I32" s="164">
        <f t="shared" si="0"/>
        <v>1364283.8500000015</v>
      </c>
      <c r="J32" s="166">
        <f t="shared" si="1"/>
        <v>0.13421025546847298</v>
      </c>
      <c r="K32" s="163">
        <f>SUM('2021'!G32:O32)</f>
        <v>6951816.6499999994</v>
      </c>
      <c r="L32" s="164">
        <f t="shared" si="7"/>
        <v>4577739.9300000006</v>
      </c>
      <c r="M32" s="166">
        <f t="shared" si="2"/>
        <v>0.65849549268535457</v>
      </c>
      <c r="N32" s="163">
        <f>'2022'!O32</f>
        <v>1530315.4199999992</v>
      </c>
      <c r="O32" s="163">
        <f>'2022'!O106</f>
        <v>1144213.94</v>
      </c>
      <c r="P32" s="164">
        <f t="shared" si="6"/>
        <v>386101.47999999928</v>
      </c>
      <c r="Q32" s="166">
        <f t="shared" si="3"/>
        <v>0.33743818922534663</v>
      </c>
      <c r="R32" s="163">
        <f>'2021'!O32</f>
        <v>915237.68</v>
      </c>
      <c r="S32" s="164">
        <f t="shared" si="4"/>
        <v>615077.73999999918</v>
      </c>
      <c r="T32" s="166">
        <f t="shared" si="5"/>
        <v>0.6720415400729558</v>
      </c>
    </row>
    <row r="33" spans="1:20">
      <c r="A33" s="150">
        <v>413</v>
      </c>
      <c r="B33" s="544" t="str">
        <f>+VLOOKUP($A33,Master!$D$29:$G$225,4,FALSE)</f>
        <v>Rashodi za materijal</v>
      </c>
      <c r="C33" s="545"/>
      <c r="D33" s="545"/>
      <c r="E33" s="545"/>
      <c r="F33" s="545"/>
      <c r="G33" s="163">
        <f>'2022'!S33</f>
        <v>23499121.369999997</v>
      </c>
      <c r="H33" s="163">
        <f>SUM('2022'!G107:O107)</f>
        <v>23521668.479999997</v>
      </c>
      <c r="I33" s="164">
        <f t="shared" si="0"/>
        <v>-22547.109999999404</v>
      </c>
      <c r="J33" s="166">
        <f t="shared" si="1"/>
        <v>-9.5856762963775211E-4</v>
      </c>
      <c r="K33" s="163">
        <f>SUM('2021'!G33:O33)</f>
        <v>19440563.710000001</v>
      </c>
      <c r="L33" s="164">
        <f t="shared" si="7"/>
        <v>4058557.6599999964</v>
      </c>
      <c r="M33" s="166">
        <f t="shared" si="2"/>
        <v>0.20876748846085791</v>
      </c>
      <c r="N33" s="163">
        <f>'2022'!O33</f>
        <v>2320647.6999999997</v>
      </c>
      <c r="O33" s="163">
        <f>'2022'!O107</f>
        <v>4227180.45</v>
      </c>
      <c r="P33" s="164">
        <f t="shared" si="6"/>
        <v>-1906532.7500000005</v>
      </c>
      <c r="Q33" s="166">
        <f t="shared" si="3"/>
        <v>-0.45101759258940566</v>
      </c>
      <c r="R33" s="163">
        <f>'2021'!O33</f>
        <v>2484211.52</v>
      </c>
      <c r="S33" s="164">
        <f t="shared" si="4"/>
        <v>-163563.8200000003</v>
      </c>
      <c r="T33" s="166">
        <f t="shared" si="5"/>
        <v>-6.5841341883802307E-2</v>
      </c>
    </row>
    <row r="34" spans="1:20">
      <c r="A34" s="150">
        <v>414</v>
      </c>
      <c r="B34" s="544" t="str">
        <f>+VLOOKUP($A34,Master!$D$29:$G$225,4,FALSE)</f>
        <v>Rashodi za usluge</v>
      </c>
      <c r="C34" s="545"/>
      <c r="D34" s="545"/>
      <c r="E34" s="545"/>
      <c r="F34" s="545"/>
      <c r="G34" s="163">
        <f>'2022'!S34</f>
        <v>36002603.68</v>
      </c>
      <c r="H34" s="163">
        <f>SUM('2022'!G108:O108)</f>
        <v>39820065.200000003</v>
      </c>
      <c r="I34" s="164">
        <f t="shared" si="0"/>
        <v>-3817461.5200000033</v>
      </c>
      <c r="J34" s="166">
        <f t="shared" si="1"/>
        <v>-9.5867786775999608E-2</v>
      </c>
      <c r="K34" s="163">
        <f>SUM('2021'!G34:O34)</f>
        <v>37546130.359999999</v>
      </c>
      <c r="L34" s="164">
        <f t="shared" si="7"/>
        <v>-1543526.6799999997</v>
      </c>
      <c r="M34" s="166">
        <f t="shared" si="2"/>
        <v>-4.1110140118311822E-2</v>
      </c>
      <c r="N34" s="163">
        <f>'2022'!O34</f>
        <v>4864568.6500000004</v>
      </c>
      <c r="O34" s="163">
        <f>'2022'!O108</f>
        <v>6165776.4499999974</v>
      </c>
      <c r="P34" s="164">
        <f t="shared" si="6"/>
        <v>-1301207.799999997</v>
      </c>
      <c r="Q34" s="166">
        <f t="shared" si="3"/>
        <v>-0.21103713547707326</v>
      </c>
      <c r="R34" s="163">
        <f>'2021'!O34</f>
        <v>4951424.5199999996</v>
      </c>
      <c r="S34" s="164">
        <f t="shared" si="4"/>
        <v>-86855.86999999918</v>
      </c>
      <c r="T34" s="166">
        <f t="shared" si="5"/>
        <v>-1.7541592252728E-2</v>
      </c>
    </row>
    <row r="35" spans="1:20">
      <c r="A35" s="150">
        <v>415</v>
      </c>
      <c r="B35" s="544" t="str">
        <f>+VLOOKUP($A35,Master!$D$29:$G$225,4,FALSE)</f>
        <v>Rashodi za tekuće održavanje</v>
      </c>
      <c r="C35" s="545"/>
      <c r="D35" s="545"/>
      <c r="E35" s="545"/>
      <c r="F35" s="545"/>
      <c r="G35" s="163">
        <f>'2022'!S35</f>
        <v>14618675.84</v>
      </c>
      <c r="H35" s="163">
        <f>SUM('2022'!G109:O109)</f>
        <v>16855272.210000005</v>
      </c>
      <c r="I35" s="164">
        <f t="shared" si="0"/>
        <v>-2236596.3700000048</v>
      </c>
      <c r="J35" s="166">
        <f t="shared" si="1"/>
        <v>-0.13269417082882007</v>
      </c>
      <c r="K35" s="163">
        <f>SUM('2021'!G35:O35)</f>
        <v>13408691.390000001</v>
      </c>
      <c r="L35" s="164">
        <f t="shared" si="7"/>
        <v>1209984.4499999993</v>
      </c>
      <c r="M35" s="166">
        <f t="shared" si="2"/>
        <v>9.023881710801307E-2</v>
      </c>
      <c r="N35" s="163">
        <f>'2022'!O35</f>
        <v>2940859.11</v>
      </c>
      <c r="O35" s="163">
        <f>'2022'!O109</f>
        <v>2627886.0200000009</v>
      </c>
      <c r="P35" s="164">
        <f t="shared" si="6"/>
        <v>312973.08999999892</v>
      </c>
      <c r="Q35" s="166">
        <f t="shared" si="3"/>
        <v>0.11909690436269327</v>
      </c>
      <c r="R35" s="163">
        <f>'2021'!O35</f>
        <v>2494776.16</v>
      </c>
      <c r="S35" s="164">
        <f t="shared" si="4"/>
        <v>446082.94999999972</v>
      </c>
      <c r="T35" s="166">
        <f t="shared" si="5"/>
        <v>0.1788068032524408</v>
      </c>
    </row>
    <row r="36" spans="1:20">
      <c r="A36" s="150">
        <v>416</v>
      </c>
      <c r="B36" s="544" t="str">
        <f>+VLOOKUP($A36,Master!$D$29:$G$225,4,FALSE)</f>
        <v>Kamate</v>
      </c>
      <c r="C36" s="545"/>
      <c r="D36" s="545"/>
      <c r="E36" s="545"/>
      <c r="F36" s="545"/>
      <c r="G36" s="163">
        <f>'2022'!S36</f>
        <v>57755343.560000002</v>
      </c>
      <c r="H36" s="163">
        <f>SUM('2022'!G110:O110)</f>
        <v>46708391.530000009</v>
      </c>
      <c r="I36" s="164">
        <f t="shared" si="0"/>
        <v>11046952.029999994</v>
      </c>
      <c r="J36" s="166">
        <f t="shared" si="1"/>
        <v>0.23650893700556397</v>
      </c>
      <c r="K36" s="163">
        <f>SUM('2021'!G36:O36)</f>
        <v>79532818.110000014</v>
      </c>
      <c r="L36" s="164">
        <f t="shared" si="7"/>
        <v>-21777474.550000012</v>
      </c>
      <c r="M36" s="166">
        <f t="shared" si="2"/>
        <v>-0.27381746387862282</v>
      </c>
      <c r="N36" s="163">
        <f>'2022'!O36</f>
        <v>13564532.83</v>
      </c>
      <c r="O36" s="163">
        <f>'2022'!O110</f>
        <v>1101986.1700000002</v>
      </c>
      <c r="P36" s="164">
        <f t="shared" si="6"/>
        <v>12462546.66</v>
      </c>
      <c r="Q36" s="166" t="str">
        <f t="shared" si="3"/>
        <v>...</v>
      </c>
      <c r="R36" s="163">
        <f>'2021'!O36</f>
        <v>14251047.82</v>
      </c>
      <c r="S36" s="164">
        <f t="shared" si="4"/>
        <v>-686514.99000000022</v>
      </c>
      <c r="T36" s="166">
        <f t="shared" si="5"/>
        <v>-4.817294831026675E-2</v>
      </c>
    </row>
    <row r="37" spans="1:20">
      <c r="A37" s="150">
        <v>417</v>
      </c>
      <c r="B37" s="544" t="str">
        <f>+VLOOKUP($A37,Master!$D$29:$G$225,4,FALSE)</f>
        <v>Renta</v>
      </c>
      <c r="C37" s="545"/>
      <c r="D37" s="545"/>
      <c r="E37" s="545"/>
      <c r="F37" s="545"/>
      <c r="G37" s="163">
        <f>'2022'!S37</f>
        <v>7547517.6500000022</v>
      </c>
      <c r="H37" s="163">
        <f>SUM('2022'!G111:O111)</f>
        <v>8815820.7299999986</v>
      </c>
      <c r="I37" s="164">
        <f t="shared" si="0"/>
        <v>-1268303.0799999963</v>
      </c>
      <c r="J37" s="166">
        <f t="shared" si="1"/>
        <v>-0.14386670496644693</v>
      </c>
      <c r="K37" s="163">
        <f>SUM('2021'!G37:O37)</f>
        <v>6875664.4600000009</v>
      </c>
      <c r="L37" s="164">
        <f t="shared" si="7"/>
        <v>671853.19000000134</v>
      </c>
      <c r="M37" s="166">
        <f t="shared" si="2"/>
        <v>9.7714656366462815E-2</v>
      </c>
      <c r="N37" s="163">
        <f>'2022'!O37</f>
        <v>1095625.8400000003</v>
      </c>
      <c r="O37" s="163">
        <f>'2022'!O111</f>
        <v>962625.17999999982</v>
      </c>
      <c r="P37" s="164">
        <f t="shared" si="6"/>
        <v>133000.6600000005</v>
      </c>
      <c r="Q37" s="166">
        <f t="shared" si="3"/>
        <v>0.13816453461148859</v>
      </c>
      <c r="R37" s="163">
        <f>'2021'!O37</f>
        <v>1289567.81</v>
      </c>
      <c r="S37" s="164">
        <f t="shared" si="4"/>
        <v>-193941.96999999974</v>
      </c>
      <c r="T37" s="166">
        <f t="shared" si="5"/>
        <v>-0.15039299872102085</v>
      </c>
    </row>
    <row r="38" spans="1:20">
      <c r="A38" s="150">
        <v>418</v>
      </c>
      <c r="B38" s="544" t="str">
        <f>+VLOOKUP($A38,Master!$D$29:$G$225,4,FALSE)</f>
        <v>Subvencije</v>
      </c>
      <c r="C38" s="545"/>
      <c r="D38" s="545"/>
      <c r="E38" s="545"/>
      <c r="F38" s="545"/>
      <c r="G38" s="163">
        <f>'2022'!S38</f>
        <v>35075886.310000002</v>
      </c>
      <c r="H38" s="163">
        <f>SUM('2022'!G112:O112)</f>
        <v>37274360.449999996</v>
      </c>
      <c r="I38" s="164">
        <f t="shared" si="0"/>
        <v>-2198474.1399999931</v>
      </c>
      <c r="J38" s="166">
        <f t="shared" si="1"/>
        <v>-5.8980868174761447E-2</v>
      </c>
      <c r="K38" s="163">
        <f>SUM('2021'!G38:O38)</f>
        <v>25345693.82</v>
      </c>
      <c r="L38" s="164">
        <f t="shared" si="7"/>
        <v>9730192.4900000021</v>
      </c>
      <c r="M38" s="166">
        <f t="shared" si="2"/>
        <v>0.38389923586633157</v>
      </c>
      <c r="N38" s="163">
        <f>'2022'!O38</f>
        <v>6868760.4699999997</v>
      </c>
      <c r="O38" s="163">
        <f>'2022'!O112</f>
        <v>6055944.3200000003</v>
      </c>
      <c r="P38" s="164">
        <f t="shared" si="6"/>
        <v>812816.14999999944</v>
      </c>
      <c r="Q38" s="166">
        <f t="shared" si="3"/>
        <v>0.13421790344333928</v>
      </c>
      <c r="R38" s="163">
        <f>'2021'!O38</f>
        <v>5015730.92</v>
      </c>
      <c r="S38" s="164">
        <f t="shared" si="4"/>
        <v>1853029.5499999998</v>
      </c>
      <c r="T38" s="166">
        <f t="shared" si="5"/>
        <v>0.36944357254316174</v>
      </c>
    </row>
    <row r="39" spans="1:20">
      <c r="A39" s="150">
        <v>419</v>
      </c>
      <c r="B39" s="544" t="str">
        <f>+VLOOKUP($A39,Master!$D$29:$G$225,4,FALSE)</f>
        <v>Ostali izdaci</v>
      </c>
      <c r="C39" s="545"/>
      <c r="D39" s="545"/>
      <c r="E39" s="545"/>
      <c r="F39" s="545"/>
      <c r="G39" s="163">
        <f>'2022'!S39</f>
        <v>27661816.159999993</v>
      </c>
      <c r="H39" s="163">
        <f>SUM('2022'!G113:O113)</f>
        <v>37274531.995999999</v>
      </c>
      <c r="I39" s="164">
        <f t="shared" si="0"/>
        <v>-9612715.8360000066</v>
      </c>
      <c r="J39" s="166">
        <f t="shared" si="1"/>
        <v>-0.25788964532221537</v>
      </c>
      <c r="K39" s="163">
        <f>SUM('2021'!G39:O39)</f>
        <v>22027745.030000001</v>
      </c>
      <c r="L39" s="164">
        <f t="shared" si="7"/>
        <v>5634071.1299999915</v>
      </c>
      <c r="M39" s="166">
        <f t="shared" si="2"/>
        <v>0.25577157908477899</v>
      </c>
      <c r="N39" s="163">
        <f>'2022'!O39</f>
        <v>2654237.6199999996</v>
      </c>
      <c r="O39" s="163">
        <f>'2022'!O113</f>
        <v>5970992.5280000009</v>
      </c>
      <c r="P39" s="164">
        <f t="shared" si="6"/>
        <v>-3316754.9080000012</v>
      </c>
      <c r="Q39" s="166">
        <f t="shared" si="3"/>
        <v>-0.55547798669092563</v>
      </c>
      <c r="R39" s="163">
        <f>'2021'!O39</f>
        <v>3561249.92</v>
      </c>
      <c r="S39" s="164">
        <f t="shared" si="4"/>
        <v>-907012.30000000028</v>
      </c>
      <c r="T39" s="166">
        <f t="shared" si="5"/>
        <v>-0.25468931425065511</v>
      </c>
    </row>
    <row r="40" spans="1:20">
      <c r="A40" s="150">
        <v>42</v>
      </c>
      <c r="B40" s="540" t="str">
        <f>+VLOOKUP($A40,Master!$D$29:$G$225,4,FALSE)</f>
        <v>Transferi za socijalnu zaštitu</v>
      </c>
      <c r="C40" s="541"/>
      <c r="D40" s="541"/>
      <c r="E40" s="541"/>
      <c r="F40" s="541"/>
      <c r="G40" s="193">
        <f>'2022'!S40</f>
        <v>462243598.31999999</v>
      </c>
      <c r="H40" s="193">
        <f>SUM('2022'!G114:O114)</f>
        <v>481544844.23750001</v>
      </c>
      <c r="I40" s="194">
        <f t="shared" si="0"/>
        <v>-19301245.917500019</v>
      </c>
      <c r="J40" s="196">
        <f t="shared" si="1"/>
        <v>-4.0081928294886993E-2</v>
      </c>
      <c r="K40" s="193">
        <f>SUM('2021'!G40:O40)</f>
        <v>422331123.44999987</v>
      </c>
      <c r="L40" s="194">
        <f t="shared" si="7"/>
        <v>39912474.870000124</v>
      </c>
      <c r="M40" s="196">
        <f t="shared" si="2"/>
        <v>9.450517059684671E-2</v>
      </c>
      <c r="N40" s="193">
        <f>'2022'!O40</f>
        <v>55114295.500000015</v>
      </c>
      <c r="O40" s="193">
        <f>'2022'!O114</f>
        <v>54859133.86416667</v>
      </c>
      <c r="P40" s="194">
        <f t="shared" si="6"/>
        <v>255161.63583334535</v>
      </c>
      <c r="Q40" s="196">
        <f t="shared" si="3"/>
        <v>4.6512151734865448E-3</v>
      </c>
      <c r="R40" s="193">
        <f>'2021'!O40</f>
        <v>47346058.890000001</v>
      </c>
      <c r="S40" s="194">
        <f t="shared" si="4"/>
        <v>7768236.6100000143</v>
      </c>
      <c r="T40" s="196">
        <f t="shared" si="5"/>
        <v>0.16407356371621362</v>
      </c>
    </row>
    <row r="41" spans="1:20">
      <c r="A41" s="150">
        <v>421</v>
      </c>
      <c r="B41" s="544" t="str">
        <f>+VLOOKUP($A41,Master!$D$29:$G$225,4,FALSE)</f>
        <v>Prava iz oblasti socijalne zaštite</v>
      </c>
      <c r="C41" s="545"/>
      <c r="D41" s="545"/>
      <c r="E41" s="545"/>
      <c r="F41" s="545"/>
      <c r="G41" s="163">
        <f>'2022'!S41</f>
        <v>93607068.489999995</v>
      </c>
      <c r="H41" s="163">
        <f>SUM('2022'!G115:O115)</f>
        <v>97645000.120000005</v>
      </c>
      <c r="I41" s="164">
        <f t="shared" si="0"/>
        <v>-4037931.6300000101</v>
      </c>
      <c r="J41" s="166">
        <f t="shared" si="1"/>
        <v>-4.1353183727150689E-2</v>
      </c>
      <c r="K41" s="163">
        <f>SUM('2021'!G41:O41)</f>
        <v>60873295.140000001</v>
      </c>
      <c r="L41" s="164">
        <f t="shared" si="7"/>
        <v>32733773.349999994</v>
      </c>
      <c r="M41" s="166">
        <f t="shared" si="2"/>
        <v>0.53773618258576161</v>
      </c>
      <c r="N41" s="163">
        <f>'2022'!O41</f>
        <v>12319371.459999999</v>
      </c>
      <c r="O41" s="163">
        <f>'2022'!O115</f>
        <v>11938333.346666668</v>
      </c>
      <c r="P41" s="164">
        <f t="shared" si="6"/>
        <v>381038.11333333142</v>
      </c>
      <c r="Q41" s="166">
        <f t="shared" si="3"/>
        <v>3.1917194994368403E-2</v>
      </c>
      <c r="R41" s="163">
        <f>'2021'!O41</f>
        <v>7012911.9400000004</v>
      </c>
      <c r="S41" s="164">
        <f t="shared" si="4"/>
        <v>5306459.5199999986</v>
      </c>
      <c r="T41" s="166">
        <f t="shared" si="5"/>
        <v>0.75666992048384363</v>
      </c>
    </row>
    <row r="42" spans="1:20">
      <c r="A42" s="150">
        <v>422</v>
      </c>
      <c r="B42" s="544" t="str">
        <f>+VLOOKUP($A42,Master!$D$29:$G$225,4,FALSE)</f>
        <v>Sredstva za tehnološke viškove</v>
      </c>
      <c r="C42" s="545"/>
      <c r="D42" s="545"/>
      <c r="E42" s="545"/>
      <c r="F42" s="545"/>
      <c r="G42" s="163">
        <f>'2022'!S42</f>
        <v>18566241.739999998</v>
      </c>
      <c r="H42" s="163">
        <f>SUM('2022'!G116:O116)</f>
        <v>21829639.469999999</v>
      </c>
      <c r="I42" s="164">
        <f t="shared" si="0"/>
        <v>-3263397.7300000004</v>
      </c>
      <c r="J42" s="166">
        <f t="shared" si="1"/>
        <v>-0.14949389038169036</v>
      </c>
      <c r="K42" s="163">
        <f>SUM('2021'!G42:O42)</f>
        <v>16588610.18</v>
      </c>
      <c r="L42" s="164">
        <f t="shared" si="7"/>
        <v>1977631.5599999987</v>
      </c>
      <c r="M42" s="166">
        <f t="shared" si="2"/>
        <v>0.11921622960218348</v>
      </c>
      <c r="N42" s="163">
        <f>'2022'!O42</f>
        <v>2177499.94</v>
      </c>
      <c r="O42" s="163">
        <f>'2022'!O116</f>
        <v>2291666.67</v>
      </c>
      <c r="P42" s="164">
        <f t="shared" si="6"/>
        <v>-114166.72999999998</v>
      </c>
      <c r="Q42" s="166">
        <f t="shared" si="3"/>
        <v>-4.981820938208259E-2</v>
      </c>
      <c r="R42" s="163">
        <f>'2021'!O42</f>
        <v>1946279.26</v>
      </c>
      <c r="S42" s="164">
        <f t="shared" si="4"/>
        <v>231220.67999999993</v>
      </c>
      <c r="T42" s="166">
        <f t="shared" si="5"/>
        <v>0.11880138927236983</v>
      </c>
    </row>
    <row r="43" spans="1:20">
      <c r="A43" s="150">
        <v>423</v>
      </c>
      <c r="B43" s="544" t="str">
        <f>+VLOOKUP($A43,Master!$D$29:$G$225,4,FALSE)</f>
        <v>Prava iz oblasti penzijskog i invalidskog osiguranja</v>
      </c>
      <c r="C43" s="545"/>
      <c r="D43" s="545"/>
      <c r="E43" s="545"/>
      <c r="F43" s="545"/>
      <c r="G43" s="163">
        <f>'2022'!S43</f>
        <v>330805649.11999995</v>
      </c>
      <c r="H43" s="163">
        <f>SUM('2022'!G117:O117)</f>
        <v>342262204.62750006</v>
      </c>
      <c r="I43" s="164">
        <f t="shared" si="0"/>
        <v>-11456555.507500112</v>
      </c>
      <c r="J43" s="166">
        <f t="shared" si="1"/>
        <v>-3.3473037199561073E-2</v>
      </c>
      <c r="K43" s="163">
        <f>SUM('2021'!G43:O43)</f>
        <v>323490509.56</v>
      </c>
      <c r="L43" s="164">
        <f t="shared" si="7"/>
        <v>7315139.5599999428</v>
      </c>
      <c r="M43" s="166">
        <f t="shared" si="2"/>
        <v>2.2613150444350749E-2</v>
      </c>
      <c r="N43" s="163">
        <f>'2022'!O43</f>
        <v>38038058.110000014</v>
      </c>
      <c r="O43" s="163">
        <f>'2022'!O117</f>
        <v>38029133.847500004</v>
      </c>
      <c r="P43" s="164">
        <f t="shared" si="6"/>
        <v>8924.2625000104308</v>
      </c>
      <c r="Q43" s="166">
        <f t="shared" si="3"/>
        <v>2.34669097008533E-4</v>
      </c>
      <c r="R43" s="163">
        <f>'2021'!O43</f>
        <v>35868624.289999999</v>
      </c>
      <c r="S43" s="164">
        <f t="shared" si="4"/>
        <v>2169433.8200000152</v>
      </c>
      <c r="T43" s="166">
        <f t="shared" si="5"/>
        <v>6.0482771863788587E-2</v>
      </c>
    </row>
    <row r="44" spans="1:20">
      <c r="A44" s="150">
        <v>424</v>
      </c>
      <c r="B44" s="544" t="str">
        <f>+VLOOKUP($A44,Master!$D$29:$G$225,4,FALSE)</f>
        <v>Ostala prava iz oblasti zdravstvene zaštite</v>
      </c>
      <c r="C44" s="545"/>
      <c r="D44" s="545"/>
      <c r="E44" s="545"/>
      <c r="F44" s="545"/>
      <c r="G44" s="163">
        <f>'2022'!S44</f>
        <v>10589448.380000001</v>
      </c>
      <c r="H44" s="163">
        <f>SUM('2022'!G118:O118)</f>
        <v>11076000</v>
      </c>
      <c r="I44" s="164">
        <f t="shared" si="0"/>
        <v>-486551.61999999918</v>
      </c>
      <c r="J44" s="166">
        <f t="shared" si="1"/>
        <v>-4.3928459732755387E-2</v>
      </c>
      <c r="K44" s="163">
        <f>SUM('2021'!G44:O44)</f>
        <v>13588227.629999999</v>
      </c>
      <c r="L44" s="164">
        <f t="shared" si="7"/>
        <v>-2998779.2499999981</v>
      </c>
      <c r="M44" s="166">
        <f t="shared" si="2"/>
        <v>-0.22068950650924579</v>
      </c>
      <c r="N44" s="163">
        <f>'2022'!O44</f>
        <v>1292962.81</v>
      </c>
      <c r="O44" s="163">
        <f>'2022'!O118</f>
        <v>1420000</v>
      </c>
      <c r="P44" s="164">
        <f t="shared" si="6"/>
        <v>-127037.18999999994</v>
      </c>
      <c r="Q44" s="166">
        <f t="shared" si="3"/>
        <v>-8.946280985915489E-2</v>
      </c>
      <c r="R44" s="163">
        <f>'2021'!O44</f>
        <v>1755810.82</v>
      </c>
      <c r="S44" s="164">
        <f t="shared" si="4"/>
        <v>-462848.01</v>
      </c>
      <c r="T44" s="166">
        <f t="shared" si="5"/>
        <v>-0.26360927084388286</v>
      </c>
    </row>
    <row r="45" spans="1:20">
      <c r="A45" s="150">
        <v>425</v>
      </c>
      <c r="B45" s="544" t="str">
        <f>+VLOOKUP($A45,Master!$D$29:$G$225,4,FALSE)</f>
        <v>Ostala prava iz zdravstvenog osiguranja</v>
      </c>
      <c r="C45" s="545"/>
      <c r="D45" s="545"/>
      <c r="E45" s="545"/>
      <c r="F45" s="545"/>
      <c r="G45" s="163">
        <f>'2022'!S45</f>
        <v>8675190.5899999999</v>
      </c>
      <c r="H45" s="163">
        <f>SUM('2022'!G119:O119)</f>
        <v>8732000.0199999996</v>
      </c>
      <c r="I45" s="164">
        <f t="shared" si="0"/>
        <v>-56809.429999999702</v>
      </c>
      <c r="J45" s="166">
        <f t="shared" si="1"/>
        <v>-6.5058898156071798E-3</v>
      </c>
      <c r="K45" s="163">
        <f>SUM('2021'!G45:O45)</f>
        <v>7790480.9400000004</v>
      </c>
      <c r="L45" s="164">
        <f t="shared" si="7"/>
        <v>884709.64999999944</v>
      </c>
      <c r="M45" s="166">
        <f t="shared" si="2"/>
        <v>0.11356290539875191</v>
      </c>
      <c r="N45" s="163">
        <f>'2022'!O45</f>
        <v>1286403.18</v>
      </c>
      <c r="O45" s="163">
        <f>'2022'!O119</f>
        <v>1180000</v>
      </c>
      <c r="P45" s="164">
        <f t="shared" si="6"/>
        <v>106403.17999999993</v>
      </c>
      <c r="Q45" s="166">
        <f t="shared" si="3"/>
        <v>9.0172186440677926E-2</v>
      </c>
      <c r="R45" s="163">
        <f>'2021'!O45</f>
        <v>762432.58</v>
      </c>
      <c r="S45" s="164">
        <f t="shared" si="4"/>
        <v>523970.6</v>
      </c>
      <c r="T45" s="166">
        <f t="shared" si="5"/>
        <v>0.68723532249894159</v>
      </c>
    </row>
    <row r="46" spans="1:20">
      <c r="A46" s="150">
        <v>43</v>
      </c>
      <c r="B46" s="542" t="str">
        <f>+VLOOKUP($A46,Master!$D$29:$G$225,4,FALSE)</f>
        <v xml:space="preserve">Transferi institucijama, pojedincima, nevladinom i javnom sektoru </v>
      </c>
      <c r="C46" s="543"/>
      <c r="D46" s="543"/>
      <c r="E46" s="543"/>
      <c r="F46" s="543"/>
      <c r="G46" s="175">
        <f>'2022'!S46</f>
        <v>203307955.65000001</v>
      </c>
      <c r="H46" s="175">
        <f>SUM('2022'!G120:O120)</f>
        <v>203913044.59000003</v>
      </c>
      <c r="I46" s="176">
        <f t="shared" si="0"/>
        <v>-605088.94000002742</v>
      </c>
      <c r="J46" s="178">
        <f t="shared" si="1"/>
        <v>-2.9673871096214111E-3</v>
      </c>
      <c r="K46" s="175">
        <f>SUM('2021'!G46:O46)</f>
        <v>180106589.40000001</v>
      </c>
      <c r="L46" s="176">
        <f t="shared" si="7"/>
        <v>23201366.25</v>
      </c>
      <c r="M46" s="178">
        <f t="shared" si="2"/>
        <v>0.12882019656966537</v>
      </c>
      <c r="N46" s="175">
        <f>'2022'!O46</f>
        <v>29318367.349999998</v>
      </c>
      <c r="O46" s="175">
        <f>'2022'!O120</f>
        <v>24411188.830000002</v>
      </c>
      <c r="P46" s="176">
        <f t="shared" si="6"/>
        <v>4907178.5199999958</v>
      </c>
      <c r="Q46" s="178">
        <f t="shared" si="3"/>
        <v>0.20102169354281285</v>
      </c>
      <c r="R46" s="175">
        <f>'2021'!O46</f>
        <v>26541391.52</v>
      </c>
      <c r="S46" s="176">
        <f t="shared" si="4"/>
        <v>2776975.8299999982</v>
      </c>
      <c r="T46" s="178">
        <f t="shared" si="5"/>
        <v>0.10462811747859702</v>
      </c>
    </row>
    <row r="47" spans="1:20">
      <c r="A47" s="150">
        <v>44</v>
      </c>
      <c r="B47" s="542" t="str">
        <f>+VLOOKUP($A47,Master!$D$29:$G$225,4,FALSE)</f>
        <v>Kapitalni izdaci</v>
      </c>
      <c r="C47" s="543"/>
      <c r="D47" s="543"/>
      <c r="E47" s="543"/>
      <c r="F47" s="543"/>
      <c r="G47" s="175">
        <f>'2022'!S47</f>
        <v>152243433.88999999</v>
      </c>
      <c r="H47" s="175">
        <f>SUM('2022'!G121:O121)</f>
        <v>187756719.70000002</v>
      </c>
      <c r="I47" s="176">
        <f t="shared" si="0"/>
        <v>-35513285.810000032</v>
      </c>
      <c r="J47" s="178">
        <f t="shared" si="1"/>
        <v>-0.189145218699728</v>
      </c>
      <c r="K47" s="175">
        <f>SUM('2021'!G47:O47)</f>
        <v>107755958.25</v>
      </c>
      <c r="L47" s="176">
        <f t="shared" si="7"/>
        <v>44487475.639999986</v>
      </c>
      <c r="M47" s="178">
        <f t="shared" si="2"/>
        <v>0.41285397450400363</v>
      </c>
      <c r="N47" s="175">
        <f>'2022'!O47</f>
        <v>16121479.17</v>
      </c>
      <c r="O47" s="175">
        <f>'2022'!O121</f>
        <v>22458179.949999999</v>
      </c>
      <c r="P47" s="176">
        <f t="shared" si="6"/>
        <v>-6336700.7799999993</v>
      </c>
      <c r="Q47" s="178">
        <f t="shared" si="3"/>
        <v>-0.28215557957536086</v>
      </c>
      <c r="R47" s="175">
        <f>'2021'!O47</f>
        <v>24684802.260000002</v>
      </c>
      <c r="S47" s="176">
        <f t="shared" si="4"/>
        <v>-8563323.0900000017</v>
      </c>
      <c r="T47" s="178">
        <f t="shared" si="5"/>
        <v>-0.34690669180997524</v>
      </c>
    </row>
    <row r="48" spans="1:20">
      <c r="A48" s="150">
        <v>451</v>
      </c>
      <c r="B48" s="512" t="str">
        <f>+VLOOKUP($A48,Master!$D$29:$G$225,4,FALSE)</f>
        <v>Pozajmice i krediti</v>
      </c>
      <c r="C48" s="513"/>
      <c r="D48" s="513"/>
      <c r="E48" s="513"/>
      <c r="F48" s="513"/>
      <c r="G48" s="163">
        <f>'2022'!S48</f>
        <v>814104</v>
      </c>
      <c r="H48" s="163">
        <f>SUM('2022'!G122:O122)</f>
        <v>984667.35999999987</v>
      </c>
      <c r="I48" s="164">
        <f>G48-H48</f>
        <v>-170563.35999999987</v>
      </c>
      <c r="J48" s="282">
        <f t="shared" si="1"/>
        <v>-0.17321926868785398</v>
      </c>
      <c r="K48" s="163">
        <f>SUM('2021'!G48:O48)</f>
        <v>828780</v>
      </c>
      <c r="L48" s="279">
        <f t="shared" si="7"/>
        <v>-14676</v>
      </c>
      <c r="M48" s="282">
        <f t="shared" si="2"/>
        <v>-1.7707956273076086E-2</v>
      </c>
      <c r="N48" s="163">
        <f>'2022'!O48</f>
        <v>0</v>
      </c>
      <c r="O48" s="163">
        <f>'2022'!O122</f>
        <v>2000.08</v>
      </c>
      <c r="P48" s="164">
        <f t="shared" si="6"/>
        <v>-2000.08</v>
      </c>
      <c r="Q48" s="282">
        <f t="shared" si="3"/>
        <v>-1</v>
      </c>
      <c r="R48" s="163">
        <f>'2021'!O48</f>
        <v>0</v>
      </c>
      <c r="S48" s="279">
        <f>+N48-R48-S58</f>
        <v>0</v>
      </c>
      <c r="T48" s="282" t="str">
        <f t="shared" si="5"/>
        <v>...</v>
      </c>
    </row>
    <row r="49" spans="1:23">
      <c r="A49" s="150">
        <v>47</v>
      </c>
      <c r="B49" s="512" t="str">
        <f>+VLOOKUP($A49,Master!$D$29:$G$225,4,FALSE)</f>
        <v>Rezerve</v>
      </c>
      <c r="C49" s="513"/>
      <c r="D49" s="513"/>
      <c r="E49" s="513"/>
      <c r="F49" s="513"/>
      <c r="G49" s="163">
        <f>'2022'!S49</f>
        <v>32635220.849999998</v>
      </c>
      <c r="H49" s="163">
        <f>SUM('2022'!G123:O123)</f>
        <v>33721176.800000004</v>
      </c>
      <c r="I49" s="164">
        <f t="shared" ref="I49:I50" si="8">G49-H49</f>
        <v>-1085955.9500000067</v>
      </c>
      <c r="J49" s="283">
        <f t="shared" si="1"/>
        <v>-3.2203975455566192E-2</v>
      </c>
      <c r="K49" s="163">
        <f>SUM('2021'!G49:O49)</f>
        <v>57756336.199999996</v>
      </c>
      <c r="L49" s="280">
        <f t="shared" si="7"/>
        <v>-25121115.349999998</v>
      </c>
      <c r="M49" s="283">
        <f t="shared" si="2"/>
        <v>-0.43494994666922793</v>
      </c>
      <c r="N49" s="163">
        <f>'2022'!O49</f>
        <v>20100803.789999999</v>
      </c>
      <c r="O49" s="163">
        <f>'2022'!O123</f>
        <v>6744235.3600000003</v>
      </c>
      <c r="P49" s="164">
        <f t="shared" si="6"/>
        <v>13356568.43</v>
      </c>
      <c r="Q49" s="283">
        <f t="shared" si="3"/>
        <v>1.9804422172478864</v>
      </c>
      <c r="R49" s="163">
        <f>'2021'!O49</f>
        <v>862178.99</v>
      </c>
      <c r="S49" s="280">
        <f t="shared" si="4"/>
        <v>19238624.800000001</v>
      </c>
      <c r="T49" s="283" t="str">
        <f t="shared" si="5"/>
        <v>...</v>
      </c>
      <c r="W49" s="344"/>
    </row>
    <row r="50" spans="1:23" ht="15.75" thickBot="1">
      <c r="A50" s="150">
        <v>462</v>
      </c>
      <c r="B50" s="530" t="str">
        <f>+VLOOKUP($A50,Master!$D$29:$G$225,4,FALSE)</f>
        <v>Otplata garancija</v>
      </c>
      <c r="C50" s="531"/>
      <c r="D50" s="531"/>
      <c r="E50" s="531"/>
      <c r="F50" s="531"/>
      <c r="G50" s="163">
        <f>'2022'!S50</f>
        <v>500000</v>
      </c>
      <c r="H50" s="163">
        <f>SUM('2022'!G124:O124)</f>
        <v>0</v>
      </c>
      <c r="I50" s="164">
        <f t="shared" si="8"/>
        <v>500000</v>
      </c>
      <c r="J50" s="284" t="str">
        <f t="shared" si="1"/>
        <v>...</v>
      </c>
      <c r="K50" s="163">
        <f>SUM('2021'!G50:O50)</f>
        <v>7711252.0800000001</v>
      </c>
      <c r="L50" s="280">
        <f t="shared" si="7"/>
        <v>-7211252.0800000001</v>
      </c>
      <c r="M50" s="284">
        <f t="shared" si="2"/>
        <v>-0.93515968680406569</v>
      </c>
      <c r="N50" s="163">
        <f>'2022'!O50</f>
        <v>0</v>
      </c>
      <c r="O50" s="163">
        <f>'2022'!O124</f>
        <v>0</v>
      </c>
      <c r="P50" s="164">
        <f t="shared" si="6"/>
        <v>0</v>
      </c>
      <c r="Q50" s="284" t="str">
        <f t="shared" si="3"/>
        <v>...</v>
      </c>
      <c r="R50" s="163">
        <f>'2021'!O50</f>
        <v>0</v>
      </c>
      <c r="S50" s="280">
        <f t="shared" si="4"/>
        <v>0</v>
      </c>
      <c r="T50" s="284" t="str">
        <f t="shared" si="5"/>
        <v>...</v>
      </c>
    </row>
    <row r="51" spans="1:23" ht="15" customHeight="1" thickBot="1">
      <c r="A51" s="144">
        <v>4630</v>
      </c>
      <c r="B51" s="530" t="str">
        <f>+VLOOKUP($A51,Master!$D$29:$G$225,4,FALSE)</f>
        <v>Otplata obaveza iz prethodnog perioda</v>
      </c>
      <c r="C51" s="531"/>
      <c r="D51" s="531"/>
      <c r="E51" s="531"/>
      <c r="F51" s="531"/>
      <c r="G51" s="314">
        <f>'2022'!S51</f>
        <v>31468157.319999993</v>
      </c>
      <c r="H51" s="314">
        <f>SUM('2022'!G125:O125)</f>
        <v>31386283.940000031</v>
      </c>
      <c r="I51" s="281">
        <f>G51-H51</f>
        <v>81873.379999961704</v>
      </c>
      <c r="J51" s="285">
        <f t="shared" si="1"/>
        <v>2.6085719531652174E-3</v>
      </c>
      <c r="K51" s="314">
        <f>SUM('2021'!G51:O51)</f>
        <v>21058118.710000001</v>
      </c>
      <c r="L51" s="287">
        <f t="shared" si="7"/>
        <v>10410038.609999992</v>
      </c>
      <c r="M51" s="285">
        <f t="shared" si="2"/>
        <v>0.49434798774576727</v>
      </c>
      <c r="N51" s="314">
        <f>'2022'!O51</f>
        <v>1107049.1300000001</v>
      </c>
      <c r="O51" s="314">
        <f>'2022'!O125</f>
        <v>1656073.6600000036</v>
      </c>
      <c r="P51" s="281">
        <f>N51-O51</f>
        <v>-549024.53000000352</v>
      </c>
      <c r="Q51" s="285">
        <f t="shared" si="3"/>
        <v>-0.33152180561823696</v>
      </c>
      <c r="R51" s="314">
        <f>'2021'!O51</f>
        <v>977597.05</v>
      </c>
      <c r="S51" s="287">
        <f>+N51-R51</f>
        <v>129452.08000000007</v>
      </c>
      <c r="T51" s="285">
        <f t="shared" si="5"/>
        <v>0.13241864835823725</v>
      </c>
    </row>
    <row r="52" spans="1:23" ht="15.75" thickBot="1">
      <c r="A52" s="144">
        <v>1005</v>
      </c>
      <c r="B52" s="530" t="str">
        <f>+VLOOKUP($A52,Master!$D$29:$G$227,4,FALSE)</f>
        <v>Neto povećanje obaveza</v>
      </c>
      <c r="C52" s="531"/>
      <c r="D52" s="531"/>
      <c r="E52" s="531"/>
      <c r="F52" s="531"/>
      <c r="G52" s="163">
        <f>'2022'!S52</f>
        <v>0</v>
      </c>
      <c r="H52" s="163">
        <f>SUM('2022'!G126:O126)</f>
        <v>0</v>
      </c>
      <c r="I52" s="281">
        <f>G52-H52</f>
        <v>0</v>
      </c>
      <c r="J52" s="285" t="str">
        <f t="shared" si="1"/>
        <v>...</v>
      </c>
      <c r="K52" s="163">
        <f>SUM('2021'!G52:O52)</f>
        <v>0</v>
      </c>
      <c r="L52" s="287">
        <f t="shared" si="7"/>
        <v>0</v>
      </c>
      <c r="M52" s="285" t="str">
        <f t="shared" si="2"/>
        <v>...</v>
      </c>
      <c r="N52" s="163">
        <f>'2022'!O52</f>
        <v>0</v>
      </c>
      <c r="O52" s="163">
        <f>'2022'!O126</f>
        <v>0</v>
      </c>
      <c r="P52" s="281">
        <f>N52-O52</f>
        <v>0</v>
      </c>
      <c r="Q52" s="285" t="str">
        <f t="shared" si="3"/>
        <v>...</v>
      </c>
      <c r="R52" s="163">
        <f>'2021'!O52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36" t="str">
        <f>+VLOOKUP($A53,Master!$D$29:$G$225,4,FALSE)</f>
        <v>Suficit / deficit</v>
      </c>
      <c r="C53" s="537"/>
      <c r="D53" s="537"/>
      <c r="E53" s="537"/>
      <c r="F53" s="537"/>
      <c r="G53" s="151">
        <f>'2022'!S53</f>
        <v>-35972201.889999986</v>
      </c>
      <c r="H53" s="151">
        <f>SUM('2022'!G127:O127)</f>
        <v>-176101581.50960812</v>
      </c>
      <c r="I53" s="320">
        <f>+G53-H53</f>
        <v>140129379.61960813</v>
      </c>
      <c r="J53" s="286">
        <f t="shared" si="1"/>
        <v>-0.79573038707754407</v>
      </c>
      <c r="K53" s="151">
        <f>SUM('2021'!G53:O53)</f>
        <v>-65270691.660000011</v>
      </c>
      <c r="L53" s="288">
        <f t="shared" si="7"/>
        <v>29298489.770000026</v>
      </c>
      <c r="M53" s="286">
        <f t="shared" si="2"/>
        <v>-0.44887665543086452</v>
      </c>
      <c r="N53" s="151">
        <f>'2022'!O53</f>
        <v>-26533203.960000038</v>
      </c>
      <c r="O53" s="151">
        <f>'2022'!O127</f>
        <v>-10560627.115862072</v>
      </c>
      <c r="P53" s="320">
        <f>N53-O53</f>
        <v>-15972576.844137967</v>
      </c>
      <c r="Q53" s="286">
        <f t="shared" si="3"/>
        <v>1.5124648061995432</v>
      </c>
      <c r="R53" s="151">
        <f>'2021'!O53</f>
        <v>-6769565.7300000191</v>
      </c>
      <c r="S53" s="288">
        <f t="shared" si="4"/>
        <v>-19763638.230000019</v>
      </c>
      <c r="T53" s="286" t="str">
        <f t="shared" si="5"/>
        <v>...</v>
      </c>
    </row>
    <row r="54" spans="1:23" ht="15.75" thickBot="1">
      <c r="A54" s="144">
        <v>1001</v>
      </c>
      <c r="B54" s="538" t="str">
        <f>+VLOOKUP($A54,Master!$D$29:$G$225,4,FALSE)</f>
        <v>Primarni suficit/deficit</v>
      </c>
      <c r="C54" s="539"/>
      <c r="D54" s="539"/>
      <c r="E54" s="539"/>
      <c r="F54" s="539"/>
      <c r="G54" s="151">
        <f>'2022'!S54</f>
        <v>21783141.670000009</v>
      </c>
      <c r="H54" s="151">
        <f>SUM('2022'!G128:O128)</f>
        <v>-129393189.9796081</v>
      </c>
      <c r="I54" s="206">
        <f t="shared" si="0"/>
        <v>151176331.64960811</v>
      </c>
      <c r="J54" s="208">
        <f t="shared" si="1"/>
        <v>-1.168348439925107</v>
      </c>
      <c r="K54" s="151">
        <f>SUM('2021'!G54:O54)</f>
        <v>14262126.450000018</v>
      </c>
      <c r="L54" s="206">
        <f t="shared" si="7"/>
        <v>7521015.2199999914</v>
      </c>
      <c r="M54" s="208">
        <f t="shared" si="2"/>
        <v>0.52734178499728435</v>
      </c>
      <c r="N54" s="151">
        <f>'2022'!O54</f>
        <v>-12968671.130000038</v>
      </c>
      <c r="O54" s="151">
        <f>'2022'!O128</f>
        <v>-9458640.9458620716</v>
      </c>
      <c r="P54" s="206">
        <f t="shared" si="6"/>
        <v>-3510030.1841379665</v>
      </c>
      <c r="Q54" s="208">
        <f t="shared" si="3"/>
        <v>0.37109244385405282</v>
      </c>
      <c r="R54" s="151">
        <f>'2021'!O54</f>
        <v>7481482.0899999812</v>
      </c>
      <c r="S54" s="206">
        <f t="shared" si="4"/>
        <v>-20450153.220000021</v>
      </c>
      <c r="T54" s="208">
        <f t="shared" si="5"/>
        <v>-2.7334360991566671</v>
      </c>
    </row>
    <row r="55" spans="1:23">
      <c r="A55" s="144">
        <v>46</v>
      </c>
      <c r="B55" s="560" t="str">
        <f>+VLOOKUP($A55,Master!$D$29:$G$225,4,FALSE)</f>
        <v>Otplata dugova</v>
      </c>
      <c r="C55" s="561"/>
      <c r="D55" s="561"/>
      <c r="E55" s="561"/>
      <c r="F55" s="561"/>
      <c r="G55" s="491">
        <f>'2022'!S55</f>
        <v>216900723.29000002</v>
      </c>
      <c r="H55" s="491">
        <f>SUM('2022'!G129:O129)</f>
        <v>214163590.73999998</v>
      </c>
      <c r="I55" s="492">
        <f t="shared" si="0"/>
        <v>2737132.5500000417</v>
      </c>
      <c r="J55" s="493">
        <f t="shared" si="1"/>
        <v>1.2780569005881981E-2</v>
      </c>
      <c r="K55" s="491">
        <f>SUM('2021'!G55:O55)</f>
        <v>400229648.79000002</v>
      </c>
      <c r="L55" s="492">
        <f t="shared" si="7"/>
        <v>-183328925.5</v>
      </c>
      <c r="M55" s="493">
        <f t="shared" si="2"/>
        <v>-0.4580593318217473</v>
      </c>
      <c r="N55" s="491">
        <f>'2022'!O55</f>
        <v>10059315</v>
      </c>
      <c r="O55" s="491">
        <f>'2022'!O129</f>
        <v>18107036.029999997</v>
      </c>
      <c r="P55" s="492">
        <f t="shared" si="6"/>
        <v>-8047721.0299999975</v>
      </c>
      <c r="Q55" s="493">
        <f t="shared" si="3"/>
        <v>-0.44445269875568905</v>
      </c>
      <c r="R55" s="491">
        <f>'2021'!O55</f>
        <v>11336186.489999998</v>
      </c>
      <c r="S55" s="492">
        <f t="shared" si="4"/>
        <v>-1276871.4899999984</v>
      </c>
      <c r="T55" s="493">
        <f t="shared" si="5"/>
        <v>-0.11263677526180138</v>
      </c>
    </row>
    <row r="56" spans="1:23">
      <c r="A56" s="144">
        <v>4611</v>
      </c>
      <c r="B56" s="512" t="str">
        <f>+VLOOKUP($A56,Master!$D$29:$G$225,4,FALSE)</f>
        <v>Otplata hartija od vrijednosti i kredita rezidentima</v>
      </c>
      <c r="C56" s="513"/>
      <c r="D56" s="513"/>
      <c r="E56" s="513"/>
      <c r="F56" s="513"/>
      <c r="G56" s="163">
        <f>'2022'!S56</f>
        <v>27517322.629999995</v>
      </c>
      <c r="H56" s="163">
        <f>SUM('2022'!G130:O130)</f>
        <v>25731227.509999998</v>
      </c>
      <c r="I56" s="212">
        <f t="shared" si="0"/>
        <v>1786095.1199999973</v>
      </c>
      <c r="J56" s="214">
        <f t="shared" si="1"/>
        <v>6.9413521733693528E-2</v>
      </c>
      <c r="K56" s="163">
        <f>SUM('2021'!G56:O56)</f>
        <v>70336811.780000001</v>
      </c>
      <c r="L56" s="212">
        <f t="shared" si="7"/>
        <v>-42819489.150000006</v>
      </c>
      <c r="M56" s="214">
        <f t="shared" si="2"/>
        <v>-0.60877779453426351</v>
      </c>
      <c r="N56" s="163">
        <f>'2022'!O56</f>
        <v>722146.47000000009</v>
      </c>
      <c r="O56" s="163">
        <f>'2022'!O130</f>
        <v>719748.70000000007</v>
      </c>
      <c r="P56" s="212">
        <f t="shared" si="6"/>
        <v>2397.7700000000186</v>
      </c>
      <c r="Q56" s="214">
        <f t="shared" si="3"/>
        <v>3.3313988618528523E-3</v>
      </c>
      <c r="R56" s="163">
        <f>'2021'!O56</f>
        <v>2421267.87</v>
      </c>
      <c r="S56" s="212">
        <f t="shared" si="4"/>
        <v>-1699121.4</v>
      </c>
      <c r="T56" s="214">
        <f t="shared" si="5"/>
        <v>-0.7017486256074591</v>
      </c>
    </row>
    <row r="57" spans="1:23">
      <c r="A57" s="144">
        <v>4612</v>
      </c>
      <c r="B57" s="512" t="str">
        <f>+VLOOKUP($A57,Master!$D$29:$G$225,4,FALSE)</f>
        <v>Otplata hartija od vrijednosti i kredita nerezidentima</v>
      </c>
      <c r="C57" s="513"/>
      <c r="D57" s="513"/>
      <c r="E57" s="513"/>
      <c r="F57" s="513"/>
      <c r="G57" s="163">
        <f>'2022'!S57</f>
        <v>189383400.66</v>
      </c>
      <c r="H57" s="163">
        <f>SUM('2022'!G131:O131)</f>
        <v>188432363.23000002</v>
      </c>
      <c r="I57" s="212">
        <f t="shared" si="0"/>
        <v>951037.42999997735</v>
      </c>
      <c r="J57" s="214">
        <f t="shared" si="1"/>
        <v>5.0471023856935027E-3</v>
      </c>
      <c r="K57" s="163">
        <f>SUM('2021'!G57:O57)</f>
        <v>329892837.00999999</v>
      </c>
      <c r="L57" s="212">
        <f t="shared" si="7"/>
        <v>-140509436.34999999</v>
      </c>
      <c r="M57" s="214">
        <f t="shared" si="2"/>
        <v>-0.4259244839127585</v>
      </c>
      <c r="N57" s="163">
        <f>'2022'!O57</f>
        <v>9337168.5299999993</v>
      </c>
      <c r="O57" s="163">
        <f>'2022'!O131</f>
        <v>17387287.329999998</v>
      </c>
      <c r="P57" s="212">
        <f t="shared" si="6"/>
        <v>-8050118.7999999989</v>
      </c>
      <c r="Q57" s="214">
        <f t="shared" si="3"/>
        <v>-0.46298877146352424</v>
      </c>
      <c r="R57" s="163">
        <f>'2021'!O57</f>
        <v>8914918.6199999992</v>
      </c>
      <c r="S57" s="212">
        <f t="shared" si="4"/>
        <v>422249.91000000015</v>
      </c>
      <c r="T57" s="214">
        <f t="shared" si="5"/>
        <v>4.7364415537424209E-2</v>
      </c>
    </row>
    <row r="58" spans="1:23" ht="15.75" thickBot="1">
      <c r="A58" s="144">
        <v>4418</v>
      </c>
      <c r="B58" s="540" t="str">
        <f>+VLOOKUP($A58,Master!$D$29:$G$225,4,FALSE)</f>
        <v>Izdaci za kupovinu hartija od vrijednosti</v>
      </c>
      <c r="C58" s="541"/>
      <c r="D58" s="541"/>
      <c r="E58" s="541"/>
      <c r="F58" s="541"/>
      <c r="G58" s="335">
        <f>'2022'!S58</f>
        <v>0</v>
      </c>
      <c r="H58" s="335">
        <f>SUM('2022'!G132:O132)</f>
        <v>440950.0199999999</v>
      </c>
      <c r="I58" s="336">
        <f t="shared" ref="I58:I64" si="9">+G58-H58</f>
        <v>-440950.0199999999</v>
      </c>
      <c r="J58" s="337">
        <f t="shared" si="1"/>
        <v>-1</v>
      </c>
      <c r="K58" s="335">
        <f>SUM('2021'!G58:O58)</f>
        <v>0</v>
      </c>
      <c r="L58" s="336">
        <f t="shared" ref="L58:L64" si="10">+G58-K58</f>
        <v>0</v>
      </c>
      <c r="M58" s="337" t="str">
        <f t="shared" si="2"/>
        <v>...</v>
      </c>
      <c r="N58" s="335">
        <f>'2022'!O58</f>
        <v>0</v>
      </c>
      <c r="O58" s="335">
        <f>'2022'!O132</f>
        <v>55226.659999999996</v>
      </c>
      <c r="P58" s="336">
        <f t="shared" ref="P58:P64" si="11">+N58-O58</f>
        <v>-55226.659999999996</v>
      </c>
      <c r="Q58" s="337">
        <f t="shared" si="3"/>
        <v>-1</v>
      </c>
      <c r="R58" s="335">
        <f>'2021'!O58</f>
        <v>0</v>
      </c>
      <c r="S58" s="336">
        <f t="shared" ref="S58:S64" si="12">+N58-R58</f>
        <v>0</v>
      </c>
      <c r="T58" s="337" t="str">
        <f t="shared" si="5"/>
        <v>...</v>
      </c>
    </row>
    <row r="59" spans="1:23" ht="15.75" thickBot="1">
      <c r="A59" s="144">
        <v>1002</v>
      </c>
      <c r="B59" s="532" t="str">
        <f>+VLOOKUP($A59,Master!$D$29:$G$225,4,FALSE)</f>
        <v>Nedostajuća sredstva</v>
      </c>
      <c r="C59" s="533"/>
      <c r="D59" s="533"/>
      <c r="E59" s="533"/>
      <c r="F59" s="533"/>
      <c r="G59" s="319">
        <f>'2022'!S59</f>
        <v>-252872925.17999998</v>
      </c>
      <c r="H59" s="319">
        <f>SUM('2022'!G133:O133)</f>
        <v>-390706122.26960808</v>
      </c>
      <c r="I59" s="321">
        <f t="shared" si="9"/>
        <v>137833197.0896081</v>
      </c>
      <c r="J59" s="322">
        <f t="shared" si="1"/>
        <v>-0.35277972172265026</v>
      </c>
      <c r="K59" s="319">
        <f>SUM('2021'!G59:O59)</f>
        <v>-465500340.45000005</v>
      </c>
      <c r="L59" s="321">
        <f t="shared" si="10"/>
        <v>212627415.27000007</v>
      </c>
      <c r="M59" s="322">
        <f t="shared" si="2"/>
        <v>-0.45677177177669248</v>
      </c>
      <c r="N59" s="319">
        <f>'2022'!O59</f>
        <v>-36592518.960000038</v>
      </c>
      <c r="O59" s="319">
        <f>'2022'!O133</f>
        <v>-28722889.805862069</v>
      </c>
      <c r="P59" s="321">
        <f t="shared" si="11"/>
        <v>-7869629.154137969</v>
      </c>
      <c r="Q59" s="322">
        <f t="shared" si="3"/>
        <v>0.27398458885330723</v>
      </c>
      <c r="R59" s="319">
        <f>'2021'!O59</f>
        <v>-18105752.220000017</v>
      </c>
      <c r="S59" s="321">
        <f t="shared" si="12"/>
        <v>-18486766.740000021</v>
      </c>
      <c r="T59" s="322">
        <f t="shared" si="5"/>
        <v>1.0210438381885689</v>
      </c>
    </row>
    <row r="60" spans="1:23" ht="15.75" thickBot="1">
      <c r="A60" s="144">
        <v>1003</v>
      </c>
      <c r="B60" s="534" t="str">
        <f>+VLOOKUP($A60,Master!$D$29:$G$225,4,FALSE)</f>
        <v>Finansiranje</v>
      </c>
      <c r="C60" s="535"/>
      <c r="D60" s="535"/>
      <c r="E60" s="535"/>
      <c r="F60" s="535"/>
      <c r="G60" s="151">
        <f>'2022'!S60</f>
        <v>252872925.17999998</v>
      </c>
      <c r="H60" s="151">
        <f>SUM('2022'!G134:O134)</f>
        <v>390706122.26960808</v>
      </c>
      <c r="I60" s="320">
        <f t="shared" si="9"/>
        <v>-137833197.0896081</v>
      </c>
      <c r="J60" s="323">
        <f t="shared" si="1"/>
        <v>-0.35277972172265026</v>
      </c>
      <c r="K60" s="151">
        <f>SUM('2021'!G60:O60)</f>
        <v>465500340.45000005</v>
      </c>
      <c r="L60" s="320">
        <f t="shared" si="10"/>
        <v>-212627415.27000007</v>
      </c>
      <c r="M60" s="323">
        <f t="shared" si="2"/>
        <v>-0.45677177177669248</v>
      </c>
      <c r="N60" s="151">
        <f>'2022'!O60</f>
        <v>36592518.960000038</v>
      </c>
      <c r="O60" s="151">
        <f>'2022'!O134</f>
        <v>28722889.805862069</v>
      </c>
      <c r="P60" s="320">
        <f t="shared" si="11"/>
        <v>7869629.154137969</v>
      </c>
      <c r="Q60" s="323">
        <f t="shared" si="3"/>
        <v>0.27398458885330723</v>
      </c>
      <c r="R60" s="151">
        <f>'2021'!O60</f>
        <v>18105752.220000017</v>
      </c>
      <c r="S60" s="320">
        <f t="shared" si="12"/>
        <v>18486766.740000021</v>
      </c>
      <c r="T60" s="323">
        <f t="shared" si="5"/>
        <v>1.0210438381885689</v>
      </c>
    </row>
    <row r="61" spans="1:23">
      <c r="A61" s="144">
        <v>7511</v>
      </c>
      <c r="B61" s="528" t="str">
        <f>+VLOOKUP($A61,Master!$D$29:$G$225,4,FALSE)</f>
        <v>Pozajmice i krediti od domaćih izvora</v>
      </c>
      <c r="C61" s="529"/>
      <c r="D61" s="529"/>
      <c r="E61" s="529"/>
      <c r="F61" s="529"/>
      <c r="G61" s="483">
        <f>'2022'!S61</f>
        <v>0</v>
      </c>
      <c r="H61" s="483">
        <f>SUM('2022'!G135:O135)</f>
        <v>0</v>
      </c>
      <c r="I61" s="212">
        <f t="shared" si="9"/>
        <v>0</v>
      </c>
      <c r="J61" s="214" t="str">
        <f t="shared" si="1"/>
        <v>...</v>
      </c>
      <c r="K61" s="483">
        <f>SUM('2021'!G61:O61)</f>
        <v>0</v>
      </c>
      <c r="L61" s="212">
        <f t="shared" si="10"/>
        <v>0</v>
      </c>
      <c r="M61" s="214" t="str">
        <f t="shared" si="2"/>
        <v>...</v>
      </c>
      <c r="N61" s="483">
        <f>'2022'!O61</f>
        <v>0</v>
      </c>
      <c r="O61" s="483">
        <f>'2022'!O135</f>
        <v>0</v>
      </c>
      <c r="P61" s="212">
        <f t="shared" si="11"/>
        <v>0</v>
      </c>
      <c r="Q61" s="214" t="str">
        <f t="shared" si="3"/>
        <v>...</v>
      </c>
      <c r="R61" s="483">
        <f>'2021'!O61</f>
        <v>0</v>
      </c>
      <c r="S61" s="212">
        <f t="shared" si="12"/>
        <v>0</v>
      </c>
      <c r="T61" s="214" t="str">
        <f t="shared" si="5"/>
        <v>...</v>
      </c>
    </row>
    <row r="62" spans="1:23">
      <c r="A62" s="144">
        <v>7512</v>
      </c>
      <c r="B62" s="512" t="str">
        <f>+VLOOKUP($A62,Master!$D$29:$G$225,4,FALSE)</f>
        <v>Pozajmice i krediti od inostranih izvora</v>
      </c>
      <c r="C62" s="513"/>
      <c r="D62" s="513"/>
      <c r="E62" s="513"/>
      <c r="F62" s="513"/>
      <c r="G62" s="163">
        <f>'2022'!S62</f>
        <v>65741415.029999994</v>
      </c>
      <c r="H62" s="163">
        <f>SUM('2022'!G136:O136)</f>
        <v>156376815.24800003</v>
      </c>
      <c r="I62" s="212">
        <f t="shared" si="9"/>
        <v>-90635400.218000025</v>
      </c>
      <c r="J62" s="214">
        <f t="shared" si="1"/>
        <v>-0.57959615096560302</v>
      </c>
      <c r="K62" s="163">
        <f>SUM('2021'!G62:O62)</f>
        <v>85330122.430000007</v>
      </c>
      <c r="L62" s="212">
        <f t="shared" si="10"/>
        <v>-19588707.400000013</v>
      </c>
      <c r="M62" s="214">
        <f t="shared" si="2"/>
        <v>-0.22956380281851207</v>
      </c>
      <c r="N62" s="163">
        <f>'2022'!O62</f>
        <v>290187.59999999998</v>
      </c>
      <c r="O62" s="163">
        <f>'2022'!O136</f>
        <v>66982329.472000003</v>
      </c>
      <c r="P62" s="212">
        <f t="shared" si="11"/>
        <v>-66692141.872000001</v>
      </c>
      <c r="Q62" s="214">
        <f t="shared" si="3"/>
        <v>-0.99566769919339237</v>
      </c>
      <c r="R62" s="163">
        <f>'2021'!O62</f>
        <v>7472230.3099999996</v>
      </c>
      <c r="S62" s="212">
        <f t="shared" si="12"/>
        <v>-7182042.71</v>
      </c>
      <c r="T62" s="214">
        <f t="shared" si="5"/>
        <v>-0.96116452679307207</v>
      </c>
    </row>
    <row r="63" spans="1:23">
      <c r="A63" s="144">
        <v>72</v>
      </c>
      <c r="B63" s="512" t="str">
        <f>+VLOOKUP($A63,Master!$D$29:$G$225,4,FALSE)</f>
        <v>Primici od prodaje imovine</v>
      </c>
      <c r="C63" s="513"/>
      <c r="D63" s="513"/>
      <c r="E63" s="513"/>
      <c r="F63" s="513"/>
      <c r="G63" s="163">
        <f>'2022'!S63</f>
        <v>3358050.84</v>
      </c>
      <c r="H63" s="163">
        <f>SUM('2022'!G137:O137)</f>
        <v>4500000</v>
      </c>
      <c r="I63" s="212">
        <f t="shared" si="9"/>
        <v>-1141949.1600000001</v>
      </c>
      <c r="J63" s="214">
        <f t="shared" si="1"/>
        <v>-0.25376648000000002</v>
      </c>
      <c r="K63" s="163">
        <f>SUM('2021'!G63:O63)</f>
        <v>1236923.0100000002</v>
      </c>
      <c r="L63" s="212">
        <f t="shared" si="10"/>
        <v>2121127.8299999996</v>
      </c>
      <c r="M63" s="214">
        <f t="shared" si="2"/>
        <v>1.7148422439000459</v>
      </c>
      <c r="N63" s="163">
        <f>'2022'!O63</f>
        <v>651689.59</v>
      </c>
      <c r="O63" s="163">
        <f>'2022'!O137</f>
        <v>500000</v>
      </c>
      <c r="P63" s="212">
        <f t="shared" si="11"/>
        <v>151689.58999999997</v>
      </c>
      <c r="Q63" s="214">
        <f t="shared" si="3"/>
        <v>0.30337917999999986</v>
      </c>
      <c r="R63" s="163">
        <f>'2021'!O63</f>
        <v>176272.14</v>
      </c>
      <c r="S63" s="212">
        <f t="shared" si="12"/>
        <v>475417.44999999995</v>
      </c>
      <c r="T63" s="214" t="str">
        <f t="shared" si="5"/>
        <v>...</v>
      </c>
    </row>
    <row r="64" spans="1:23" ht="15.7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317">
        <f>'2022'!S64</f>
        <v>183773459.30999997</v>
      </c>
      <c r="H64" s="317">
        <f>SUM('2022'!G138:O138)</f>
        <v>229829307.02160817</v>
      </c>
      <c r="I64" s="226">
        <f t="shared" si="9"/>
        <v>-46055847.711608201</v>
      </c>
      <c r="J64" s="228">
        <f t="shared" si="1"/>
        <v>-0.20039153538968857</v>
      </c>
      <c r="K64" s="317">
        <f>SUM('2021'!G64:O64)</f>
        <v>378933295.01000005</v>
      </c>
      <c r="L64" s="226">
        <f t="shared" si="10"/>
        <v>-195159835.70000008</v>
      </c>
      <c r="M64" s="228">
        <f t="shared" si="2"/>
        <v>-0.51502424904322486</v>
      </c>
      <c r="N64" s="317">
        <f>'2022'!O64</f>
        <v>35650641.770000041</v>
      </c>
      <c r="O64" s="317">
        <f>'2022'!O138</f>
        <v>-38759439.666137934</v>
      </c>
      <c r="P64" s="226">
        <f t="shared" si="11"/>
        <v>74410081.436137974</v>
      </c>
      <c r="Q64" s="228">
        <f t="shared" si="3"/>
        <v>-1.9197924964107806</v>
      </c>
      <c r="R64" s="317">
        <f>'2021'!O64</f>
        <v>10457249.770000018</v>
      </c>
      <c r="S64" s="226">
        <f t="shared" si="12"/>
        <v>25193392.000000022</v>
      </c>
      <c r="T64" s="228" t="str">
        <f t="shared" si="5"/>
        <v>...</v>
      </c>
    </row>
    <row r="65" spans="6:18">
      <c r="G65" s="290"/>
    </row>
    <row r="66" spans="6:18">
      <c r="G66" s="5"/>
    </row>
    <row r="67" spans="6:18">
      <c r="F67" s="290"/>
      <c r="G67" s="5"/>
      <c r="H67" s="290"/>
      <c r="N67" s="501"/>
    </row>
    <row r="68" spans="6:18">
      <c r="G68" s="5"/>
    </row>
    <row r="69" spans="6:18">
      <c r="G69" s="5"/>
      <c r="R69" s="345"/>
    </row>
    <row r="70" spans="6:18">
      <c r="G70" s="5"/>
    </row>
  </sheetData>
  <sheetProtection algorithmName="SHA-512" hashValue="XHAWLXYB0jWy23YyCJi0h3zd2e86cTkwqWRTkLwFpbQ352gwUu1u0z658JWf/lGSGBZn2xfdqhcJxP0wEJK44g==" saltValue="s+Oeu2ukGsUHNnCAw62CpQ==" spinCount="100000" sheet="1" objects="1" scenarios="1"/>
  <customSheetViews>
    <customSheetView guid="{59E4E612-301A-4B15-B14A-FF0442744080}" scale="85" fitToPage="1">
      <pane ySplit="5" topLeftCell="A6" activePane="bottomLeft" state="frozen"/>
      <selection pane="bottomLeft" activeCell="L10" sqref="L10"/>
      <pageMargins left="0.11811023622047245" right="0.11811023622047245" top="0.19685039370078741" bottom="0.19685039370078741" header="0.31496062992125984" footer="0.31496062992125984"/>
      <pageSetup paperSize="9" scale="40" orientation="portrait" horizontalDpi="4294967294" verticalDpi="4294967294" r:id="rId1"/>
    </customSheetView>
  </customSheetViews>
  <mergeCells count="61"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9"/>
    <mergeCell ref="G7:M7"/>
    <mergeCell ref="N7:T7"/>
    <mergeCell ref="I8:J8"/>
    <mergeCell ref="L8:M8"/>
    <mergeCell ref="P8:Q8"/>
    <mergeCell ref="S8:T8"/>
  </mergeCells>
  <pageMargins left="0.11811023622047245" right="0.11811023622047245" top="0.19685039370078741" bottom="0.19685039370078741" header="0.31496062992125984" footer="0.31496062992125984"/>
  <pageSetup paperSize="9" scale="40" orientation="portrait" horizontalDpi="4294967294" verticalDpi="4294967294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5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6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46"/>
  <sheetViews>
    <sheetView zoomScaleNormal="100" workbookViewId="0">
      <pane ySplit="1" topLeftCell="A2" activePane="bottomLeft" state="frozen"/>
      <selection pane="bottomLeft" activeCell="E5" sqref="E5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7" width="12.28515625" style="258" bestFit="1" customWidth="1"/>
    <col min="8" max="9" width="10.7109375" style="258" customWidth="1"/>
    <col min="10" max="10" width="14.42578125" style="258" customWidth="1"/>
    <col min="11" max="11" width="10.7109375" style="258" customWidth="1"/>
    <col min="12" max="12" width="12.28515625" style="258" bestFit="1" customWidth="1"/>
    <col min="13" max="14" width="10.7109375" style="258" customWidth="1"/>
    <col min="15" max="16" width="12.28515625" style="258" bestFit="1" customWidth="1"/>
    <col min="17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500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500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500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828</v>
      </c>
      <c r="H6" s="234" t="s">
        <v>829</v>
      </c>
      <c r="I6" s="234" t="s">
        <v>830</v>
      </c>
      <c r="J6" s="234" t="s">
        <v>831</v>
      </c>
      <c r="K6" s="234" t="s">
        <v>832</v>
      </c>
      <c r="L6" s="234" t="s">
        <v>833</v>
      </c>
      <c r="M6" s="234" t="s">
        <v>834</v>
      </c>
      <c r="N6" s="234" t="s">
        <v>835</v>
      </c>
      <c r="O6" s="234" t="s">
        <v>836</v>
      </c>
      <c r="P6" s="234" t="s">
        <v>837</v>
      </c>
      <c r="Q6" s="234" t="s">
        <v>838</v>
      </c>
      <c r="R6" s="234" t="s">
        <v>839</v>
      </c>
      <c r="S6" s="233"/>
      <c r="T6" s="233"/>
    </row>
    <row r="7" spans="1:20" ht="15" customHeight="1" thickBot="1">
      <c r="A7" s="144"/>
      <c r="B7" s="615" t="str">
        <f>+Master!G251</f>
        <v>Ostvarenje budžeta</v>
      </c>
      <c r="C7" s="515"/>
      <c r="D7" s="515"/>
      <c r="E7" s="515"/>
      <c r="F7" s="515"/>
      <c r="G7" s="523">
        <v>2022</v>
      </c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7"/>
      <c r="S7" s="235" t="str">
        <f>+Master!G248</f>
        <v>BDP</v>
      </c>
      <c r="T7" s="236">
        <v>5306400000</v>
      </c>
    </row>
    <row r="8" spans="1:20" ht="16.5" customHeight="1">
      <c r="A8" s="144"/>
      <c r="B8" s="516"/>
      <c r="C8" s="517"/>
      <c r="D8" s="517"/>
      <c r="E8" s="517"/>
      <c r="F8" s="518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23" t="str">
        <f>+Master!G246</f>
        <v>Jan - Dec</v>
      </c>
      <c r="T8" s="527"/>
    </row>
    <row r="9" spans="1:20" ht="13.5" thickBot="1">
      <c r="A9" s="144"/>
      <c r="B9" s="519"/>
      <c r="C9" s="520"/>
      <c r="D9" s="520"/>
      <c r="E9" s="520"/>
      <c r="F9" s="521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56" t="str">
        <f>+VLOOKUP($A10,Master!$D$29:$G$225,4,FALSE)</f>
        <v>Prihodi budžeta</v>
      </c>
      <c r="C10" s="557"/>
      <c r="D10" s="557"/>
      <c r="E10" s="557"/>
      <c r="F10" s="557"/>
      <c r="G10" s="151">
        <f>+G11+G19+SUM(G24:G28)</f>
        <v>107832260.09</v>
      </c>
      <c r="H10" s="151">
        <f t="shared" ref="H10:R10" si="1">+H11+H19+SUM(H24:H28)</f>
        <v>124649774.65000001</v>
      </c>
      <c r="I10" s="151">
        <f t="shared" si="1"/>
        <v>184180987.21000001</v>
      </c>
      <c r="J10" s="151">
        <f t="shared" si="1"/>
        <v>181957324.32000002</v>
      </c>
      <c r="K10" s="151">
        <f t="shared" si="1"/>
        <v>154730235.27000001</v>
      </c>
      <c r="L10" s="151">
        <f t="shared" si="1"/>
        <v>169061326.09000003</v>
      </c>
      <c r="M10" s="151">
        <f t="shared" si="1"/>
        <v>165802775.70999998</v>
      </c>
      <c r="N10" s="151">
        <f t="shared" si="1"/>
        <v>195458698.03999996</v>
      </c>
      <c r="O10" s="151">
        <f t="shared" si="1"/>
        <v>175603806.03</v>
      </c>
      <c r="P10" s="151">
        <f t="shared" si="1"/>
        <v>0</v>
      </c>
      <c r="Q10" s="151">
        <f t="shared" si="1"/>
        <v>0</v>
      </c>
      <c r="R10" s="151">
        <f t="shared" si="1"/>
        <v>0</v>
      </c>
      <c r="S10" s="239">
        <f>+SUM(G10:R10)</f>
        <v>1459277187.4100001</v>
      </c>
      <c r="T10" s="462">
        <f>+S10/$T$7*100</f>
        <v>27.500323899630637</v>
      </c>
    </row>
    <row r="11" spans="1:20">
      <c r="A11" s="150">
        <v>711</v>
      </c>
      <c r="B11" s="558" t="str">
        <f>+VLOOKUP($A11,Master!$D$29:$G$225,4,FALSE)</f>
        <v>Porezi</v>
      </c>
      <c r="C11" s="559"/>
      <c r="D11" s="559"/>
      <c r="E11" s="559"/>
      <c r="F11" s="559"/>
      <c r="G11" s="157">
        <f t="shared" ref="G11:R11" si="2">+SUM(G12:G18)</f>
        <v>80559495.530000001</v>
      </c>
      <c r="H11" s="157">
        <f t="shared" si="2"/>
        <v>83215985.099999994</v>
      </c>
      <c r="I11" s="157">
        <f t="shared" si="2"/>
        <v>136363333.32000002</v>
      </c>
      <c r="J11" s="157">
        <f t="shared" si="2"/>
        <v>133978505.54000001</v>
      </c>
      <c r="K11" s="157">
        <f t="shared" si="2"/>
        <v>112630389.3</v>
      </c>
      <c r="L11" s="157">
        <f>+SUM(L12:L18)</f>
        <v>115551273.18000002</v>
      </c>
      <c r="M11" s="157">
        <f t="shared" si="2"/>
        <v>118591394.48</v>
      </c>
      <c r="N11" s="157">
        <f t="shared" si="2"/>
        <v>138239036.15999997</v>
      </c>
      <c r="O11" s="157">
        <f t="shared" si="2"/>
        <v>121261181.33999999</v>
      </c>
      <c r="P11" s="157">
        <f t="shared" si="2"/>
        <v>0</v>
      </c>
      <c r="Q11" s="157">
        <f t="shared" si="2"/>
        <v>0</v>
      </c>
      <c r="R11" s="240">
        <f t="shared" si="2"/>
        <v>0</v>
      </c>
      <c r="S11" s="241">
        <f>+SUM(G11:R11)</f>
        <v>1040390593.9500002</v>
      </c>
      <c r="T11" s="463">
        <f t="shared" ref="T11:T64" si="3">+S11/$T$7*100</f>
        <v>19.606335631501587</v>
      </c>
    </row>
    <row r="12" spans="1:20">
      <c r="A12" s="150">
        <v>7111</v>
      </c>
      <c r="B12" s="544" t="str">
        <f>+VLOOKUP($A12,Master!$D$29:$G$225,4,FALSE)</f>
        <v>Porez na dohodak fizičkih lica</v>
      </c>
      <c r="C12" s="545"/>
      <c r="D12" s="545"/>
      <c r="E12" s="545"/>
      <c r="F12" s="545"/>
      <c r="G12" s="163">
        <v>6139790.5700000003</v>
      </c>
      <c r="H12" s="163">
        <v>7672775.8099999996</v>
      </c>
      <c r="I12" s="163">
        <v>6664350.6399999997</v>
      </c>
      <c r="J12" s="163">
        <v>8050769.3899999997</v>
      </c>
      <c r="K12" s="163">
        <v>8176244.7699999996</v>
      </c>
      <c r="L12" s="163">
        <v>7322347.5800000001</v>
      </c>
      <c r="M12" s="163">
        <v>8156090.4900000002</v>
      </c>
      <c r="N12" s="163">
        <v>7377958</v>
      </c>
      <c r="O12" s="163">
        <v>5598868.9900000002</v>
      </c>
      <c r="P12" s="163">
        <v>0</v>
      </c>
      <c r="Q12" s="163">
        <v>0</v>
      </c>
      <c r="R12" s="163">
        <v>0</v>
      </c>
      <c r="S12" s="242">
        <f t="shared" ref="S12:S63" si="4">+SUM(G12:R12)</f>
        <v>65159196.240000002</v>
      </c>
      <c r="T12" s="464">
        <f t="shared" si="3"/>
        <v>1.2279360063319766</v>
      </c>
    </row>
    <row r="13" spans="1:20">
      <c r="A13" s="150">
        <v>7112</v>
      </c>
      <c r="B13" s="544" t="str">
        <f>+VLOOKUP($A13,Master!$D$29:$G$225,4,FALSE)</f>
        <v>Porez na dobit pravnih lica</v>
      </c>
      <c r="C13" s="545"/>
      <c r="D13" s="545"/>
      <c r="E13" s="545"/>
      <c r="F13" s="545"/>
      <c r="G13" s="163">
        <v>395935.5</v>
      </c>
      <c r="H13" s="163">
        <v>2173083.29</v>
      </c>
      <c r="I13" s="163">
        <v>38679260.32</v>
      </c>
      <c r="J13" s="163">
        <v>28771681.68</v>
      </c>
      <c r="K13" s="163">
        <v>2149499.0699999998</v>
      </c>
      <c r="L13" s="163">
        <v>3024620.31</v>
      </c>
      <c r="M13" s="163">
        <v>1873254.93</v>
      </c>
      <c r="N13" s="163">
        <v>2349199.71</v>
      </c>
      <c r="O13" s="163">
        <v>2622669.34</v>
      </c>
      <c r="P13" s="163">
        <v>0</v>
      </c>
      <c r="Q13" s="163">
        <v>0</v>
      </c>
      <c r="R13" s="163">
        <v>0</v>
      </c>
      <c r="S13" s="242">
        <f t="shared" si="4"/>
        <v>82039204.149999991</v>
      </c>
      <c r="T13" s="464">
        <f t="shared" si="3"/>
        <v>1.5460425929066786</v>
      </c>
    </row>
    <row r="14" spans="1:20">
      <c r="A14" s="150">
        <v>7113</v>
      </c>
      <c r="B14" s="544" t="str">
        <f>+VLOOKUP($A14,Master!$D$29:$G$225,4,FALSE)</f>
        <v>Porez na promet nepokretnosti</v>
      </c>
      <c r="C14" s="545"/>
      <c r="D14" s="545"/>
      <c r="E14" s="545"/>
      <c r="F14" s="545"/>
      <c r="G14" s="163">
        <v>146340.34</v>
      </c>
      <c r="H14" s="163">
        <v>168193.65</v>
      </c>
      <c r="I14" s="163">
        <v>233459.66</v>
      </c>
      <c r="J14" s="163">
        <v>245580.28</v>
      </c>
      <c r="K14" s="163">
        <v>189584.64000000001</v>
      </c>
      <c r="L14" s="163">
        <v>263126.03999999998</v>
      </c>
      <c r="M14" s="163">
        <v>180172.4</v>
      </c>
      <c r="N14" s="163">
        <v>55084.76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1481541.77</v>
      </c>
      <c r="T14" s="464">
        <f t="shared" si="3"/>
        <v>2.7919903701191014E-2</v>
      </c>
    </row>
    <row r="15" spans="1:20">
      <c r="A15" s="150">
        <v>7114</v>
      </c>
      <c r="B15" s="544" t="str">
        <f>+VLOOKUP($A15,Master!$D$29:$G$225,4,FALSE)</f>
        <v>Porez na dodatu vrijednost</v>
      </c>
      <c r="C15" s="545"/>
      <c r="D15" s="545"/>
      <c r="E15" s="545"/>
      <c r="F15" s="545"/>
      <c r="G15" s="163">
        <v>50270008.859999999</v>
      </c>
      <c r="H15" s="163">
        <v>54121445.459999993</v>
      </c>
      <c r="I15" s="163">
        <v>67019753.909999996</v>
      </c>
      <c r="J15" s="163">
        <v>73487462.640000001</v>
      </c>
      <c r="K15" s="163">
        <v>76474660.090000004</v>
      </c>
      <c r="L15" s="163">
        <v>79678383.590000004</v>
      </c>
      <c r="M15" s="163">
        <v>83883709.770000011</v>
      </c>
      <c r="N15" s="163">
        <v>95638013.599999994</v>
      </c>
      <c r="O15" s="163">
        <v>84609670.859999999</v>
      </c>
      <c r="P15" s="163">
        <v>0</v>
      </c>
      <c r="Q15" s="163">
        <v>0</v>
      </c>
      <c r="R15" s="163">
        <v>0</v>
      </c>
      <c r="S15" s="242">
        <f t="shared" si="4"/>
        <v>665183108.78000009</v>
      </c>
      <c r="T15" s="464">
        <f t="shared" si="3"/>
        <v>12.535487501507614</v>
      </c>
    </row>
    <row r="16" spans="1:20">
      <c r="A16" s="150">
        <v>7115</v>
      </c>
      <c r="B16" s="544" t="str">
        <f>+VLOOKUP($A16,Master!$D$29:$G$225,4,FALSE)</f>
        <v>Akcize</v>
      </c>
      <c r="C16" s="545"/>
      <c r="D16" s="545"/>
      <c r="E16" s="545"/>
      <c r="F16" s="545"/>
      <c r="G16" s="163">
        <v>21096875.200000003</v>
      </c>
      <c r="H16" s="163">
        <v>16062530.34</v>
      </c>
      <c r="I16" s="163">
        <v>19528829.140000001</v>
      </c>
      <c r="J16" s="163">
        <v>19259652.579999998</v>
      </c>
      <c r="K16" s="163">
        <v>21309575.899999999</v>
      </c>
      <c r="L16" s="163">
        <v>20484664.210000001</v>
      </c>
      <c r="M16" s="163">
        <v>19630528.800000001</v>
      </c>
      <c r="N16" s="163">
        <v>27418018.539999999</v>
      </c>
      <c r="O16" s="163">
        <v>23606498.559999999</v>
      </c>
      <c r="P16" s="163">
        <v>0</v>
      </c>
      <c r="Q16" s="163">
        <v>0</v>
      </c>
      <c r="R16" s="163">
        <v>0</v>
      </c>
      <c r="S16" s="242">
        <f t="shared" si="4"/>
        <v>188397173.27000001</v>
      </c>
      <c r="T16" s="464">
        <f t="shared" si="3"/>
        <v>3.5503763996306352</v>
      </c>
    </row>
    <row r="17" spans="1:23">
      <c r="A17" s="150">
        <v>7116</v>
      </c>
      <c r="B17" s="544" t="str">
        <f>+VLOOKUP($A17,Master!$D$29:$G$225,4,FALSE)</f>
        <v>Porez na međunarodnu trgovinu i transakcije</v>
      </c>
      <c r="C17" s="545"/>
      <c r="D17" s="545"/>
      <c r="E17" s="545"/>
      <c r="F17" s="545"/>
      <c r="G17" s="163">
        <v>1689510.83</v>
      </c>
      <c r="H17" s="163">
        <v>2149003.6</v>
      </c>
      <c r="I17" s="163">
        <v>3284454.25</v>
      </c>
      <c r="J17" s="163">
        <v>3111315.33</v>
      </c>
      <c r="K17" s="163">
        <v>3394780.34</v>
      </c>
      <c r="L17" s="163">
        <v>3720198.33</v>
      </c>
      <c r="M17" s="163">
        <v>3648629.78</v>
      </c>
      <c r="N17" s="163">
        <v>4253554.42</v>
      </c>
      <c r="O17" s="163">
        <v>3769936.82</v>
      </c>
      <c r="P17" s="163">
        <v>0</v>
      </c>
      <c r="Q17" s="163">
        <v>0</v>
      </c>
      <c r="R17" s="163">
        <v>0</v>
      </c>
      <c r="S17" s="242">
        <f t="shared" si="4"/>
        <v>29021383.700000003</v>
      </c>
      <c r="T17" s="464">
        <f t="shared" si="3"/>
        <v>0.54691285428916037</v>
      </c>
    </row>
    <row r="18" spans="1:23">
      <c r="A18" s="150">
        <v>7118</v>
      </c>
      <c r="B18" s="544" t="str">
        <f>+VLOOKUP($A18,Master!$D$29:$G$225,4,FALSE)</f>
        <v>Ostali državni porezi</v>
      </c>
      <c r="C18" s="545"/>
      <c r="D18" s="545"/>
      <c r="E18" s="545"/>
      <c r="F18" s="545"/>
      <c r="G18" s="163">
        <v>821034.23</v>
      </c>
      <c r="H18" s="163">
        <v>868952.95</v>
      </c>
      <c r="I18" s="163">
        <v>953225.39999999991</v>
      </c>
      <c r="J18" s="163">
        <v>1052043.6399999999</v>
      </c>
      <c r="K18" s="163">
        <v>936044.49</v>
      </c>
      <c r="L18" s="163">
        <v>1057933.1200000001</v>
      </c>
      <c r="M18" s="163">
        <v>1219008.31</v>
      </c>
      <c r="N18" s="163">
        <v>1147207.1300000001</v>
      </c>
      <c r="O18" s="163">
        <v>1053536.77</v>
      </c>
      <c r="P18" s="163">
        <v>0</v>
      </c>
      <c r="Q18" s="163">
        <v>0</v>
      </c>
      <c r="R18" s="163">
        <v>0</v>
      </c>
      <c r="S18" s="242">
        <f t="shared" si="4"/>
        <v>9108986.040000001</v>
      </c>
      <c r="T18" s="464">
        <f t="shared" si="3"/>
        <v>0.17166037313432839</v>
      </c>
    </row>
    <row r="19" spans="1:23">
      <c r="A19" s="150">
        <v>712</v>
      </c>
      <c r="B19" s="554" t="str">
        <f>+VLOOKUP($A19,Master!$D$29:$G$225,4,FALSE)</f>
        <v>Doprinosi</v>
      </c>
      <c r="C19" s="555"/>
      <c r="D19" s="555"/>
      <c r="E19" s="555"/>
      <c r="F19" s="555"/>
      <c r="G19" s="169">
        <v>11731802.159999998</v>
      </c>
      <c r="H19" s="169">
        <v>34984293.990000002</v>
      </c>
      <c r="I19" s="169">
        <v>37056759.600000001</v>
      </c>
      <c r="J19" s="169">
        <v>37592490.479999997</v>
      </c>
      <c r="K19" s="169">
        <v>33463530.389999997</v>
      </c>
      <c r="L19" s="169">
        <v>37796292.359999999</v>
      </c>
      <c r="M19" s="169">
        <v>36710432.280000001</v>
      </c>
      <c r="N19" s="169">
        <f t="shared" ref="N19:R19" si="5">SUM(N20:N23)</f>
        <v>39015024.850000001</v>
      </c>
      <c r="O19" s="169">
        <f t="shared" si="5"/>
        <v>38998261.349999994</v>
      </c>
      <c r="P19" s="169">
        <f t="shared" si="5"/>
        <v>0</v>
      </c>
      <c r="Q19" s="169">
        <f t="shared" si="5"/>
        <v>0</v>
      </c>
      <c r="R19" s="169">
        <f t="shared" si="5"/>
        <v>0</v>
      </c>
      <c r="S19" s="243">
        <f t="shared" si="4"/>
        <v>307348887.45999992</v>
      </c>
      <c r="T19" s="465">
        <f t="shared" si="3"/>
        <v>5.7920414491934258</v>
      </c>
    </row>
    <row r="20" spans="1:23">
      <c r="A20" s="150">
        <v>7121</v>
      </c>
      <c r="B20" s="544" t="str">
        <f>+VLOOKUP($A20,Master!$D$29:$G$225,4,FALSE)</f>
        <v>Doprinosi za penzijsko i invalidsko osiguranje</v>
      </c>
      <c r="C20" s="545"/>
      <c r="D20" s="545"/>
      <c r="E20" s="545"/>
      <c r="F20" s="545"/>
      <c r="G20" s="163">
        <v>7550452.8499999996</v>
      </c>
      <c r="H20" s="163">
        <v>24366605.109999999</v>
      </c>
      <c r="I20" s="163">
        <v>31891479.559999999</v>
      </c>
      <c r="J20" s="163">
        <v>32988975.75</v>
      </c>
      <c r="K20" s="163">
        <v>29598378.829999998</v>
      </c>
      <c r="L20" s="163">
        <v>33851315.109999999</v>
      </c>
      <c r="M20" s="163">
        <v>32996526.960000001</v>
      </c>
      <c r="N20" s="163">
        <v>35394821.75</v>
      </c>
      <c r="O20" s="163">
        <v>35762026.799999997</v>
      </c>
      <c r="P20" s="163">
        <v>0</v>
      </c>
      <c r="Q20" s="163">
        <v>0</v>
      </c>
      <c r="R20" s="163">
        <v>0</v>
      </c>
      <c r="S20" s="242">
        <f>+SUM(G20:R20)</f>
        <v>264400582.71999997</v>
      </c>
      <c r="T20" s="464">
        <f t="shared" si="3"/>
        <v>4.9826734268053663</v>
      </c>
    </row>
    <row r="21" spans="1:23">
      <c r="A21" s="150">
        <v>7122</v>
      </c>
      <c r="B21" s="544" t="str">
        <f>+VLOOKUP($A21,Master!$D$29:$G$225,4,FALSE)</f>
        <v>Doprinosi za zdravstveno osiguranje</v>
      </c>
      <c r="C21" s="545"/>
      <c r="D21" s="545"/>
      <c r="E21" s="545"/>
      <c r="F21" s="545"/>
      <c r="G21" s="163">
        <v>3618221.62</v>
      </c>
      <c r="H21" s="163">
        <v>8815681.4700000007</v>
      </c>
      <c r="I21" s="163">
        <v>2582574.44</v>
      </c>
      <c r="J21" s="163">
        <v>1899377.01</v>
      </c>
      <c r="K21" s="163">
        <v>1480944.7</v>
      </c>
      <c r="L21" s="163">
        <v>1150315.93</v>
      </c>
      <c r="M21" s="163">
        <v>951006.28</v>
      </c>
      <c r="N21" s="163">
        <v>823067.88</v>
      </c>
      <c r="O21" s="163">
        <v>668162.97</v>
      </c>
      <c r="P21" s="163">
        <v>0</v>
      </c>
      <c r="Q21" s="163">
        <v>0</v>
      </c>
      <c r="R21" s="163">
        <v>0</v>
      </c>
      <c r="S21" s="242">
        <f t="shared" si="4"/>
        <v>21989352.299999997</v>
      </c>
      <c r="T21" s="464">
        <f t="shared" si="3"/>
        <v>0.41439304047942099</v>
      </c>
    </row>
    <row r="22" spans="1:23">
      <c r="A22" s="150">
        <v>7123</v>
      </c>
      <c r="B22" s="544" t="str">
        <f>+VLOOKUP($A22,Master!$D$29:$G$225,4,FALSE)</f>
        <v>Doprinosi za osiguranje od nezaposlenosti</v>
      </c>
      <c r="C22" s="545"/>
      <c r="D22" s="545"/>
      <c r="E22" s="545"/>
      <c r="F22" s="545"/>
      <c r="G22" s="163">
        <v>333527.59999999998</v>
      </c>
      <c r="H22" s="163">
        <v>1107968.99</v>
      </c>
      <c r="I22" s="163">
        <v>1459655.88</v>
      </c>
      <c r="J22" s="163">
        <v>1501790.24</v>
      </c>
      <c r="K22" s="163">
        <v>1379492.12</v>
      </c>
      <c r="L22" s="163">
        <v>1561408.27</v>
      </c>
      <c r="M22" s="163">
        <v>1571588.31</v>
      </c>
      <c r="N22" s="163">
        <v>1597593.61</v>
      </c>
      <c r="O22" s="163">
        <v>1507262.14</v>
      </c>
      <c r="P22" s="163">
        <v>0</v>
      </c>
      <c r="Q22" s="163">
        <v>0</v>
      </c>
      <c r="R22" s="163">
        <v>0</v>
      </c>
      <c r="S22" s="242">
        <f t="shared" si="4"/>
        <v>12020287.16</v>
      </c>
      <c r="T22" s="464">
        <f t="shared" si="3"/>
        <v>0.2265243321272426</v>
      </c>
    </row>
    <row r="23" spans="1:23">
      <c r="A23" s="150">
        <v>7124</v>
      </c>
      <c r="B23" s="544" t="str">
        <f>+VLOOKUP($A23,Master!$D$29:$G$225,4,FALSE)</f>
        <v>Ostali doprinosi</v>
      </c>
      <c r="C23" s="545"/>
      <c r="D23" s="545"/>
      <c r="E23" s="545"/>
      <c r="F23" s="545"/>
      <c r="G23" s="163">
        <v>229600.09</v>
      </c>
      <c r="H23" s="163">
        <v>694038.42</v>
      </c>
      <c r="I23" s="163">
        <v>1123049.72</v>
      </c>
      <c r="J23" s="163">
        <v>1202347.48</v>
      </c>
      <c r="K23" s="163">
        <v>1004714.74</v>
      </c>
      <c r="L23" s="163">
        <v>1233253.05</v>
      </c>
      <c r="M23" s="163">
        <v>1191310.73</v>
      </c>
      <c r="N23" s="163">
        <v>1199541.6100000001</v>
      </c>
      <c r="O23" s="163">
        <v>1060809.44</v>
      </c>
      <c r="P23" s="163">
        <v>0</v>
      </c>
      <c r="Q23" s="163">
        <v>0</v>
      </c>
      <c r="R23" s="163">
        <v>0</v>
      </c>
      <c r="S23" s="242">
        <f t="shared" si="4"/>
        <v>8938665.2800000012</v>
      </c>
      <c r="T23" s="464">
        <f t="shared" si="3"/>
        <v>0.16845064978139607</v>
      </c>
      <c r="W23" s="305"/>
    </row>
    <row r="24" spans="1:23">
      <c r="A24" s="150">
        <v>713</v>
      </c>
      <c r="B24" s="546" t="str">
        <f>+VLOOKUP($A24,Master!$D$29:$G$225,4,FALSE)</f>
        <v>Takse</v>
      </c>
      <c r="C24" s="547"/>
      <c r="D24" s="547"/>
      <c r="E24" s="547"/>
      <c r="F24" s="547"/>
      <c r="G24" s="175">
        <v>635258.52999999991</v>
      </c>
      <c r="H24" s="175">
        <v>808672.01000000013</v>
      </c>
      <c r="I24" s="175">
        <v>976895.25</v>
      </c>
      <c r="J24" s="175">
        <v>1014885.97</v>
      </c>
      <c r="K24" s="175">
        <v>989967.52</v>
      </c>
      <c r="L24" s="175">
        <v>1292686.0099999998</v>
      </c>
      <c r="M24" s="175">
        <v>1450241.7799999998</v>
      </c>
      <c r="N24" s="175">
        <v>1794328.3</v>
      </c>
      <c r="O24" s="175">
        <v>1183872.1599999999</v>
      </c>
      <c r="P24" s="175">
        <v>0</v>
      </c>
      <c r="Q24" s="175">
        <v>0</v>
      </c>
      <c r="R24" s="175">
        <v>0</v>
      </c>
      <c r="S24" s="243">
        <f t="shared" si="4"/>
        <v>10146807.529999999</v>
      </c>
      <c r="T24" s="465">
        <f t="shared" si="3"/>
        <v>0.19121829357002862</v>
      </c>
      <c r="W24" s="305"/>
    </row>
    <row r="25" spans="1:23">
      <c r="A25" s="150">
        <v>714</v>
      </c>
      <c r="B25" s="546" t="str">
        <f>+VLOOKUP($A25,Master!$D$29:$G$225,4,FALSE)</f>
        <v>Naknade</v>
      </c>
      <c r="C25" s="547"/>
      <c r="D25" s="547"/>
      <c r="E25" s="547"/>
      <c r="F25" s="547"/>
      <c r="G25" s="175">
        <v>12538803.32</v>
      </c>
      <c r="H25" s="175">
        <v>2358745.7999999998</v>
      </c>
      <c r="I25" s="175">
        <v>2432089.7200000002</v>
      </c>
      <c r="J25" s="175">
        <v>3083781.29</v>
      </c>
      <c r="K25" s="175">
        <v>2678608.52</v>
      </c>
      <c r="L25" s="175">
        <v>4570368.01</v>
      </c>
      <c r="M25" s="175">
        <v>3736951.12</v>
      </c>
      <c r="N25" s="175">
        <v>3318573.47</v>
      </c>
      <c r="O25" s="175">
        <v>9160845.5500000007</v>
      </c>
      <c r="P25" s="175">
        <v>0</v>
      </c>
      <c r="Q25" s="175">
        <v>0</v>
      </c>
      <c r="R25" s="175">
        <v>0</v>
      </c>
      <c r="S25" s="243">
        <f t="shared" si="4"/>
        <v>43878766.799999997</v>
      </c>
      <c r="T25" s="465">
        <f t="shared" si="3"/>
        <v>0.82690273631840783</v>
      </c>
    </row>
    <row r="26" spans="1:23">
      <c r="A26" s="150">
        <v>715</v>
      </c>
      <c r="B26" s="546" t="str">
        <f>+VLOOKUP($A26,Master!$D$29:$G$225,4,FALSE)</f>
        <v>Ostali prihodi</v>
      </c>
      <c r="C26" s="547"/>
      <c r="D26" s="547"/>
      <c r="E26" s="547"/>
      <c r="F26" s="547"/>
      <c r="G26" s="175">
        <v>1297684</v>
      </c>
      <c r="H26" s="175">
        <v>1589565.7000000002</v>
      </c>
      <c r="I26" s="175">
        <v>1733963.4699999997</v>
      </c>
      <c r="J26" s="175">
        <v>3440489.42</v>
      </c>
      <c r="K26" s="175">
        <v>3430230.0999999996</v>
      </c>
      <c r="L26" s="175">
        <v>2748963.77</v>
      </c>
      <c r="M26" s="175">
        <v>3152431.2799999993</v>
      </c>
      <c r="N26" s="175">
        <v>3601917.4699999997</v>
      </c>
      <c r="O26" s="175">
        <v>2166236.2000000002</v>
      </c>
      <c r="P26" s="175">
        <v>0</v>
      </c>
      <c r="Q26" s="175">
        <v>0</v>
      </c>
      <c r="R26" s="175">
        <v>0</v>
      </c>
      <c r="S26" s="243">
        <f t="shared" si="4"/>
        <v>23161481.409999996</v>
      </c>
      <c r="T26" s="465">
        <f t="shared" si="3"/>
        <v>0.43648201059098446</v>
      </c>
    </row>
    <row r="27" spans="1:23">
      <c r="A27" s="150">
        <v>73</v>
      </c>
      <c r="B27" s="546" t="str">
        <f>+VLOOKUP($A27,Master!$D$29:$G$225,4,FALSE)</f>
        <v>Primici od otplate kredita i sredstva prenesena iz prethodne godine</v>
      </c>
      <c r="C27" s="547"/>
      <c r="D27" s="547"/>
      <c r="E27" s="547"/>
      <c r="F27" s="547"/>
      <c r="G27" s="175">
        <v>124509.95</v>
      </c>
      <c r="H27" s="175">
        <v>574574.7300000001</v>
      </c>
      <c r="I27" s="175">
        <v>672855.19000000006</v>
      </c>
      <c r="J27" s="175">
        <v>742646.21</v>
      </c>
      <c r="K27" s="175">
        <v>886489.7300000001</v>
      </c>
      <c r="L27" s="175">
        <v>3753999.56</v>
      </c>
      <c r="M27" s="175">
        <v>308101.69</v>
      </c>
      <c r="N27" s="175">
        <v>2588648.0900000003</v>
      </c>
      <c r="O27" s="175">
        <v>1144155.6099999999</v>
      </c>
      <c r="P27" s="175">
        <v>0</v>
      </c>
      <c r="Q27" s="175">
        <v>0</v>
      </c>
      <c r="R27" s="175">
        <v>0</v>
      </c>
      <c r="S27" s="243">
        <f t="shared" si="4"/>
        <v>10795980.76</v>
      </c>
      <c r="T27" s="465">
        <f t="shared" si="3"/>
        <v>0.20345207221468417</v>
      </c>
    </row>
    <row r="28" spans="1:23" ht="13.5" thickBot="1">
      <c r="A28" s="150">
        <v>74</v>
      </c>
      <c r="B28" s="548" t="str">
        <f>+VLOOKUP($A28,Master!$D$29:$G$225,4,FALSE)</f>
        <v>Donacije i transferi</v>
      </c>
      <c r="C28" s="549"/>
      <c r="D28" s="549"/>
      <c r="E28" s="549"/>
      <c r="F28" s="549"/>
      <c r="G28" s="175">
        <v>944706.60000000009</v>
      </c>
      <c r="H28" s="175">
        <v>1117937.3199999998</v>
      </c>
      <c r="I28" s="175">
        <v>4945090.66</v>
      </c>
      <c r="J28" s="175">
        <v>2104525.41</v>
      </c>
      <c r="K28" s="175">
        <v>651019.70999999985</v>
      </c>
      <c r="L28" s="175">
        <v>3347743.2000000007</v>
      </c>
      <c r="M28" s="175">
        <v>1853223.08</v>
      </c>
      <c r="N28" s="175">
        <v>6901169.7000000002</v>
      </c>
      <c r="O28" s="175">
        <v>1689253.82</v>
      </c>
      <c r="P28" s="175">
        <v>0</v>
      </c>
      <c r="Q28" s="175">
        <v>0</v>
      </c>
      <c r="R28" s="175">
        <v>0</v>
      </c>
      <c r="S28" s="243">
        <f t="shared" si="4"/>
        <v>23554669.5</v>
      </c>
      <c r="T28" s="466">
        <f t="shared" si="3"/>
        <v>0.44389170624151969</v>
      </c>
    </row>
    <row r="29" spans="1:23" ht="13.5" thickBot="1">
      <c r="A29" s="150">
        <v>4</v>
      </c>
      <c r="B29" s="534" t="str">
        <f>+VLOOKUP($A29,Master!$D$29:$G$225,4,FALSE)</f>
        <v>Izdaci budžeta</v>
      </c>
      <c r="C29" s="535"/>
      <c r="D29" s="535"/>
      <c r="E29" s="535"/>
      <c r="F29" s="535"/>
      <c r="G29" s="151">
        <f>+G30+G40+G46+SUM(G47:G51)</f>
        <v>135523250.90999997</v>
      </c>
      <c r="H29" s="151">
        <f t="shared" ref="H29:R29" si="6">+H30+H40+H46+SUM(H47:H51)</f>
        <v>150834089.17000002</v>
      </c>
      <c r="I29" s="151">
        <f t="shared" si="6"/>
        <v>152224800.23999998</v>
      </c>
      <c r="J29" s="151">
        <f t="shared" si="6"/>
        <v>202774694.09999993</v>
      </c>
      <c r="K29" s="151">
        <f t="shared" si="6"/>
        <v>146275241.75</v>
      </c>
      <c r="L29" s="151">
        <f t="shared" si="6"/>
        <v>179868687.46000004</v>
      </c>
      <c r="M29" s="151">
        <f t="shared" si="6"/>
        <v>178570141.01999998</v>
      </c>
      <c r="N29" s="151">
        <f t="shared" si="6"/>
        <v>147041474.66000006</v>
      </c>
      <c r="O29" s="151">
        <f t="shared" si="6"/>
        <v>202137009.99000004</v>
      </c>
      <c r="P29" s="151">
        <f t="shared" si="6"/>
        <v>0</v>
      </c>
      <c r="Q29" s="151">
        <f t="shared" si="6"/>
        <v>0</v>
      </c>
      <c r="R29" s="151">
        <f t="shared" si="6"/>
        <v>0</v>
      </c>
      <c r="S29" s="245">
        <f t="shared" si="4"/>
        <v>1495249389.3</v>
      </c>
      <c r="T29" s="467">
        <f t="shared" si="3"/>
        <v>28.178226091135233</v>
      </c>
    </row>
    <row r="30" spans="1:23">
      <c r="A30" s="150">
        <v>41</v>
      </c>
      <c r="B30" s="552" t="str">
        <f>+VLOOKUP($A30,Master!$D$29:$G$225,4,FALSE)</f>
        <v>Tekući izdaci</v>
      </c>
      <c r="C30" s="553"/>
      <c r="D30" s="553"/>
      <c r="E30" s="553"/>
      <c r="F30" s="553"/>
      <c r="G30" s="187">
        <f t="shared" ref="G30:R30" si="7">+SUM(G31:G39)</f>
        <v>50898622.749999978</v>
      </c>
      <c r="H30" s="187">
        <f t="shared" si="7"/>
        <v>61674016.410000019</v>
      </c>
      <c r="I30" s="187">
        <f t="shared" si="7"/>
        <v>59814606.18</v>
      </c>
      <c r="J30" s="187">
        <f t="shared" si="7"/>
        <v>96816434.329999983</v>
      </c>
      <c r="K30" s="187">
        <f t="shared" si="7"/>
        <v>58712954.390000008</v>
      </c>
      <c r="L30" s="187">
        <f t="shared" si="7"/>
        <v>71887838.290000021</v>
      </c>
      <c r="M30" s="187">
        <f t="shared" si="7"/>
        <v>67841356.10999997</v>
      </c>
      <c r="N30" s="187">
        <f t="shared" si="7"/>
        <v>64016075.760000065</v>
      </c>
      <c r="O30" s="187">
        <f t="shared" si="7"/>
        <v>80375015.050000027</v>
      </c>
      <c r="P30" s="187">
        <f t="shared" si="7"/>
        <v>0</v>
      </c>
      <c r="Q30" s="187">
        <f t="shared" si="7"/>
        <v>0</v>
      </c>
      <c r="R30" s="246">
        <f t="shared" si="7"/>
        <v>0</v>
      </c>
      <c r="S30" s="424">
        <f t="shared" si="4"/>
        <v>612036919.26999998</v>
      </c>
      <c r="T30" s="463">
        <f t="shared" si="3"/>
        <v>11.533938626375697</v>
      </c>
      <c r="U30" s="242"/>
    </row>
    <row r="31" spans="1:23">
      <c r="A31" s="150">
        <v>411</v>
      </c>
      <c r="B31" s="544" t="str">
        <f>+VLOOKUP($A31,Master!$D$29:$G$225,4,FALSE)</f>
        <v>Bruto zarade i doprinosi na teret poslodavca</v>
      </c>
      <c r="C31" s="545"/>
      <c r="D31" s="545"/>
      <c r="E31" s="545"/>
      <c r="F31" s="545"/>
      <c r="G31" s="163">
        <v>44240125.009999976</v>
      </c>
      <c r="H31" s="163">
        <v>44550830.430000015</v>
      </c>
      <c r="I31" s="163">
        <v>40375934.010000005</v>
      </c>
      <c r="J31" s="163">
        <v>46977114.019999973</v>
      </c>
      <c r="K31" s="163">
        <v>41754372.079999998</v>
      </c>
      <c r="L31" s="163">
        <v>47101871.300000019</v>
      </c>
      <c r="M31" s="163">
        <v>44920963.489999972</v>
      </c>
      <c r="N31" s="163">
        <v>43889720.370000057</v>
      </c>
      <c r="O31" s="163">
        <v>44535467.410000011</v>
      </c>
      <c r="P31" s="163">
        <v>0</v>
      </c>
      <c r="Q31" s="163">
        <v>0</v>
      </c>
      <c r="R31" s="163">
        <v>0</v>
      </c>
      <c r="S31" s="242">
        <f t="shared" si="4"/>
        <v>398346398.12</v>
      </c>
      <c r="T31" s="464">
        <f t="shared" si="3"/>
        <v>7.5069048341625217</v>
      </c>
      <c r="U31" s="242"/>
    </row>
    <row r="32" spans="1:23">
      <c r="A32" s="150">
        <v>412</v>
      </c>
      <c r="B32" s="544" t="str">
        <f>+VLOOKUP($A32,Master!$D$29:$G$225,4,FALSE)</f>
        <v>Ostala lična primanja</v>
      </c>
      <c r="C32" s="545"/>
      <c r="D32" s="545"/>
      <c r="E32" s="545"/>
      <c r="F32" s="545"/>
      <c r="G32" s="163">
        <v>137001.32999999999</v>
      </c>
      <c r="H32" s="163">
        <v>1212395.8599999999</v>
      </c>
      <c r="I32" s="163">
        <v>946225.55000000028</v>
      </c>
      <c r="J32" s="163">
        <v>1448549.91</v>
      </c>
      <c r="K32" s="163">
        <v>1078145.3399999999</v>
      </c>
      <c r="L32" s="163">
        <v>2203226.2300000004</v>
      </c>
      <c r="M32" s="163">
        <v>1651284.02</v>
      </c>
      <c r="N32" s="163">
        <v>1322412.92</v>
      </c>
      <c r="O32" s="163">
        <v>1530315.4199999992</v>
      </c>
      <c r="P32" s="163">
        <v>0</v>
      </c>
      <c r="Q32" s="163">
        <v>0</v>
      </c>
      <c r="R32" s="163">
        <v>0</v>
      </c>
      <c r="S32" s="242">
        <f t="shared" si="4"/>
        <v>11529556.58</v>
      </c>
      <c r="T32" s="464">
        <f t="shared" si="3"/>
        <v>0.21727643185587217</v>
      </c>
      <c r="U32" s="457"/>
    </row>
    <row r="33" spans="1:21">
      <c r="A33" s="150">
        <v>413</v>
      </c>
      <c r="B33" s="544" t="str">
        <f>+VLOOKUP($A33,Master!$D$29:$G$225,4,FALSE)</f>
        <v>Rashodi za materijal</v>
      </c>
      <c r="C33" s="545"/>
      <c r="D33" s="545"/>
      <c r="E33" s="545"/>
      <c r="F33" s="545"/>
      <c r="G33" s="163">
        <v>140825.03</v>
      </c>
      <c r="H33" s="163">
        <v>3489117.8199999994</v>
      </c>
      <c r="I33" s="163">
        <v>2628375.6700000009</v>
      </c>
      <c r="J33" s="163">
        <v>2038640.9</v>
      </c>
      <c r="K33" s="163">
        <v>1012773.5900000001</v>
      </c>
      <c r="L33" s="163">
        <v>4898255.55</v>
      </c>
      <c r="M33" s="163">
        <v>2338020.8000000012</v>
      </c>
      <c r="N33" s="163">
        <v>4632464.3099999996</v>
      </c>
      <c r="O33" s="163">
        <v>2320647.6999999997</v>
      </c>
      <c r="P33" s="163">
        <v>0</v>
      </c>
      <c r="Q33" s="163">
        <v>0</v>
      </c>
      <c r="R33" s="163">
        <v>0</v>
      </c>
      <c r="S33" s="242">
        <f t="shared" si="4"/>
        <v>23499121.369999997</v>
      </c>
      <c r="T33" s="464">
        <f t="shared" si="3"/>
        <v>0.44284489239409008</v>
      </c>
      <c r="U33" s="457"/>
    </row>
    <row r="34" spans="1:21" s="361" customFormat="1">
      <c r="A34" s="360">
        <v>414</v>
      </c>
      <c r="B34" s="613" t="str">
        <f>+VLOOKUP($A34,Master!$D$29:$G$225,4,FALSE)</f>
        <v>Rashodi za usluge</v>
      </c>
      <c r="C34" s="614"/>
      <c r="D34" s="614"/>
      <c r="E34" s="614"/>
      <c r="F34" s="614"/>
      <c r="G34" s="163">
        <v>1088181.68</v>
      </c>
      <c r="H34" s="163">
        <v>2912682.95</v>
      </c>
      <c r="I34" s="163">
        <v>4471821.08</v>
      </c>
      <c r="J34" s="163">
        <v>6152905.290000001</v>
      </c>
      <c r="K34" s="163">
        <v>2627348.3200000003</v>
      </c>
      <c r="L34" s="163">
        <v>5667935.04</v>
      </c>
      <c r="M34" s="163">
        <v>3973417.36</v>
      </c>
      <c r="N34" s="163">
        <v>4243743.3099999996</v>
      </c>
      <c r="O34" s="163">
        <v>4864568.6500000004</v>
      </c>
      <c r="P34" s="163">
        <v>0</v>
      </c>
      <c r="Q34" s="163">
        <v>0</v>
      </c>
      <c r="R34" s="163">
        <v>0</v>
      </c>
      <c r="S34" s="242">
        <f t="shared" si="4"/>
        <v>36002603.68</v>
      </c>
      <c r="T34" s="464">
        <f t="shared" si="3"/>
        <v>0.67847511834765561</v>
      </c>
      <c r="U34" s="457"/>
    </row>
    <row r="35" spans="1:21">
      <c r="A35" s="150">
        <v>415</v>
      </c>
      <c r="B35" s="544" t="str">
        <f>+VLOOKUP($A35,Master!$D$29:$G$225,4,FALSE)</f>
        <v>Rashodi za tekuće održavanje</v>
      </c>
      <c r="C35" s="545"/>
      <c r="D35" s="545"/>
      <c r="E35" s="545"/>
      <c r="F35" s="545"/>
      <c r="G35" s="163">
        <v>51153.01999999999</v>
      </c>
      <c r="H35" s="163">
        <v>1786959.03</v>
      </c>
      <c r="I35" s="163">
        <v>1812618.69</v>
      </c>
      <c r="J35" s="163">
        <v>1718005.5900000003</v>
      </c>
      <c r="K35" s="163">
        <v>1522624.21</v>
      </c>
      <c r="L35" s="163">
        <v>1758456.5100000002</v>
      </c>
      <c r="M35" s="163">
        <v>1898548.19</v>
      </c>
      <c r="N35" s="163">
        <v>1129451.4900000002</v>
      </c>
      <c r="O35" s="163">
        <v>2940859.11</v>
      </c>
      <c r="P35" s="163">
        <v>0</v>
      </c>
      <c r="Q35" s="163">
        <v>0</v>
      </c>
      <c r="R35" s="163">
        <v>0</v>
      </c>
      <c r="S35" s="242">
        <f t="shared" si="4"/>
        <v>14618675.84</v>
      </c>
      <c r="T35" s="464">
        <f t="shared" si="3"/>
        <v>0.27549140358812002</v>
      </c>
      <c r="U35" s="457"/>
    </row>
    <row r="36" spans="1:21">
      <c r="A36" s="150">
        <v>416</v>
      </c>
      <c r="B36" s="544" t="str">
        <f>+VLOOKUP($A36,Master!$D$29:$G$225,4,FALSE)</f>
        <v>Kamate</v>
      </c>
      <c r="C36" s="545"/>
      <c r="D36" s="545"/>
      <c r="E36" s="545"/>
      <c r="F36" s="545"/>
      <c r="G36" s="163">
        <v>3854762.25</v>
      </c>
      <c r="H36" s="163">
        <v>1270344.19</v>
      </c>
      <c r="I36" s="163">
        <v>949082.56</v>
      </c>
      <c r="J36" s="163">
        <v>27195621.07</v>
      </c>
      <c r="K36" s="163">
        <v>4588473.78</v>
      </c>
      <c r="L36" s="163">
        <v>1216799.03</v>
      </c>
      <c r="M36" s="163">
        <v>3784062.82</v>
      </c>
      <c r="N36" s="163">
        <v>1331665.0299999998</v>
      </c>
      <c r="O36" s="163">
        <v>13564532.83</v>
      </c>
      <c r="P36" s="163">
        <v>0</v>
      </c>
      <c r="Q36" s="163">
        <v>0</v>
      </c>
      <c r="R36" s="163">
        <v>0</v>
      </c>
      <c r="S36" s="242">
        <f>+SUM(G36:R36)</f>
        <v>57755343.560000002</v>
      </c>
      <c r="T36" s="464">
        <f t="shared" si="3"/>
        <v>1.0884091579978894</v>
      </c>
      <c r="U36" s="457"/>
    </row>
    <row r="37" spans="1:21">
      <c r="A37" s="150">
        <v>417</v>
      </c>
      <c r="B37" s="544" t="str">
        <f>+VLOOKUP($A37,Master!$D$29:$G$225,4,FALSE)</f>
        <v>Renta</v>
      </c>
      <c r="C37" s="545"/>
      <c r="D37" s="545"/>
      <c r="E37" s="545"/>
      <c r="F37" s="545"/>
      <c r="G37" s="163">
        <v>222069.03999999998</v>
      </c>
      <c r="H37" s="163">
        <v>743329.49000000022</v>
      </c>
      <c r="I37" s="163">
        <v>821318.40000000014</v>
      </c>
      <c r="J37" s="163">
        <v>1247632.42</v>
      </c>
      <c r="K37" s="163">
        <v>498993.7</v>
      </c>
      <c r="L37" s="163">
        <v>995508.2</v>
      </c>
      <c r="M37" s="163">
        <v>1038790.1100000001</v>
      </c>
      <c r="N37" s="163">
        <v>884250.45000000007</v>
      </c>
      <c r="O37" s="163">
        <v>1095625.8400000003</v>
      </c>
      <c r="P37" s="163">
        <v>0</v>
      </c>
      <c r="Q37" s="163">
        <v>0</v>
      </c>
      <c r="R37" s="163">
        <v>0</v>
      </c>
      <c r="S37" s="242">
        <f t="shared" si="4"/>
        <v>7547517.6500000022</v>
      </c>
      <c r="T37" s="464">
        <f t="shared" si="3"/>
        <v>0.14223423884366052</v>
      </c>
      <c r="U37" s="457"/>
    </row>
    <row r="38" spans="1:21">
      <c r="A38" s="150">
        <v>418</v>
      </c>
      <c r="B38" s="544" t="str">
        <f>+VLOOKUP($A38,Master!$D$29:$G$225,4,FALSE)</f>
        <v>Subvencije</v>
      </c>
      <c r="C38" s="545"/>
      <c r="D38" s="545"/>
      <c r="E38" s="545"/>
      <c r="F38" s="545"/>
      <c r="G38" s="163">
        <v>511006.04000000004</v>
      </c>
      <c r="H38" s="163">
        <v>2686343.5</v>
      </c>
      <c r="I38" s="163">
        <v>4730535.6000000006</v>
      </c>
      <c r="J38" s="163">
        <v>6972651.8400000008</v>
      </c>
      <c r="K38" s="163">
        <v>2647649.44</v>
      </c>
      <c r="L38" s="163">
        <v>3319529.0100000002</v>
      </c>
      <c r="M38" s="163">
        <v>3592301.72</v>
      </c>
      <c r="N38" s="163">
        <v>3747108.6899999995</v>
      </c>
      <c r="O38" s="163">
        <v>6868760.4699999997</v>
      </c>
      <c r="P38" s="163">
        <v>0</v>
      </c>
      <c r="Q38" s="163">
        <v>0</v>
      </c>
      <c r="R38" s="163">
        <v>0</v>
      </c>
      <c r="S38" s="242">
        <f t="shared" si="4"/>
        <v>35075886.310000002</v>
      </c>
      <c r="T38" s="464">
        <f t="shared" si="3"/>
        <v>0.66101097372983575</v>
      </c>
      <c r="U38" s="457"/>
    </row>
    <row r="39" spans="1:21" s="361" customFormat="1">
      <c r="A39" s="360">
        <v>419</v>
      </c>
      <c r="B39" s="613" t="str">
        <f>+VLOOKUP($A39,Master!$D$29:$G$225,4,FALSE)</f>
        <v>Ostali izdaci</v>
      </c>
      <c r="C39" s="614"/>
      <c r="D39" s="614"/>
      <c r="E39" s="614"/>
      <c r="F39" s="614"/>
      <c r="G39" s="163">
        <v>653499.35000000009</v>
      </c>
      <c r="H39" s="163">
        <v>3022013.1399999997</v>
      </c>
      <c r="I39" s="163">
        <v>3078694.62</v>
      </c>
      <c r="J39" s="163">
        <v>3065313.290000001</v>
      </c>
      <c r="K39" s="163">
        <v>2982573.9299999988</v>
      </c>
      <c r="L39" s="163">
        <v>4726257.419999999</v>
      </c>
      <c r="M39" s="163">
        <v>4643967.5999999996</v>
      </c>
      <c r="N39" s="163">
        <v>2835259.1899999995</v>
      </c>
      <c r="O39" s="163">
        <v>2654237.6199999996</v>
      </c>
      <c r="P39" s="163">
        <v>0</v>
      </c>
      <c r="Q39" s="163">
        <v>0</v>
      </c>
      <c r="R39" s="163">
        <v>0</v>
      </c>
      <c r="S39" s="242">
        <f t="shared" si="4"/>
        <v>27661816.159999993</v>
      </c>
      <c r="T39" s="464">
        <f t="shared" si="3"/>
        <v>0.52129157545605287</v>
      </c>
      <c r="U39" s="457"/>
    </row>
    <row r="40" spans="1:21">
      <c r="A40" s="150">
        <v>42</v>
      </c>
      <c r="B40" s="540" t="str">
        <f>+VLOOKUP($A40,Master!$D$29:$G$225,4,FALSE)</f>
        <v>Transferi za socijalnu zaštitu</v>
      </c>
      <c r="C40" s="541"/>
      <c r="D40" s="541"/>
      <c r="E40" s="541"/>
      <c r="F40" s="541"/>
      <c r="G40" s="193">
        <f>+SUM(G41:G45)</f>
        <v>43461857.61999999</v>
      </c>
      <c r="H40" s="193">
        <f t="shared" ref="H40:R40" si="8">+SUM(H41:H45)</f>
        <v>49030666.979999997</v>
      </c>
      <c r="I40" s="193">
        <f t="shared" si="8"/>
        <v>50283198.670000002</v>
      </c>
      <c r="J40" s="193">
        <f t="shared" si="8"/>
        <v>49190467.409999959</v>
      </c>
      <c r="K40" s="193">
        <f t="shared" si="8"/>
        <v>51083547.040000007</v>
      </c>
      <c r="L40" s="193">
        <f t="shared" si="8"/>
        <v>53813247.140000008</v>
      </c>
      <c r="M40" s="193">
        <f t="shared" si="8"/>
        <v>55873905.100000001</v>
      </c>
      <c r="N40" s="193">
        <f t="shared" si="8"/>
        <v>54392412.859999999</v>
      </c>
      <c r="O40" s="193">
        <f t="shared" si="8"/>
        <v>55114295.500000015</v>
      </c>
      <c r="P40" s="193">
        <f t="shared" si="8"/>
        <v>0</v>
      </c>
      <c r="Q40" s="193">
        <f t="shared" si="8"/>
        <v>0</v>
      </c>
      <c r="R40" s="247">
        <f t="shared" si="8"/>
        <v>0</v>
      </c>
      <c r="S40" s="489">
        <f t="shared" si="4"/>
        <v>462243598.31999999</v>
      </c>
      <c r="T40" s="490">
        <f t="shared" si="3"/>
        <v>8.7110583129805512</v>
      </c>
      <c r="U40" s="242"/>
    </row>
    <row r="41" spans="1:21">
      <c r="A41" s="150">
        <v>421</v>
      </c>
      <c r="B41" s="544" t="str">
        <f>+VLOOKUP($A41,Master!$D$29:$G$225,4,FALSE)</f>
        <v>Prava iz oblasti socijalne zaštite</v>
      </c>
      <c r="C41" s="545"/>
      <c r="D41" s="545"/>
      <c r="E41" s="545"/>
      <c r="F41" s="545"/>
      <c r="G41" s="163">
        <v>8200110.4000000004</v>
      </c>
      <c r="H41" s="163">
        <v>8172331.5999999987</v>
      </c>
      <c r="I41" s="163">
        <v>8605052.6899999995</v>
      </c>
      <c r="J41" s="163">
        <v>8606006.9800000004</v>
      </c>
      <c r="K41" s="163">
        <v>11845768.039999999</v>
      </c>
      <c r="L41" s="163">
        <v>11977864.439999999</v>
      </c>
      <c r="M41" s="163">
        <v>11864302.59</v>
      </c>
      <c r="N41" s="163">
        <v>12016260.289999999</v>
      </c>
      <c r="O41" s="163">
        <v>12319371.459999999</v>
      </c>
      <c r="P41" s="163">
        <v>0</v>
      </c>
      <c r="Q41" s="163">
        <v>0</v>
      </c>
      <c r="R41" s="163">
        <v>0</v>
      </c>
      <c r="S41" s="242">
        <f t="shared" si="4"/>
        <v>93607068.489999995</v>
      </c>
      <c r="T41" s="464">
        <f t="shared" si="3"/>
        <v>1.7640409409392432</v>
      </c>
      <c r="U41" s="457"/>
    </row>
    <row r="42" spans="1:21">
      <c r="A42" s="150">
        <v>422</v>
      </c>
      <c r="B42" s="544" t="str">
        <f>+VLOOKUP($A42,Master!$D$29:$G$225,4,FALSE)</f>
        <v>Sredstva za tehnološke viškove</v>
      </c>
      <c r="C42" s="545"/>
      <c r="D42" s="545"/>
      <c r="E42" s="545"/>
      <c r="F42" s="545"/>
      <c r="G42" s="163">
        <v>0</v>
      </c>
      <c r="H42" s="163">
        <v>2498429.92</v>
      </c>
      <c r="I42" s="163">
        <v>2440778.17</v>
      </c>
      <c r="J42" s="163">
        <v>2410229.4499999997</v>
      </c>
      <c r="K42" s="163">
        <v>2318949.15</v>
      </c>
      <c r="L42" s="163">
        <v>2335079.0099999998</v>
      </c>
      <c r="M42" s="163">
        <v>2195965.0099999998</v>
      </c>
      <c r="N42" s="163">
        <v>2189311.09</v>
      </c>
      <c r="O42" s="163">
        <v>2177499.94</v>
      </c>
      <c r="P42" s="163">
        <v>0</v>
      </c>
      <c r="Q42" s="163">
        <v>0</v>
      </c>
      <c r="R42" s="163">
        <v>0</v>
      </c>
      <c r="S42" s="242">
        <f t="shared" si="4"/>
        <v>18566241.739999998</v>
      </c>
      <c r="T42" s="464">
        <f t="shared" si="3"/>
        <v>0.34988394655510324</v>
      </c>
      <c r="U42" s="457"/>
    </row>
    <row r="43" spans="1:21">
      <c r="A43" s="150">
        <v>423</v>
      </c>
      <c r="B43" s="544" t="str">
        <f>+VLOOKUP($A43,Master!$D$29:$G$225,4,FALSE)</f>
        <v>Prava iz oblasti penzijskog i invalidskog osiguranja</v>
      </c>
      <c r="C43" s="545"/>
      <c r="D43" s="545"/>
      <c r="E43" s="545"/>
      <c r="F43" s="545"/>
      <c r="G43" s="163">
        <v>35149513.419999994</v>
      </c>
      <c r="H43" s="163">
        <v>36354430.68999999</v>
      </c>
      <c r="I43" s="163">
        <v>36069832.590000004</v>
      </c>
      <c r="J43" s="502">
        <v>36181040.329999961</v>
      </c>
      <c r="K43" s="163">
        <v>35168591.790000007</v>
      </c>
      <c r="L43" s="163">
        <v>37894311.820000008</v>
      </c>
      <c r="M43" s="163">
        <v>37880340.310000002</v>
      </c>
      <c r="N43" s="163">
        <v>38069530.059999995</v>
      </c>
      <c r="O43" s="163">
        <v>38038058.110000014</v>
      </c>
      <c r="P43" s="163">
        <v>0</v>
      </c>
      <c r="Q43" s="163">
        <v>0</v>
      </c>
      <c r="R43" s="163">
        <v>0</v>
      </c>
      <c r="S43" s="242">
        <f t="shared" si="4"/>
        <v>330805649.11999995</v>
      </c>
      <c r="T43" s="464">
        <f t="shared" si="3"/>
        <v>6.2340880657319451</v>
      </c>
      <c r="U43" s="457"/>
    </row>
    <row r="44" spans="1:21">
      <c r="A44" s="150">
        <v>424</v>
      </c>
      <c r="B44" s="544" t="str">
        <f>+VLOOKUP($A44,Master!$D$29:$G$225,4,FALSE)</f>
        <v>Ostala prava iz oblasti zdravstvene zaštite</v>
      </c>
      <c r="C44" s="545"/>
      <c r="D44" s="545"/>
      <c r="E44" s="545"/>
      <c r="F44" s="545"/>
      <c r="G44" s="163">
        <v>103430</v>
      </c>
      <c r="H44" s="163">
        <v>1069904.71</v>
      </c>
      <c r="I44" s="163">
        <v>1609138.94</v>
      </c>
      <c r="J44" s="163">
        <v>1402883.74</v>
      </c>
      <c r="K44" s="163">
        <v>659345.03</v>
      </c>
      <c r="L44" s="163">
        <v>804103.22</v>
      </c>
      <c r="M44" s="163">
        <v>2611388.4699999997</v>
      </c>
      <c r="N44" s="163">
        <v>1036291.4600000001</v>
      </c>
      <c r="O44" s="163">
        <v>1292962.81</v>
      </c>
      <c r="P44" s="163">
        <v>0</v>
      </c>
      <c r="Q44" s="163">
        <v>0</v>
      </c>
      <c r="R44" s="163">
        <v>0</v>
      </c>
      <c r="S44" s="242">
        <f t="shared" si="4"/>
        <v>10589448.380000001</v>
      </c>
      <c r="T44" s="464">
        <f t="shared" si="3"/>
        <v>0.1995599347957184</v>
      </c>
      <c r="U44" s="457"/>
    </row>
    <row r="45" spans="1:21" s="361" customFormat="1">
      <c r="A45" s="360">
        <v>425</v>
      </c>
      <c r="B45" s="609" t="str">
        <f>+VLOOKUP($A45,Master!$D$29:$G$225,4,FALSE)</f>
        <v>Ostala prava iz zdravstvenog osiguranja</v>
      </c>
      <c r="C45" s="610"/>
      <c r="D45" s="610"/>
      <c r="E45" s="610"/>
      <c r="F45" s="610"/>
      <c r="G45" s="163">
        <v>8803.7999999999993</v>
      </c>
      <c r="H45" s="163">
        <v>935570.06</v>
      </c>
      <c r="I45" s="163">
        <v>1558396.28</v>
      </c>
      <c r="J45" s="163">
        <v>590306.91</v>
      </c>
      <c r="K45" s="163">
        <v>1090893.03</v>
      </c>
      <c r="L45" s="163">
        <v>801888.65</v>
      </c>
      <c r="M45" s="163">
        <v>1321908.72</v>
      </c>
      <c r="N45" s="163">
        <v>1081019.96</v>
      </c>
      <c r="O45" s="163">
        <v>1286403.18</v>
      </c>
      <c r="P45" s="163">
        <v>0</v>
      </c>
      <c r="Q45" s="163">
        <v>0</v>
      </c>
      <c r="R45" s="163">
        <v>0</v>
      </c>
      <c r="S45" s="242">
        <f t="shared" si="4"/>
        <v>8675190.5899999999</v>
      </c>
      <c r="T45" s="464">
        <f t="shared" si="3"/>
        <v>0.16348542495854063</v>
      </c>
      <c r="U45" s="457"/>
    </row>
    <row r="46" spans="1:21">
      <c r="A46" s="150">
        <v>43</v>
      </c>
      <c r="B46" s="542" t="str">
        <f>+VLOOKUP($A46,Master!$D$29:$G$225,4,FALSE)</f>
        <v xml:space="preserve">Transferi institucijama, pojedincima, nevladinom i javnom sektoru </v>
      </c>
      <c r="C46" s="543"/>
      <c r="D46" s="543"/>
      <c r="E46" s="543"/>
      <c r="F46" s="543"/>
      <c r="G46" s="175">
        <v>7351440.8700000001</v>
      </c>
      <c r="H46" s="175">
        <v>23788257.169999998</v>
      </c>
      <c r="I46" s="175">
        <v>30704364.970000006</v>
      </c>
      <c r="J46" s="175">
        <v>28731832.689999998</v>
      </c>
      <c r="K46" s="175">
        <v>16386723.549999999</v>
      </c>
      <c r="L46" s="175">
        <v>26579249.149999995</v>
      </c>
      <c r="M46" s="175">
        <v>21695488.950000003</v>
      </c>
      <c r="N46" s="175">
        <v>18752230.950000003</v>
      </c>
      <c r="O46" s="175">
        <v>29318367.349999998</v>
      </c>
      <c r="P46" s="175">
        <v>0</v>
      </c>
      <c r="Q46" s="175">
        <v>0</v>
      </c>
      <c r="R46" s="175">
        <v>0</v>
      </c>
      <c r="S46" s="243">
        <f t="shared" si="4"/>
        <v>203307955.65000001</v>
      </c>
      <c r="T46" s="465">
        <f t="shared" si="3"/>
        <v>3.831372600067843</v>
      </c>
      <c r="U46" s="481"/>
    </row>
    <row r="47" spans="1:21">
      <c r="A47" s="150">
        <v>44</v>
      </c>
      <c r="B47" s="542" t="str">
        <f>+VLOOKUP($A47,Master!$D$29:$G$225,4,FALSE)</f>
        <v>Kapitalni izdaci</v>
      </c>
      <c r="C47" s="543"/>
      <c r="D47" s="543"/>
      <c r="E47" s="543"/>
      <c r="F47" s="543"/>
      <c r="G47" s="175">
        <v>16016474.34</v>
      </c>
      <c r="H47" s="175">
        <v>11650538.710000003</v>
      </c>
      <c r="I47" s="175">
        <v>7995861.7599999998</v>
      </c>
      <c r="J47" s="175">
        <v>25620437.929999996</v>
      </c>
      <c r="K47" s="175">
        <v>18640717.440000001</v>
      </c>
      <c r="L47" s="175">
        <v>23469892.199999999</v>
      </c>
      <c r="M47" s="175">
        <v>25044940.75</v>
      </c>
      <c r="N47" s="175">
        <v>7683091.5899999999</v>
      </c>
      <c r="O47" s="175">
        <v>16121479.17</v>
      </c>
      <c r="P47" s="175">
        <v>0</v>
      </c>
      <c r="Q47" s="175">
        <v>0</v>
      </c>
      <c r="R47" s="175">
        <v>0</v>
      </c>
      <c r="S47" s="243">
        <f t="shared" si="4"/>
        <v>152243433.88999999</v>
      </c>
      <c r="T47" s="465">
        <f t="shared" si="3"/>
        <v>2.8690531036107343</v>
      </c>
      <c r="U47" s="481"/>
    </row>
    <row r="48" spans="1:21">
      <c r="A48" s="150">
        <v>451</v>
      </c>
      <c r="B48" s="611" t="str">
        <f>+VLOOKUP($A48,Master!$D$29:$G$225,4,FALSE)</f>
        <v>Pozajmice i krediti</v>
      </c>
      <c r="C48" s="612"/>
      <c r="D48" s="612"/>
      <c r="E48" s="612"/>
      <c r="F48" s="612"/>
      <c r="G48" s="163">
        <v>0</v>
      </c>
      <c r="H48" s="163">
        <v>248510</v>
      </c>
      <c r="I48" s="163">
        <v>1730</v>
      </c>
      <c r="J48" s="163">
        <v>302436</v>
      </c>
      <c r="K48" s="163">
        <v>260378</v>
      </c>
      <c r="L48" s="163">
        <v>700</v>
      </c>
      <c r="M48" s="163">
        <v>0</v>
      </c>
      <c r="N48" s="163">
        <v>350</v>
      </c>
      <c r="O48" s="163">
        <v>0</v>
      </c>
      <c r="P48" s="163">
        <v>0</v>
      </c>
      <c r="Q48" s="163">
        <v>0</v>
      </c>
      <c r="R48" s="163">
        <v>0</v>
      </c>
      <c r="S48" s="242">
        <f t="shared" si="4"/>
        <v>814104</v>
      </c>
      <c r="T48" s="464">
        <f t="shared" si="3"/>
        <v>1.5341926729986431E-2</v>
      </c>
      <c r="U48" s="481"/>
    </row>
    <row r="49" spans="1:21" s="361" customFormat="1">
      <c r="A49" s="360">
        <v>47</v>
      </c>
      <c r="B49" s="603" t="str">
        <f>+VLOOKUP($A49,Master!$D$29:$G$225,4,FALSE)</f>
        <v>Rezerve</v>
      </c>
      <c r="C49" s="604"/>
      <c r="D49" s="604"/>
      <c r="E49" s="604"/>
      <c r="F49" s="604"/>
      <c r="G49" s="163">
        <v>265800</v>
      </c>
      <c r="H49" s="163">
        <v>495710</v>
      </c>
      <c r="I49" s="163">
        <v>1101664.26</v>
      </c>
      <c r="J49" s="163">
        <v>401200</v>
      </c>
      <c r="K49" s="163">
        <v>45800</v>
      </c>
      <c r="L49" s="163">
        <v>3114786.03</v>
      </c>
      <c r="M49" s="163">
        <v>5703477.5800000001</v>
      </c>
      <c r="N49" s="163">
        <v>1405979.19</v>
      </c>
      <c r="O49" s="163">
        <v>20100803.789999999</v>
      </c>
      <c r="P49" s="163">
        <v>0</v>
      </c>
      <c r="Q49" s="163">
        <v>0</v>
      </c>
      <c r="R49" s="163">
        <v>0</v>
      </c>
      <c r="S49" s="242">
        <f t="shared" si="4"/>
        <v>32635220.849999998</v>
      </c>
      <c r="T49" s="464">
        <f t="shared" si="3"/>
        <v>0.61501622286295787</v>
      </c>
      <c r="U49" s="481"/>
    </row>
    <row r="50" spans="1:21" ht="13.5" thickBot="1">
      <c r="A50" s="150">
        <v>462</v>
      </c>
      <c r="B50" s="530" t="str">
        <f>+VLOOKUP($A50,Master!$D$29:$G$225,4,FALSE)</f>
        <v>Otplata garancija</v>
      </c>
      <c r="C50" s="531"/>
      <c r="D50" s="531"/>
      <c r="E50" s="531"/>
      <c r="F50" s="531"/>
      <c r="G50" s="163">
        <v>0</v>
      </c>
      <c r="H50" s="163">
        <v>0</v>
      </c>
      <c r="I50" s="163">
        <v>0</v>
      </c>
      <c r="J50" s="163">
        <v>500000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500000</v>
      </c>
      <c r="T50" s="464">
        <f t="shared" si="3"/>
        <v>9.4225840494497216E-3</v>
      </c>
      <c r="U50" s="481"/>
    </row>
    <row r="51" spans="1:21" ht="13.5" thickBot="1">
      <c r="A51" s="144">
        <v>4630</v>
      </c>
      <c r="B51" s="605" t="str">
        <f>+VLOOKUP($A51,Master!$D$29:$G$225,4,TRUE)</f>
        <v>Otplata obaveza iz prethodnog perioda</v>
      </c>
      <c r="C51" s="606"/>
      <c r="D51" s="606"/>
      <c r="E51" s="606"/>
      <c r="F51" s="606"/>
      <c r="G51" s="458">
        <v>17529055.329999998</v>
      </c>
      <c r="H51" s="458">
        <v>3946389.9</v>
      </c>
      <c r="I51" s="458">
        <v>2323374.4</v>
      </c>
      <c r="J51" s="458">
        <v>1211885.74</v>
      </c>
      <c r="K51" s="458">
        <v>1145121.3300000003</v>
      </c>
      <c r="L51" s="458">
        <v>1002974.65</v>
      </c>
      <c r="M51" s="458">
        <v>2410972.5299999993</v>
      </c>
      <c r="N51" s="458">
        <v>791334.30999999994</v>
      </c>
      <c r="O51" s="458">
        <v>1107049.1300000001</v>
      </c>
      <c r="P51" s="458">
        <v>0</v>
      </c>
      <c r="Q51" s="458">
        <v>0</v>
      </c>
      <c r="R51" s="458">
        <v>0</v>
      </c>
      <c r="S51" s="425">
        <f>+SUM(G51:R51)</f>
        <v>31468157.319999993</v>
      </c>
      <c r="T51" s="468">
        <f t="shared" si="3"/>
        <v>0.5930227144580128</v>
      </c>
      <c r="U51" s="481"/>
    </row>
    <row r="52" spans="1:21" ht="13.5" thickBot="1">
      <c r="A52" s="70">
        <v>1005</v>
      </c>
      <c r="B52" s="607" t="str">
        <f>+VLOOKUP($A52,Master!$D$29:$G$227,4,FALSE)</f>
        <v>Neto povećanje obaveza</v>
      </c>
      <c r="C52" s="608"/>
      <c r="D52" s="608"/>
      <c r="E52" s="608"/>
      <c r="F52" s="608"/>
      <c r="G52" s="95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163">
        <v>0</v>
      </c>
      <c r="S52" s="115">
        <f>+SUM(G52:R52)</f>
        <v>0</v>
      </c>
      <c r="T52" s="469">
        <f t="shared" si="3"/>
        <v>0</v>
      </c>
      <c r="U52" s="482"/>
    </row>
    <row r="53" spans="1:21" ht="13.5" thickBot="1">
      <c r="A53" s="144">
        <v>1000</v>
      </c>
      <c r="B53" s="536" t="str">
        <f>+VLOOKUP($A53,Master!$D$29:$G$225,4,FALSE)</f>
        <v>Suficit / deficit</v>
      </c>
      <c r="C53" s="537"/>
      <c r="D53" s="537"/>
      <c r="E53" s="537"/>
      <c r="F53" s="537"/>
      <c r="G53" s="151">
        <f t="shared" ref="G53:R53" si="9">+G10-G29</f>
        <v>-27690990.819999963</v>
      </c>
      <c r="H53" s="151">
        <f t="shared" si="9"/>
        <v>-26184314.520000011</v>
      </c>
      <c r="I53" s="151">
        <f t="shared" si="9"/>
        <v>31956186.970000029</v>
      </c>
      <c r="J53" s="151">
        <f t="shared" si="9"/>
        <v>-20817369.779999912</v>
      </c>
      <c r="K53" s="151">
        <f t="shared" si="9"/>
        <v>8454993.5200000107</v>
      </c>
      <c r="L53" s="151">
        <f t="shared" si="9"/>
        <v>-10807361.370000005</v>
      </c>
      <c r="M53" s="151">
        <f t="shared" si="9"/>
        <v>-12767365.310000002</v>
      </c>
      <c r="N53" s="151">
        <f t="shared" si="9"/>
        <v>48417223.379999906</v>
      </c>
      <c r="O53" s="151">
        <f t="shared" si="9"/>
        <v>-26533203.960000038</v>
      </c>
      <c r="P53" s="151">
        <f t="shared" si="9"/>
        <v>0</v>
      </c>
      <c r="Q53" s="151">
        <f t="shared" si="9"/>
        <v>0</v>
      </c>
      <c r="R53" s="151">
        <f t="shared" si="9"/>
        <v>0</v>
      </c>
      <c r="S53" s="248">
        <f t="shared" si="4"/>
        <v>-35972201.889999986</v>
      </c>
      <c r="T53" s="470">
        <f t="shared" si="3"/>
        <v>-0.67790219150459796</v>
      </c>
      <c r="U53" s="292">
        <f>+O53/T7*100</f>
        <v>-0.50002268882858514</v>
      </c>
    </row>
    <row r="54" spans="1:21" ht="13.5" thickBot="1">
      <c r="A54" s="144">
        <v>1001</v>
      </c>
      <c r="B54" s="538" t="str">
        <f>+VLOOKUP($A54,Master!$D$29:$G$225,4,FALSE)</f>
        <v>Primarni suficit/deficit</v>
      </c>
      <c r="C54" s="539"/>
      <c r="D54" s="539"/>
      <c r="E54" s="539"/>
      <c r="F54" s="539"/>
      <c r="G54" s="205">
        <f t="shared" ref="G54:R54" si="10">+G53+G36</f>
        <v>-23836228.569999963</v>
      </c>
      <c r="H54" s="205">
        <f t="shared" si="10"/>
        <v>-24913970.330000009</v>
      </c>
      <c r="I54" s="205">
        <f t="shared" si="10"/>
        <v>32905269.530000027</v>
      </c>
      <c r="J54" s="205">
        <f t="shared" si="10"/>
        <v>6378251.2900000885</v>
      </c>
      <c r="K54" s="205">
        <f t="shared" si="10"/>
        <v>13043467.300000012</v>
      </c>
      <c r="L54" s="205">
        <f t="shared" si="10"/>
        <v>-9590562.3400000054</v>
      </c>
      <c r="M54" s="205">
        <f t="shared" si="10"/>
        <v>-8983302.4900000021</v>
      </c>
      <c r="N54" s="205">
        <f t="shared" si="10"/>
        <v>49748888.409999907</v>
      </c>
      <c r="O54" s="205">
        <f t="shared" si="10"/>
        <v>-12968671.130000038</v>
      </c>
      <c r="P54" s="205">
        <f t="shared" si="10"/>
        <v>0</v>
      </c>
      <c r="Q54" s="205">
        <f t="shared" si="10"/>
        <v>0</v>
      </c>
      <c r="R54" s="205">
        <f t="shared" si="10"/>
        <v>0</v>
      </c>
      <c r="S54" s="248">
        <f t="shared" si="4"/>
        <v>21783141.670000009</v>
      </c>
      <c r="T54" s="470">
        <f t="shared" si="3"/>
        <v>0.41050696649329127</v>
      </c>
    </row>
    <row r="55" spans="1:21">
      <c r="A55" s="144">
        <v>46</v>
      </c>
      <c r="B55" s="560" t="str">
        <f>+VLOOKUP($A55,Master!$D$29:$G$225,4,FALSE)</f>
        <v>Otplata dugova</v>
      </c>
      <c r="C55" s="561"/>
      <c r="D55" s="561"/>
      <c r="E55" s="561"/>
      <c r="F55" s="561"/>
      <c r="G55" s="193">
        <f t="shared" ref="G55:R55" si="11">+SUM(G56:G57)</f>
        <v>28431258.969999999</v>
      </c>
      <c r="H55" s="193">
        <f t="shared" si="11"/>
        <v>14209001.130000001</v>
      </c>
      <c r="I55" s="193">
        <f t="shared" si="11"/>
        <v>11671682.99</v>
      </c>
      <c r="J55" s="175">
        <f t="shared" si="11"/>
        <v>57474225.629999995</v>
      </c>
      <c r="K55" s="193">
        <f t="shared" si="11"/>
        <v>39081986.149999999</v>
      </c>
      <c r="L55" s="193">
        <f t="shared" si="11"/>
        <v>11628176.57</v>
      </c>
      <c r="M55" s="193">
        <f t="shared" si="11"/>
        <v>30399609.420000002</v>
      </c>
      <c r="N55" s="193">
        <f t="shared" si="11"/>
        <v>13945467.43</v>
      </c>
      <c r="O55" s="193">
        <f t="shared" si="11"/>
        <v>10059315</v>
      </c>
      <c r="P55" s="193">
        <f t="shared" si="11"/>
        <v>0</v>
      </c>
      <c r="Q55" s="193">
        <f t="shared" si="11"/>
        <v>0</v>
      </c>
      <c r="R55" s="193">
        <f t="shared" si="11"/>
        <v>0</v>
      </c>
      <c r="S55" s="249">
        <f t="shared" si="4"/>
        <v>216900723.29000002</v>
      </c>
      <c r="T55" s="471">
        <f t="shared" si="3"/>
        <v>4.0875305911729232</v>
      </c>
    </row>
    <row r="56" spans="1:21">
      <c r="A56" s="144">
        <v>4611</v>
      </c>
      <c r="B56" s="528" t="str">
        <f>+VLOOKUP($A56,Master!$D$29:$G$225,4,FALSE)</f>
        <v>Otplata hartija od vrijednosti i kredita rezidentima</v>
      </c>
      <c r="C56" s="529"/>
      <c r="D56" s="529"/>
      <c r="E56" s="529"/>
      <c r="F56" s="529"/>
      <c r="G56" s="211">
        <v>2390495.08</v>
      </c>
      <c r="H56" s="211">
        <v>3087670.22</v>
      </c>
      <c r="I56" s="211">
        <v>2560106.65</v>
      </c>
      <c r="J56" s="211">
        <v>4658647.9099999992</v>
      </c>
      <c r="K56" s="211">
        <v>8572190.1199999992</v>
      </c>
      <c r="L56" s="211">
        <v>713784.35</v>
      </c>
      <c r="M56" s="211">
        <v>2437648.0699999998</v>
      </c>
      <c r="N56" s="211">
        <v>2374633.7599999998</v>
      </c>
      <c r="O56" s="211">
        <v>722146.47000000009</v>
      </c>
      <c r="P56" s="211">
        <v>0</v>
      </c>
      <c r="Q56" s="211">
        <v>0</v>
      </c>
      <c r="R56" s="211">
        <v>0</v>
      </c>
      <c r="S56" s="250">
        <f t="shared" si="4"/>
        <v>27517322.629999995</v>
      </c>
      <c r="T56" s="472">
        <f t="shared" si="3"/>
        <v>0.51856857059399963</v>
      </c>
    </row>
    <row r="57" spans="1:21" ht="13.5" thickBot="1">
      <c r="A57" s="144">
        <v>4612</v>
      </c>
      <c r="B57" s="512" t="str">
        <f>+VLOOKUP($A57,Master!$D$29:$G$225,4,FALSE)</f>
        <v>Otplata hartija od vrijednosti i kredita nerezidentima</v>
      </c>
      <c r="C57" s="513"/>
      <c r="D57" s="513"/>
      <c r="E57" s="513"/>
      <c r="F57" s="513"/>
      <c r="G57" s="211">
        <v>26040763.890000001</v>
      </c>
      <c r="H57" s="211">
        <v>11121330.91</v>
      </c>
      <c r="I57" s="211">
        <v>9111576.3399999999</v>
      </c>
      <c r="J57" s="211">
        <v>52815577.719999999</v>
      </c>
      <c r="K57" s="211">
        <v>30509796.030000001</v>
      </c>
      <c r="L57" s="211">
        <v>10914392.220000001</v>
      </c>
      <c r="M57" s="211">
        <v>27961961.350000001</v>
      </c>
      <c r="N57" s="211">
        <v>11570833.67</v>
      </c>
      <c r="O57" s="211">
        <v>9337168.5299999993</v>
      </c>
      <c r="P57" s="211">
        <v>0</v>
      </c>
      <c r="Q57" s="211">
        <v>0</v>
      </c>
      <c r="R57" s="211">
        <v>0</v>
      </c>
      <c r="S57" s="250">
        <f t="shared" si="4"/>
        <v>189383400.66</v>
      </c>
      <c r="T57" s="472">
        <f t="shared" si="3"/>
        <v>3.5689620205789239</v>
      </c>
    </row>
    <row r="58" spans="1:21" ht="13.5" thickBot="1">
      <c r="A58" s="144">
        <v>4418</v>
      </c>
      <c r="B58" s="550" t="str">
        <f>+VLOOKUP($A58,Master!$D$29:$G$225,4,FALSE)</f>
        <v>Izdaci za kupovinu hartija od vrijednosti</v>
      </c>
      <c r="C58" s="551"/>
      <c r="D58" s="551"/>
      <c r="E58" s="551"/>
      <c r="F58" s="551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0</v>
      </c>
      <c r="P58" s="460">
        <v>0</v>
      </c>
      <c r="Q58" s="460">
        <v>0</v>
      </c>
      <c r="R58" s="460">
        <v>0</v>
      </c>
      <c r="S58" s="249">
        <f>SUM(G58:R58)</f>
        <v>0</v>
      </c>
      <c r="T58" s="473">
        <f t="shared" si="3"/>
        <v>0</v>
      </c>
    </row>
    <row r="59" spans="1:21" ht="13.5" thickBot="1">
      <c r="A59" s="144">
        <v>1002</v>
      </c>
      <c r="B59" s="532" t="str">
        <f>+VLOOKUP($A59,Master!$D$29:$G$225,4,FALSE)</f>
        <v>Nedostajuća sredstva</v>
      </c>
      <c r="C59" s="533"/>
      <c r="D59" s="533"/>
      <c r="E59" s="533"/>
      <c r="F59" s="533"/>
      <c r="G59" s="217">
        <f>+G53-G55-G58</f>
        <v>-56122249.789999962</v>
      </c>
      <c r="H59" s="217">
        <f t="shared" ref="H59:R59" si="12">+H53-H55-H58</f>
        <v>-40393315.650000013</v>
      </c>
      <c r="I59" s="217">
        <f t="shared" si="12"/>
        <v>20284503.980000027</v>
      </c>
      <c r="J59" s="217">
        <f t="shared" si="12"/>
        <v>-78291595.409999907</v>
      </c>
      <c r="K59" s="217">
        <f t="shared" si="12"/>
        <v>-30626992.629999988</v>
      </c>
      <c r="L59" s="217">
        <f t="shared" si="12"/>
        <v>-22435537.940000005</v>
      </c>
      <c r="M59" s="217">
        <f t="shared" si="12"/>
        <v>-43166974.730000004</v>
      </c>
      <c r="N59" s="217">
        <f t="shared" si="12"/>
        <v>34471755.949999906</v>
      </c>
      <c r="O59" s="217">
        <f t="shared" si="12"/>
        <v>-36592518.960000038</v>
      </c>
      <c r="P59" s="217">
        <f t="shared" si="12"/>
        <v>0</v>
      </c>
      <c r="Q59" s="217">
        <f t="shared" si="12"/>
        <v>0</v>
      </c>
      <c r="R59" s="217">
        <f t="shared" si="12"/>
        <v>0</v>
      </c>
      <c r="S59" s="251">
        <f t="shared" si="4"/>
        <v>-252872925.17999998</v>
      </c>
      <c r="T59" s="474">
        <f t="shared" si="3"/>
        <v>-4.7654327826775207</v>
      </c>
    </row>
    <row r="60" spans="1:21" ht="13.5" thickBot="1">
      <c r="A60" s="144">
        <v>1003</v>
      </c>
      <c r="B60" s="534" t="str">
        <f>+VLOOKUP($A60,Master!$D$29:$G$225,4,FALSE)</f>
        <v>Finansiranje</v>
      </c>
      <c r="C60" s="535"/>
      <c r="D60" s="535"/>
      <c r="E60" s="535"/>
      <c r="F60" s="535"/>
      <c r="G60" s="151">
        <f>+SUM(G61:G64)</f>
        <v>56122249.789999962</v>
      </c>
      <c r="H60" s="151">
        <f t="shared" ref="H60:R60" si="13">+SUM(H61:H64)</f>
        <v>40393315.650000013</v>
      </c>
      <c r="I60" s="151">
        <f t="shared" si="13"/>
        <v>-20284503.980000027</v>
      </c>
      <c r="J60" s="151">
        <f t="shared" si="13"/>
        <v>78291595.409999907</v>
      </c>
      <c r="K60" s="151">
        <f t="shared" si="13"/>
        <v>30626992.629999988</v>
      </c>
      <c r="L60" s="151">
        <f t="shared" si="13"/>
        <v>22435537.940000005</v>
      </c>
      <c r="M60" s="151">
        <f t="shared" si="13"/>
        <v>43166974.730000004</v>
      </c>
      <c r="N60" s="151">
        <f t="shared" si="13"/>
        <v>-34471755.949999906</v>
      </c>
      <c r="O60" s="151">
        <f t="shared" si="13"/>
        <v>36592518.960000038</v>
      </c>
      <c r="P60" s="151">
        <f t="shared" si="13"/>
        <v>0</v>
      </c>
      <c r="Q60" s="151">
        <f t="shared" si="13"/>
        <v>0</v>
      </c>
      <c r="R60" s="151">
        <f t="shared" si="13"/>
        <v>0</v>
      </c>
      <c r="S60" s="252">
        <f t="shared" si="4"/>
        <v>252872925.17999998</v>
      </c>
      <c r="T60" s="475">
        <f t="shared" si="3"/>
        <v>4.7654327826775207</v>
      </c>
    </row>
    <row r="61" spans="1:21">
      <c r="A61" s="144">
        <v>7511</v>
      </c>
      <c r="B61" s="528" t="str">
        <f>+VLOOKUP($A61,Master!$D$29:$G$225,4,FALSE)</f>
        <v>Pozajmice i krediti od domaćih izvora</v>
      </c>
      <c r="C61" s="529"/>
      <c r="D61" s="529"/>
      <c r="E61" s="529"/>
      <c r="F61" s="529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2">
        <f t="shared" si="3"/>
        <v>0</v>
      </c>
    </row>
    <row r="62" spans="1:21">
      <c r="A62" s="144">
        <v>7512</v>
      </c>
      <c r="B62" s="512" t="str">
        <f>+VLOOKUP($A62,Master!$D$29:$G$225,4,FALSE)</f>
        <v>Pozajmice i krediti od inostranih izvora</v>
      </c>
      <c r="C62" s="513"/>
      <c r="D62" s="513"/>
      <c r="E62" s="513"/>
      <c r="F62" s="513"/>
      <c r="G62" s="211">
        <v>12789994.92</v>
      </c>
      <c r="H62" s="211">
        <v>10460525.210000001</v>
      </c>
      <c r="I62" s="211">
        <v>1259301.6500000001</v>
      </c>
      <c r="J62" s="211">
        <v>8067041.25</v>
      </c>
      <c r="K62" s="211">
        <v>10171647.83</v>
      </c>
      <c r="L62" s="211">
        <v>12964517.649999999</v>
      </c>
      <c r="M62" s="211">
        <v>7561730.7999999998</v>
      </c>
      <c r="N62" s="211">
        <v>2176468.12</v>
      </c>
      <c r="O62" s="211">
        <v>290187.59999999998</v>
      </c>
      <c r="P62" s="211">
        <v>0</v>
      </c>
      <c r="Q62" s="211">
        <v>0</v>
      </c>
      <c r="R62" s="211">
        <v>0</v>
      </c>
      <c r="S62" s="250">
        <f t="shared" si="4"/>
        <v>65741415.029999994</v>
      </c>
      <c r="T62" s="472">
        <f t="shared" si="3"/>
        <v>1.2389080172998641</v>
      </c>
    </row>
    <row r="63" spans="1:21">
      <c r="A63" s="144">
        <v>72</v>
      </c>
      <c r="B63" s="512" t="str">
        <f>+VLOOKUP($A63,Master!$D$29:$G$225,4,FALSE)</f>
        <v>Primici od prodaje imovine</v>
      </c>
      <c r="C63" s="513"/>
      <c r="D63" s="513"/>
      <c r="E63" s="513"/>
      <c r="F63" s="513"/>
      <c r="G63" s="211">
        <v>693159.59000000008</v>
      </c>
      <c r="H63" s="211">
        <v>70539.22</v>
      </c>
      <c r="I63" s="211">
        <v>383792.48</v>
      </c>
      <c r="J63" s="211">
        <v>766267.74</v>
      </c>
      <c r="K63" s="211">
        <v>26413.63</v>
      </c>
      <c r="L63" s="211">
        <v>243495.38999999998</v>
      </c>
      <c r="M63" s="211">
        <v>209628.7</v>
      </c>
      <c r="N63" s="211">
        <v>313064.5</v>
      </c>
      <c r="O63" s="211">
        <v>651689.59</v>
      </c>
      <c r="P63" s="211">
        <v>0</v>
      </c>
      <c r="Q63" s="211">
        <v>0</v>
      </c>
      <c r="R63" s="211">
        <v>0</v>
      </c>
      <c r="S63" s="250">
        <f t="shared" si="4"/>
        <v>3358050.84</v>
      </c>
      <c r="T63" s="472">
        <f t="shared" si="3"/>
        <v>6.3283032564450475E-2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v>42639095.279999964</v>
      </c>
      <c r="H64" s="225">
        <v>29862251.220000014</v>
      </c>
      <c r="I64" s="225">
        <v>-21927598.110000025</v>
      </c>
      <c r="J64" s="225">
        <v>69458286.419999912</v>
      </c>
      <c r="K64" s="225">
        <v>20428931.169999987</v>
      </c>
      <c r="L64" s="225">
        <v>9227524.900000006</v>
      </c>
      <c r="M64" s="225">
        <v>35395615.230000004</v>
      </c>
      <c r="N64" s="225">
        <v>-36961288.569999903</v>
      </c>
      <c r="O64" s="225">
        <v>35650641.770000041</v>
      </c>
      <c r="P64" s="225">
        <v>0</v>
      </c>
      <c r="Q64" s="225">
        <v>0</v>
      </c>
      <c r="R64" s="225">
        <v>0</v>
      </c>
      <c r="S64" s="253">
        <f>+SUM(G64:R64)</f>
        <v>183773459.30999997</v>
      </c>
      <c r="T64" s="476">
        <f t="shared" si="3"/>
        <v>3.4632417328132061</v>
      </c>
    </row>
    <row r="65" spans="7:21">
      <c r="R65" s="312"/>
    </row>
    <row r="67" spans="7:21">
      <c r="G67" s="311"/>
    </row>
    <row r="74" spans="7:21">
      <c r="U74" s="257"/>
    </row>
    <row r="79" spans="7:21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21" ht="13.5" thickBot="1">
      <c r="G80" s="68" t="str">
        <f t="shared" ref="G80:R80" si="14">+CONCATENATE(G6,"p")</f>
        <v>2022-01p</v>
      </c>
      <c r="H80" s="68" t="str">
        <f t="shared" si="14"/>
        <v>2022-02p</v>
      </c>
      <c r="I80" s="68" t="str">
        <f t="shared" si="14"/>
        <v>2022-03p</v>
      </c>
      <c r="J80" s="68" t="str">
        <f t="shared" si="14"/>
        <v>2022-04p</v>
      </c>
      <c r="K80" s="68" t="str">
        <f t="shared" si="14"/>
        <v>2022-05p</v>
      </c>
      <c r="L80" s="68" t="str">
        <f t="shared" si="14"/>
        <v>2022-06p</v>
      </c>
      <c r="M80" s="68" t="str">
        <f t="shared" si="14"/>
        <v>2022-07p</v>
      </c>
      <c r="N80" s="68" t="str">
        <f t="shared" si="14"/>
        <v>2022-08p</v>
      </c>
      <c r="O80" s="68" t="str">
        <f t="shared" si="14"/>
        <v>2022-09p</v>
      </c>
      <c r="P80" s="68" t="str">
        <f t="shared" si="14"/>
        <v>2022-10p</v>
      </c>
      <c r="Q80" s="68" t="str">
        <f t="shared" si="14"/>
        <v>2022-11p</v>
      </c>
      <c r="R80" s="68" t="str">
        <f t="shared" si="14"/>
        <v>2022-12p</v>
      </c>
    </row>
    <row r="81" spans="1:21" ht="15.75" customHeight="1" thickBot="1">
      <c r="B81" s="592" t="str">
        <f>+Master!G252</f>
        <v>Plan ostvarenja budžeta</v>
      </c>
      <c r="C81" s="593"/>
      <c r="D81" s="593"/>
      <c r="E81" s="593"/>
      <c r="F81" s="593"/>
      <c r="G81" s="600">
        <v>2022</v>
      </c>
      <c r="H81" s="601"/>
      <c r="I81" s="601"/>
      <c r="J81" s="601"/>
      <c r="K81" s="601"/>
      <c r="L81" s="601"/>
      <c r="M81" s="601"/>
      <c r="N81" s="601"/>
      <c r="O81" s="601"/>
      <c r="P81" s="601"/>
      <c r="Q81" s="601"/>
      <c r="R81" s="602"/>
      <c r="S81" s="107" t="str">
        <f>+S7</f>
        <v>BDP</v>
      </c>
      <c r="T81" s="108">
        <v>5306400000</v>
      </c>
    </row>
    <row r="82" spans="1:21" ht="15.75" customHeight="1">
      <c r="B82" s="594"/>
      <c r="C82" s="595"/>
      <c r="D82" s="595"/>
      <c r="E82" s="595"/>
      <c r="F82" s="596"/>
      <c r="G82" s="71" t="str">
        <f t="shared" ref="G82:R82" si="15">+G8</f>
        <v>Januar</v>
      </c>
      <c r="H82" s="71" t="str">
        <f t="shared" si="15"/>
        <v>Februar</v>
      </c>
      <c r="I82" s="71" t="str">
        <f t="shared" si="15"/>
        <v>Mart</v>
      </c>
      <c r="J82" s="71" t="str">
        <f t="shared" si="15"/>
        <v>April</v>
      </c>
      <c r="K82" s="71" t="str">
        <f t="shared" si="15"/>
        <v>Maj</v>
      </c>
      <c r="L82" s="71" t="str">
        <f t="shared" si="15"/>
        <v>Jun</v>
      </c>
      <c r="M82" s="71" t="str">
        <f t="shared" si="15"/>
        <v>Jul</v>
      </c>
      <c r="N82" s="71" t="str">
        <f t="shared" si="15"/>
        <v>Avgust</v>
      </c>
      <c r="O82" s="71" t="str">
        <f t="shared" si="15"/>
        <v>Septembar</v>
      </c>
      <c r="P82" s="71" t="str">
        <f t="shared" si="15"/>
        <v>Oktobar</v>
      </c>
      <c r="Q82" s="71" t="str">
        <f t="shared" si="15"/>
        <v>Novembar</v>
      </c>
      <c r="R82" s="71" t="str">
        <f t="shared" si="15"/>
        <v>Decembar</v>
      </c>
      <c r="S82" s="600" t="str">
        <f>+Master!G246</f>
        <v>Jan - Dec</v>
      </c>
      <c r="T82" s="602">
        <f>+T8</f>
        <v>0</v>
      </c>
    </row>
    <row r="83" spans="1:21" ht="13.5" thickBot="1">
      <c r="B83" s="597"/>
      <c r="C83" s="598"/>
      <c r="D83" s="598"/>
      <c r="E83" s="598"/>
      <c r="F83" s="599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38" si="16">+CONCATENATE(A10,"p")</f>
        <v>7p</v>
      </c>
      <c r="B84" s="588" t="str">
        <f>+VLOOKUP(LEFT($A84,LEN(A84)-1)*1,Master!$D$29:$G$225,4,FALSE)</f>
        <v>Prihodi budžeta</v>
      </c>
      <c r="C84" s="589"/>
      <c r="D84" s="589"/>
      <c r="E84" s="589"/>
      <c r="F84" s="589"/>
      <c r="G84" s="93">
        <f t="shared" ref="G84:R84" si="17">+G85+G93+SUM(G98:G102)</f>
        <v>103883592.73418278</v>
      </c>
      <c r="H84" s="93">
        <f t="shared" si="17"/>
        <v>112389437.34253797</v>
      </c>
      <c r="I84" s="93">
        <f t="shared" si="17"/>
        <v>149823320.09605211</v>
      </c>
      <c r="J84" s="93">
        <f t="shared" si="17"/>
        <v>161889007.68791279</v>
      </c>
      <c r="K84" s="93">
        <f t="shared" si="17"/>
        <v>140633489.37786841</v>
      </c>
      <c r="L84" s="93">
        <f t="shared" si="17"/>
        <v>163567969.03586718</v>
      </c>
      <c r="M84" s="93">
        <f t="shared" si="17"/>
        <v>189013439.82863885</v>
      </c>
      <c r="N84" s="93">
        <f t="shared" si="17"/>
        <v>195169347.71786064</v>
      </c>
      <c r="O84" s="93">
        <f t="shared" si="17"/>
        <v>173319933.4629713</v>
      </c>
      <c r="P84" s="93">
        <f t="shared" si="17"/>
        <v>168315875.7953729</v>
      </c>
      <c r="Q84" s="93">
        <f t="shared" si="17"/>
        <v>160954690.16744265</v>
      </c>
      <c r="R84" s="93">
        <f t="shared" si="17"/>
        <v>215797515.85336715</v>
      </c>
      <c r="S84" s="453">
        <f>+SUM(G84:R84)</f>
        <v>1934757619.1000748</v>
      </c>
      <c r="T84" s="477">
        <f>+S84/$T$81*100</f>
        <v>36.460832562567369</v>
      </c>
      <c r="U84" s="257"/>
    </row>
    <row r="85" spans="1:21">
      <c r="A85" s="116" t="str">
        <f t="shared" si="16"/>
        <v>711p</v>
      </c>
      <c r="B85" s="590" t="str">
        <f>+VLOOKUP(LEFT($A85,LEN(A85)-1)*1,Master!$D$29:$G$225,4,FALSE)</f>
        <v>Porezi</v>
      </c>
      <c r="C85" s="591"/>
      <c r="D85" s="591"/>
      <c r="E85" s="591"/>
      <c r="F85" s="591"/>
      <c r="G85" s="79">
        <f t="shared" ref="G85:R85" si="18">+SUM(G86:G92)</f>
        <v>76986192.301309064</v>
      </c>
      <c r="H85" s="79">
        <f t="shared" si="18"/>
        <v>68739316.006660998</v>
      </c>
      <c r="I85" s="79">
        <f t="shared" si="18"/>
        <v>105701262.46110664</v>
      </c>
      <c r="J85" s="79">
        <f t="shared" si="18"/>
        <v>109215070.37754746</v>
      </c>
      <c r="K85" s="79">
        <f t="shared" si="18"/>
        <v>93834576.699615017</v>
      </c>
      <c r="L85" s="79">
        <f t="shared" si="18"/>
        <v>108847757.90236668</v>
      </c>
      <c r="M85" s="79">
        <f t="shared" si="18"/>
        <v>125840403.83781756</v>
      </c>
      <c r="N85" s="79">
        <f t="shared" si="18"/>
        <v>134576943.18371007</v>
      </c>
      <c r="O85" s="79">
        <f t="shared" si="18"/>
        <v>121706415.21215931</v>
      </c>
      <c r="P85" s="79">
        <f t="shared" si="18"/>
        <v>112627812.98825803</v>
      </c>
      <c r="Q85" s="79">
        <f t="shared" si="18"/>
        <v>103171800.18523188</v>
      </c>
      <c r="R85" s="80">
        <f t="shared" si="18"/>
        <v>116102139.13114922</v>
      </c>
      <c r="S85" s="111">
        <f t="shared" ref="S85:S138" si="19">+SUM(G85:R85)</f>
        <v>1277349690.286932</v>
      </c>
      <c r="T85" s="463">
        <f t="shared" ref="T85:T138" si="20">+S85/$T$81*100</f>
        <v>24.071869634534373</v>
      </c>
      <c r="U85" s="257"/>
    </row>
    <row r="86" spans="1:21">
      <c r="A86" s="116" t="str">
        <f t="shared" si="16"/>
        <v>7111p</v>
      </c>
      <c r="B86" s="578" t="str">
        <f>+VLOOKUP(LEFT($A86,LEN(A86)-1)*1,Master!$D$29:$G$228,4,FALSE)</f>
        <v>Porez na dohodak fizičkih lica</v>
      </c>
      <c r="C86" s="579"/>
      <c r="D86" s="579"/>
      <c r="E86" s="579"/>
      <c r="F86" s="579"/>
      <c r="G86" s="87">
        <v>6036977.0769869126</v>
      </c>
      <c r="H86" s="87">
        <v>8911478.3177045882</v>
      </c>
      <c r="I86" s="87">
        <v>8610008.171962196</v>
      </c>
      <c r="J86" s="87">
        <v>12249334.247183047</v>
      </c>
      <c r="K86" s="87">
        <v>11719700.466837784</v>
      </c>
      <c r="L86" s="87">
        <v>11838864.683369705</v>
      </c>
      <c r="M86" s="87">
        <v>12658416.85178042</v>
      </c>
      <c r="N86" s="87">
        <v>12153377.839137483</v>
      </c>
      <c r="O86" s="87">
        <v>12015172.827783465</v>
      </c>
      <c r="P86" s="87">
        <v>12484353.918082759</v>
      </c>
      <c r="Q86" s="87">
        <v>11687568.278631231</v>
      </c>
      <c r="R86" s="87">
        <v>19924639.630337406</v>
      </c>
      <c r="S86" s="112">
        <f t="shared" si="19"/>
        <v>140289892.30979699</v>
      </c>
      <c r="T86" s="464">
        <f t="shared" si="20"/>
        <v>2.6437866031546244</v>
      </c>
    </row>
    <row r="87" spans="1:21">
      <c r="A87" s="116" t="str">
        <f t="shared" si="16"/>
        <v>7112p</v>
      </c>
      <c r="B87" s="578" t="str">
        <f>+VLOOKUP(LEFT($A87,LEN(A87)-1)*1,Master!$D$29:$G$228,4,FALSE)</f>
        <v>Porez na dobit pravnih lica</v>
      </c>
      <c r="C87" s="579"/>
      <c r="D87" s="579"/>
      <c r="E87" s="579"/>
      <c r="F87" s="579"/>
      <c r="G87" s="87">
        <v>386172.45118166273</v>
      </c>
      <c r="H87" s="87">
        <v>2338219.2077789549</v>
      </c>
      <c r="I87" s="87">
        <v>28996013.122200411</v>
      </c>
      <c r="J87" s="87">
        <v>22814989.281143885</v>
      </c>
      <c r="K87" s="87">
        <v>5197060.1926962147</v>
      </c>
      <c r="L87" s="87">
        <v>4933009.0913874442</v>
      </c>
      <c r="M87" s="87">
        <v>5265465.4182412103</v>
      </c>
      <c r="N87" s="87">
        <v>4155051.2661085152</v>
      </c>
      <c r="O87" s="87">
        <v>2892088.1311011645</v>
      </c>
      <c r="P87" s="87">
        <v>1042099.4749570616</v>
      </c>
      <c r="Q87" s="87">
        <v>1268040.6826842749</v>
      </c>
      <c r="R87" s="87">
        <v>4996140.2242778074</v>
      </c>
      <c r="S87" s="112">
        <f t="shared" si="19"/>
        <v>84284348.543758601</v>
      </c>
      <c r="T87" s="464">
        <f t="shared" si="20"/>
        <v>1.5883527164133611</v>
      </c>
    </row>
    <row r="88" spans="1:21">
      <c r="A88" s="116" t="str">
        <f t="shared" si="16"/>
        <v>7113p</v>
      </c>
      <c r="B88" s="578" t="str">
        <f>+VLOOKUP(LEFT($A88,LEN(A88)-1)*1,Master!$D$29:$G$228,4,FALSE)</f>
        <v>Porez na promet nepokretnosti</v>
      </c>
      <c r="C88" s="579"/>
      <c r="D88" s="579"/>
      <c r="E88" s="579"/>
      <c r="F88" s="579"/>
      <c r="G88" s="87">
        <v>137599.11671066686</v>
      </c>
      <c r="H88" s="87">
        <v>139962.95471971622</v>
      </c>
      <c r="I88" s="87">
        <v>160800.54964910698</v>
      </c>
      <c r="J88" s="87">
        <v>168679.89751277707</v>
      </c>
      <c r="K88" s="87">
        <v>151756.38063291303</v>
      </c>
      <c r="L88" s="87">
        <v>130623.85679923798</v>
      </c>
      <c r="M88" s="87">
        <v>126029.78316750137</v>
      </c>
      <c r="N88" s="87">
        <v>142307.1388536517</v>
      </c>
      <c r="O88" s="87">
        <v>108672.06715796523</v>
      </c>
      <c r="P88" s="87">
        <v>143661.48518472709</v>
      </c>
      <c r="Q88" s="87">
        <v>142630.12109384249</v>
      </c>
      <c r="R88" s="87">
        <v>128842.67579023782</v>
      </c>
      <c r="S88" s="112">
        <f t="shared" si="19"/>
        <v>1681566.0272723434</v>
      </c>
      <c r="T88" s="464">
        <f t="shared" si="20"/>
        <v>3.1689394453345836E-2</v>
      </c>
    </row>
    <row r="89" spans="1:21">
      <c r="A89" s="116" t="str">
        <f t="shared" si="16"/>
        <v>7114p</v>
      </c>
      <c r="B89" s="578" t="str">
        <f>+VLOOKUP(LEFT($A89,LEN(A89)-1)*1,Master!$D$29:$G$228,4,FALSE)</f>
        <v>Porez na dodatu vrijednost</v>
      </c>
      <c r="C89" s="579"/>
      <c r="D89" s="579"/>
      <c r="E89" s="579"/>
      <c r="F89" s="579"/>
      <c r="G89" s="87">
        <v>48997810.15816012</v>
      </c>
      <c r="H89" s="87">
        <v>40002470.340359561</v>
      </c>
      <c r="I89" s="87">
        <v>50004466.090834908</v>
      </c>
      <c r="J89" s="87">
        <v>53003514.578586213</v>
      </c>
      <c r="K89" s="87">
        <v>53019436.722509921</v>
      </c>
      <c r="L89" s="87">
        <v>65702977.290997334</v>
      </c>
      <c r="M89" s="87">
        <v>76000116.474118784</v>
      </c>
      <c r="N89" s="87">
        <v>80017450.661895335</v>
      </c>
      <c r="O89" s="87">
        <v>70695564.988729894</v>
      </c>
      <c r="P89" s="87">
        <v>69519387.136670247</v>
      </c>
      <c r="Q89" s="87">
        <v>62764600.786352843</v>
      </c>
      <c r="R89" s="87">
        <v>64112577.546304867</v>
      </c>
      <c r="S89" s="112">
        <f t="shared" si="19"/>
        <v>733840372.77552009</v>
      </c>
      <c r="T89" s="464">
        <f t="shared" si="20"/>
        <v>13.829345182713707</v>
      </c>
    </row>
    <row r="90" spans="1:21">
      <c r="A90" s="116" t="str">
        <f t="shared" si="16"/>
        <v>7115p</v>
      </c>
      <c r="B90" s="578" t="str">
        <f>+VLOOKUP(LEFT($A90,LEN(A90)-1)*1,Master!$D$29:$G$228,4,FALSE)</f>
        <v>Akcize</v>
      </c>
      <c r="C90" s="579"/>
      <c r="D90" s="579"/>
      <c r="E90" s="579"/>
      <c r="F90" s="579"/>
      <c r="G90" s="87">
        <v>19022248.857979022</v>
      </c>
      <c r="H90" s="87">
        <v>14888833.871354572</v>
      </c>
      <c r="I90" s="87">
        <v>14529557.862004982</v>
      </c>
      <c r="J90" s="87">
        <v>17361043.168040603</v>
      </c>
      <c r="K90" s="87">
        <v>20215865.486963261</v>
      </c>
      <c r="L90" s="87">
        <v>22457232.88613506</v>
      </c>
      <c r="M90" s="87">
        <v>27691704.400892012</v>
      </c>
      <c r="N90" s="87">
        <v>32942521.963602662</v>
      </c>
      <c r="O90" s="87">
        <v>31301086.260136649</v>
      </c>
      <c r="P90" s="87">
        <v>24896741.211742759</v>
      </c>
      <c r="Q90" s="87">
        <v>23199515.912827551</v>
      </c>
      <c r="R90" s="87">
        <v>22494227.663672887</v>
      </c>
      <c r="S90" s="112">
        <f t="shared" si="19"/>
        <v>271000579.54535198</v>
      </c>
      <c r="T90" s="464">
        <f t="shared" si="20"/>
        <v>5.1070514764313275</v>
      </c>
    </row>
    <row r="91" spans="1:21">
      <c r="A91" s="116" t="str">
        <f t="shared" si="16"/>
        <v>7116p</v>
      </c>
      <c r="B91" s="578" t="str">
        <f>+VLOOKUP(LEFT($A91,LEN(A91)-1)*1,Master!$D$29:$G$228,4,FALSE)</f>
        <v>Porez na međunarodnu trgovinu i transakcije</v>
      </c>
      <c r="C91" s="579"/>
      <c r="D91" s="579"/>
      <c r="E91" s="579"/>
      <c r="F91" s="579"/>
      <c r="G91" s="87">
        <v>1581959.901535122</v>
      </c>
      <c r="H91" s="87">
        <v>1703130.706570718</v>
      </c>
      <c r="I91" s="87">
        <v>2460685.1155701326</v>
      </c>
      <c r="J91" s="87">
        <v>2633161.7547204318</v>
      </c>
      <c r="K91" s="87">
        <v>2602607.8746786527</v>
      </c>
      <c r="L91" s="87">
        <v>2684994.2017241237</v>
      </c>
      <c r="M91" s="87">
        <v>3011596.6669215872</v>
      </c>
      <c r="N91" s="87">
        <v>3100234.0208783555</v>
      </c>
      <c r="O91" s="87">
        <v>2655237.4002162451</v>
      </c>
      <c r="P91" s="87">
        <v>2592394.5025440347</v>
      </c>
      <c r="Q91" s="87">
        <v>2104701.7503375057</v>
      </c>
      <c r="R91" s="87">
        <v>2536747.8171281349</v>
      </c>
      <c r="S91" s="112">
        <f t="shared" si="19"/>
        <v>29667451.712825045</v>
      </c>
      <c r="T91" s="464">
        <f t="shared" si="20"/>
        <v>0.55908811459417007</v>
      </c>
    </row>
    <row r="92" spans="1:21">
      <c r="A92" s="116" t="str">
        <f t="shared" si="16"/>
        <v>7118p</v>
      </c>
      <c r="B92" s="578" t="str">
        <f>+VLOOKUP(LEFT($A92,LEN(A92)-1)*1,Master!$D$29:$G$228,4,FALSE)</f>
        <v>Ostali državni porezi</v>
      </c>
      <c r="C92" s="579"/>
      <c r="D92" s="579"/>
      <c r="E92" s="579"/>
      <c r="F92" s="579"/>
      <c r="G92" s="87">
        <v>823424.73875555594</v>
      </c>
      <c r="H92" s="87">
        <v>755220.60817287723</v>
      </c>
      <c r="I92" s="87">
        <v>939731.54888491821</v>
      </c>
      <c r="J92" s="87">
        <v>984347.45036050549</v>
      </c>
      <c r="K92" s="87">
        <v>928149.5752962752</v>
      </c>
      <c r="L92" s="87">
        <v>1100055.8919537803</v>
      </c>
      <c r="M92" s="87">
        <v>1087074.2426960634</v>
      </c>
      <c r="N92" s="87">
        <v>2066000.2932340601</v>
      </c>
      <c r="O92" s="87">
        <v>2038593.5370339223</v>
      </c>
      <c r="P92" s="87">
        <v>1949175.2590764421</v>
      </c>
      <c r="Q92" s="87">
        <v>2004742.6533046227</v>
      </c>
      <c r="R92" s="87">
        <v>1908963.573637875</v>
      </c>
      <c r="S92" s="112">
        <f t="shared" si="19"/>
        <v>16585479.3724069</v>
      </c>
      <c r="T92" s="464">
        <f t="shared" si="20"/>
        <v>0.31255614677383725</v>
      </c>
    </row>
    <row r="93" spans="1:21">
      <c r="A93" s="116" t="str">
        <f t="shared" si="16"/>
        <v>712p</v>
      </c>
      <c r="B93" s="586" t="str">
        <f>+VLOOKUP(LEFT($A93,LEN(A93)-1)*1,Master!$D$29:$G$228,4,FALSE)</f>
        <v>Doprinosi</v>
      </c>
      <c r="C93" s="587"/>
      <c r="D93" s="587"/>
      <c r="E93" s="587"/>
      <c r="F93" s="587"/>
      <c r="G93" s="81">
        <f>+SUM(G94:G97)</f>
        <v>14739033.95730887</v>
      </c>
      <c r="H93" s="81">
        <f t="shared" ref="H93:R93" si="21">+SUM(H94:H97)</f>
        <v>35577399.162559882</v>
      </c>
      <c r="I93" s="480">
        <f t="shared" si="21"/>
        <v>35206496.551826648</v>
      </c>
      <c r="J93" s="81">
        <f t="shared" si="21"/>
        <v>42715012.505468771</v>
      </c>
      <c r="K93" s="81">
        <f t="shared" si="21"/>
        <v>35349770.216303565</v>
      </c>
      <c r="L93" s="81">
        <f t="shared" si="21"/>
        <v>40049430.910925195</v>
      </c>
      <c r="M93" s="81">
        <f t="shared" si="21"/>
        <v>42753293.821960472</v>
      </c>
      <c r="N93" s="81">
        <f t="shared" si="21"/>
        <v>40593513.231235966</v>
      </c>
      <c r="O93" s="81">
        <f t="shared" si="21"/>
        <v>39471393.883434452</v>
      </c>
      <c r="P93" s="81">
        <f t="shared" si="21"/>
        <v>42070524.854843825</v>
      </c>
      <c r="Q93" s="81">
        <f t="shared" si="21"/>
        <v>40155069.118088707</v>
      </c>
      <c r="R93" s="82">
        <f t="shared" si="21"/>
        <v>76385991.571237266</v>
      </c>
      <c r="S93" s="113">
        <f t="shared" si="19"/>
        <v>485066929.78519362</v>
      </c>
      <c r="T93" s="465">
        <f t="shared" si="20"/>
        <v>9.1411678310190254</v>
      </c>
    </row>
    <row r="94" spans="1:21">
      <c r="A94" s="116" t="str">
        <f t="shared" si="16"/>
        <v>7121p</v>
      </c>
      <c r="B94" s="578" t="str">
        <f>+VLOOKUP(LEFT($A94,LEN(A94)-1)*1,Master!$D$29:$G$228,4,FALSE)</f>
        <v>Doprinosi za penzijsko i invalidsko osiguranje</v>
      </c>
      <c r="C94" s="579"/>
      <c r="D94" s="579"/>
      <c r="E94" s="579"/>
      <c r="F94" s="579"/>
      <c r="G94" s="87">
        <v>9495171.1621009018</v>
      </c>
      <c r="H94" s="87">
        <v>31694621.356915068</v>
      </c>
      <c r="I94" s="87">
        <v>30831127.527752884</v>
      </c>
      <c r="J94" s="87">
        <v>38211450.90576046</v>
      </c>
      <c r="K94" s="87">
        <v>31487172.281432074</v>
      </c>
      <c r="L94" s="87">
        <v>35607882.632401399</v>
      </c>
      <c r="M94" s="87">
        <v>38126882.692857176</v>
      </c>
      <c r="N94" s="87">
        <v>36064695.044786133</v>
      </c>
      <c r="O94" s="87">
        <v>35048794.935994439</v>
      </c>
      <c r="P94" s="87">
        <v>37410500.030440003</v>
      </c>
      <c r="Q94" s="87">
        <v>35705275.759551719</v>
      </c>
      <c r="R94" s="87">
        <v>69140609.601068795</v>
      </c>
      <c r="S94" s="112">
        <f t="shared" si="19"/>
        <v>428824183.93106103</v>
      </c>
      <c r="T94" s="464">
        <f t="shared" si="20"/>
        <v>8.0812638310542173</v>
      </c>
    </row>
    <row r="95" spans="1:21">
      <c r="A95" s="116" t="str">
        <f t="shared" si="16"/>
        <v>7122p</v>
      </c>
      <c r="B95" s="578" t="str">
        <f>+VLOOKUP(LEFT($A95,LEN(A95)-1)*1,Master!$D$29:$G$228,4,FALSE)</f>
        <v>Doprinosi za zdravstveno osiguranje</v>
      </c>
      <c r="C95" s="579"/>
      <c r="D95" s="579"/>
      <c r="E95" s="579"/>
      <c r="F95" s="579"/>
      <c r="G95" s="87">
        <v>4217156.505590898</v>
      </c>
      <c r="H95" s="87">
        <v>1387272.7272727001</v>
      </c>
      <c r="I95" s="87">
        <v>1387272.7272727001</v>
      </c>
      <c r="J95" s="87">
        <v>1387272.7272727001</v>
      </c>
      <c r="K95" s="87">
        <v>1387272.7272727001</v>
      </c>
      <c r="L95" s="87">
        <v>1387272.7272727001</v>
      </c>
      <c r="M95" s="87">
        <v>1387272.7272727001</v>
      </c>
      <c r="N95" s="87">
        <v>1387272.7272727001</v>
      </c>
      <c r="O95" s="87">
        <v>1387272.7272727001</v>
      </c>
      <c r="P95" s="87">
        <v>1387272.7272727001</v>
      </c>
      <c r="Q95" s="87">
        <v>1387272.7272727001</v>
      </c>
      <c r="R95" s="87">
        <v>1387272.7272727001</v>
      </c>
      <c r="S95" s="112">
        <f t="shared" si="19"/>
        <v>19477156.505590603</v>
      </c>
      <c r="T95" s="464">
        <f t="shared" si="20"/>
        <v>0.36705028843642773</v>
      </c>
    </row>
    <row r="96" spans="1:21">
      <c r="A96" s="116" t="str">
        <f t="shared" si="16"/>
        <v>7123p</v>
      </c>
      <c r="B96" s="578" t="str">
        <f>+VLOOKUP(LEFT($A96,LEN(A96)-1)*1,Master!$D$29:$G$228,4,FALSE)</f>
        <v>Doprinosi za osiguranje od nezaposlenosti</v>
      </c>
      <c r="C96" s="579"/>
      <c r="D96" s="579"/>
      <c r="E96" s="579"/>
      <c r="F96" s="579"/>
      <c r="G96" s="87">
        <v>603768.4288435023</v>
      </c>
      <c r="H96" s="87">
        <v>1343353.7326137528</v>
      </c>
      <c r="I96" s="87">
        <v>1641125.2437121717</v>
      </c>
      <c r="J96" s="87">
        <v>1626153.9845466164</v>
      </c>
      <c r="K96" s="87">
        <v>1467152.5454538772</v>
      </c>
      <c r="L96" s="87">
        <v>1755326.7677572384</v>
      </c>
      <c r="M96" s="87">
        <v>1879060.7612420167</v>
      </c>
      <c r="N96" s="87">
        <v>1839647.957332494</v>
      </c>
      <c r="O96" s="87">
        <v>1731484.6640204804</v>
      </c>
      <c r="P96" s="87">
        <v>1821603.5457183875</v>
      </c>
      <c r="Q96" s="87">
        <v>1718684.5581534628</v>
      </c>
      <c r="R96" s="87">
        <v>3226187.9480236997</v>
      </c>
      <c r="S96" s="112">
        <f t="shared" si="19"/>
        <v>20653550.1374177</v>
      </c>
      <c r="T96" s="464">
        <f t="shared" si="20"/>
        <v>0.38921962417868422</v>
      </c>
    </row>
    <row r="97" spans="1:23">
      <c r="A97" s="116" t="str">
        <f t="shared" si="16"/>
        <v>7124p</v>
      </c>
      <c r="B97" s="578" t="str">
        <f>+VLOOKUP(LEFT($A97,LEN(A97)-1)*1,Master!$D$29:$G$228,4,FALSE)</f>
        <v>Ostali doprinosi</v>
      </c>
      <c r="C97" s="579"/>
      <c r="D97" s="579"/>
      <c r="E97" s="579"/>
      <c r="F97" s="579"/>
      <c r="G97" s="87">
        <v>422937.86077356793</v>
      </c>
      <c r="H97" s="87">
        <v>1152151.3457583643</v>
      </c>
      <c r="I97" s="87">
        <v>1346971.0530888957</v>
      </c>
      <c r="J97" s="87">
        <v>1490134.8878889994</v>
      </c>
      <c r="K97" s="87">
        <v>1008172.6621449152</v>
      </c>
      <c r="L97" s="87">
        <v>1298948.7834938644</v>
      </c>
      <c r="M97" s="87">
        <v>1360077.6405885809</v>
      </c>
      <c r="N97" s="87">
        <v>1301897.5018446438</v>
      </c>
      <c r="O97" s="87">
        <v>1303841.5561468413</v>
      </c>
      <c r="P97" s="87">
        <v>1451148.5514127368</v>
      </c>
      <c r="Q97" s="87">
        <v>1343836.0731108226</v>
      </c>
      <c r="R97" s="87">
        <v>2631921.2948720674</v>
      </c>
      <c r="S97" s="112">
        <f t="shared" si="19"/>
        <v>16112039.211124301</v>
      </c>
      <c r="T97" s="464">
        <f t="shared" si="20"/>
        <v>0.3036340873496966</v>
      </c>
    </row>
    <row r="98" spans="1:23">
      <c r="A98" s="116" t="str">
        <f t="shared" si="16"/>
        <v>713p</v>
      </c>
      <c r="B98" s="584" t="str">
        <f>+VLOOKUP(LEFT($A98,LEN(A98)-1)*1,Master!$D$29:$G$228,4,FALSE)</f>
        <v>Takse</v>
      </c>
      <c r="C98" s="585"/>
      <c r="D98" s="585"/>
      <c r="E98" s="585"/>
      <c r="F98" s="585"/>
      <c r="G98" s="83">
        <v>716959.63744480617</v>
      </c>
      <c r="H98" s="83">
        <v>875830.28943826968</v>
      </c>
      <c r="I98" s="83">
        <v>898134.53683155368</v>
      </c>
      <c r="J98" s="83">
        <v>888310.9651939217</v>
      </c>
      <c r="K98" s="83">
        <v>1030366.1861709147</v>
      </c>
      <c r="L98" s="83">
        <v>1185843.6965174251</v>
      </c>
      <c r="M98" s="83">
        <v>1667639.8869234594</v>
      </c>
      <c r="N98" s="83">
        <v>1578448.2866900889</v>
      </c>
      <c r="O98" s="83">
        <v>1380373.0567911586</v>
      </c>
      <c r="P98" s="83">
        <v>1169305.3807242704</v>
      </c>
      <c r="Q98" s="83">
        <v>852590.84694761061</v>
      </c>
      <c r="R98" s="83">
        <v>1132750.4323350992</v>
      </c>
      <c r="S98" s="113">
        <f t="shared" si="19"/>
        <v>13376553.202008577</v>
      </c>
      <c r="T98" s="465">
        <f t="shared" si="20"/>
        <v>0.25208339367572324</v>
      </c>
    </row>
    <row r="99" spans="1:23">
      <c r="A99" s="116" t="str">
        <f t="shared" si="16"/>
        <v>714p</v>
      </c>
      <c r="B99" s="584" t="str">
        <f>+VLOOKUP(LEFT($A99,LEN(A99)-1)*1,Master!$D$29:$G$228,4,FALSE)</f>
        <v>Naknade</v>
      </c>
      <c r="C99" s="585"/>
      <c r="D99" s="585"/>
      <c r="E99" s="585"/>
      <c r="F99" s="585"/>
      <c r="G99" s="83">
        <v>9700438.6639014706</v>
      </c>
      <c r="H99" s="83">
        <v>2922897.1970708221</v>
      </c>
      <c r="I99" s="83">
        <v>3332017.5114569198</v>
      </c>
      <c r="J99" s="83">
        <v>4136191.0704011233</v>
      </c>
      <c r="K99" s="83">
        <v>3074367.946991629</v>
      </c>
      <c r="L99" s="83">
        <v>5739309.4993893243</v>
      </c>
      <c r="M99" s="83">
        <v>6472254.6831636187</v>
      </c>
      <c r="N99" s="83">
        <v>5700766.1375209093</v>
      </c>
      <c r="O99" s="83">
        <v>5838639.4240750894</v>
      </c>
      <c r="P99" s="83">
        <v>6404757.6661479613</v>
      </c>
      <c r="Q99" s="83">
        <v>5747893.6025398392</v>
      </c>
      <c r="R99" s="83">
        <v>7633324.3507150738</v>
      </c>
      <c r="S99" s="113">
        <f t="shared" si="19"/>
        <v>66702857.753373779</v>
      </c>
      <c r="T99" s="465">
        <f t="shared" si="20"/>
        <v>1.2570265670393068</v>
      </c>
    </row>
    <row r="100" spans="1:23">
      <c r="A100" s="116" t="str">
        <f t="shared" si="16"/>
        <v>715p</v>
      </c>
      <c r="B100" s="584" t="str">
        <f>+VLOOKUP(LEFT($A100,LEN(A100)-1)*1,Master!$D$29:$G$228,4,FALSE)</f>
        <v>Ostali prihodi</v>
      </c>
      <c r="C100" s="585"/>
      <c r="D100" s="585"/>
      <c r="E100" s="585"/>
      <c r="F100" s="585"/>
      <c r="G100" s="83">
        <v>1331781.4619610589</v>
      </c>
      <c r="H100" s="83">
        <v>1901272.8094459367</v>
      </c>
      <c r="I100" s="83">
        <v>2575064.836907316</v>
      </c>
      <c r="J100" s="83">
        <v>2112330.3067699438</v>
      </c>
      <c r="K100" s="83">
        <v>3659838.2733385107</v>
      </c>
      <c r="L100" s="83">
        <v>3097932.5006113267</v>
      </c>
      <c r="M100" s="83">
        <v>8852221.2517254446</v>
      </c>
      <c r="N100" s="83">
        <v>8102620.0768102016</v>
      </c>
      <c r="O100" s="83">
        <v>1810690.2451614358</v>
      </c>
      <c r="P100" s="83">
        <v>2046468.0200236528</v>
      </c>
      <c r="Q100" s="83">
        <v>1800926.1426908849</v>
      </c>
      <c r="R100" s="83">
        <v>3354130.5189856696</v>
      </c>
      <c r="S100" s="113">
        <f t="shared" si="19"/>
        <v>40645276.444431379</v>
      </c>
      <c r="T100" s="465">
        <f t="shared" si="20"/>
        <v>0.76596706702154715</v>
      </c>
    </row>
    <row r="101" spans="1:23">
      <c r="A101" s="116" t="str">
        <f t="shared" si="16"/>
        <v>73p</v>
      </c>
      <c r="B101" s="584" t="str">
        <f>+VLOOKUP(LEFT($A101,LEN(A101)-1)*1,Master!$D$29:$G$228,4,FALSE)</f>
        <v>Primici od otplate kredita i sredstva prenesena iz prethodne godine</v>
      </c>
      <c r="C101" s="585"/>
      <c r="D101" s="585"/>
      <c r="E101" s="585"/>
      <c r="F101" s="585"/>
      <c r="G101" s="83">
        <v>83096.852737975787</v>
      </c>
      <c r="H101" s="83">
        <v>454586.60399148142</v>
      </c>
      <c r="I101" s="83">
        <v>309002.47729931993</v>
      </c>
      <c r="J101" s="83">
        <v>419622.28002297197</v>
      </c>
      <c r="K101" s="83">
        <v>971629.20596685004</v>
      </c>
      <c r="L101" s="83">
        <v>1560498.8700287652</v>
      </c>
      <c r="M101" s="83">
        <v>161785.36767540569</v>
      </c>
      <c r="N101" s="83">
        <v>1556954.075826132</v>
      </c>
      <c r="O101" s="83">
        <v>220617.05383413273</v>
      </c>
      <c r="P101" s="83">
        <v>268269.85752094636</v>
      </c>
      <c r="Q101" s="83">
        <v>1736495.5315598873</v>
      </c>
      <c r="R101" s="83">
        <v>2005346.4516715538</v>
      </c>
      <c r="S101" s="113">
        <f t="shared" si="19"/>
        <v>9747904.6281354222</v>
      </c>
      <c r="T101" s="465">
        <f t="shared" si="20"/>
        <v>0.1837009013292519</v>
      </c>
    </row>
    <row r="102" spans="1:23" ht="13.5" thickBot="1">
      <c r="A102" s="116" t="str">
        <f t="shared" si="16"/>
        <v>74p</v>
      </c>
      <c r="B102" s="580" t="str">
        <f>+VLOOKUP(LEFT($A102,LEN(A102)-1)*1,Master!$D$29:$G$228,4,FALSE)</f>
        <v>Donacije i transferi</v>
      </c>
      <c r="C102" s="581"/>
      <c r="D102" s="581"/>
      <c r="E102" s="581"/>
      <c r="F102" s="581"/>
      <c r="G102" s="83">
        <v>326089.85951951938</v>
      </c>
      <c r="H102" s="83">
        <v>1918135.2733705833</v>
      </c>
      <c r="I102" s="83">
        <v>1801341.7206237079</v>
      </c>
      <c r="J102" s="83">
        <v>2402470.1825086102</v>
      </c>
      <c r="K102" s="83">
        <v>2712940.849481931</v>
      </c>
      <c r="L102" s="83">
        <v>3087195.6560284691</v>
      </c>
      <c r="M102" s="83">
        <v>3265840.9793729056</v>
      </c>
      <c r="N102" s="83">
        <v>3060102.7260672809</v>
      </c>
      <c r="O102" s="83">
        <v>2891804.587515723</v>
      </c>
      <c r="P102" s="83">
        <v>3728737.0278541967</v>
      </c>
      <c r="Q102" s="83">
        <v>7489914.7403838299</v>
      </c>
      <c r="R102" s="83">
        <v>9183833.3972732462</v>
      </c>
      <c r="S102" s="114">
        <f t="shared" si="19"/>
        <v>41868407</v>
      </c>
      <c r="T102" s="466">
        <f t="shared" si="20"/>
        <v>0.78901716794813803</v>
      </c>
    </row>
    <row r="103" spans="1:23" ht="13.5" thickBot="1">
      <c r="A103" s="116" t="str">
        <f t="shared" si="16"/>
        <v>4p</v>
      </c>
      <c r="B103" s="562" t="str">
        <f>+VLOOKUP(LEFT($A103,LEN(A103)-1)*1,Master!$D$29:$G$228,4,FALSE)</f>
        <v>Izdaci budžeta</v>
      </c>
      <c r="C103" s="563"/>
      <c r="D103" s="563"/>
      <c r="E103" s="563"/>
      <c r="F103" s="563"/>
      <c r="G103" s="503">
        <f t="shared" ref="G103:R103" si="22">+G104+G114+G120+SUM(G121:G125)</f>
        <v>177831446.59654763</v>
      </c>
      <c r="H103" s="503">
        <f t="shared" si="22"/>
        <v>159637648.93654764</v>
      </c>
      <c r="I103" s="503">
        <f t="shared" si="22"/>
        <v>165757927.57454765</v>
      </c>
      <c r="J103" s="503">
        <f t="shared" si="22"/>
        <v>181656276.27454761</v>
      </c>
      <c r="K103" s="503">
        <f t="shared" si="22"/>
        <v>176553533.49454764</v>
      </c>
      <c r="L103" s="503">
        <f t="shared" si="22"/>
        <v>176451567.45454761</v>
      </c>
      <c r="M103" s="503">
        <f t="shared" si="22"/>
        <v>175218266.98454764</v>
      </c>
      <c r="N103" s="503">
        <f t="shared" si="22"/>
        <v>168803890.89883336</v>
      </c>
      <c r="O103" s="503">
        <f t="shared" si="22"/>
        <v>183880560.57883337</v>
      </c>
      <c r="P103" s="503">
        <f t="shared" si="22"/>
        <v>204140909.79883331</v>
      </c>
      <c r="Q103" s="503">
        <f t="shared" si="22"/>
        <v>199230681.58883333</v>
      </c>
      <c r="R103" s="503">
        <f t="shared" si="22"/>
        <v>233607135.19883329</v>
      </c>
      <c r="S103" s="451">
        <f>+SUM(G103:R103)</f>
        <v>2202769845.3800001</v>
      </c>
      <c r="T103" s="478">
        <f t="shared" si="20"/>
        <v>41.511568019372838</v>
      </c>
      <c r="U103" s="257"/>
      <c r="V103" s="291"/>
    </row>
    <row r="104" spans="1:23">
      <c r="A104" s="116" t="str">
        <f t="shared" si="16"/>
        <v>41p</v>
      </c>
      <c r="B104" s="582" t="str">
        <f>+VLOOKUP(LEFT($A104,LEN(A104)-1)*1,Master!$D$29:$G$228,4,FALSE)</f>
        <v>Tekući izdaci</v>
      </c>
      <c r="C104" s="583"/>
      <c r="D104" s="583"/>
      <c r="E104" s="583"/>
      <c r="F104" s="583"/>
      <c r="G104" s="504">
        <f t="shared" ref="G104:R104" si="23">+SUM(G105:G113)</f>
        <v>62550652.746666655</v>
      </c>
      <c r="H104" s="504">
        <f t="shared" si="23"/>
        <v>64156007.386666663</v>
      </c>
      <c r="I104" s="504">
        <f t="shared" si="23"/>
        <v>63034205.774666667</v>
      </c>
      <c r="J104" s="504">
        <f t="shared" si="23"/>
        <v>84860701.324666679</v>
      </c>
      <c r="K104" s="504">
        <f t="shared" si="23"/>
        <v>68218729.554666668</v>
      </c>
      <c r="L104" s="504">
        <f t="shared" si="23"/>
        <v>67573285.934666663</v>
      </c>
      <c r="M104" s="504">
        <f t="shared" si="23"/>
        <v>77752915.334666669</v>
      </c>
      <c r="N104" s="504">
        <f t="shared" si="23"/>
        <v>64588135.274666667</v>
      </c>
      <c r="O104" s="504">
        <f t="shared" si="23"/>
        <v>73749748.834666669</v>
      </c>
      <c r="P104" s="504">
        <f t="shared" si="23"/>
        <v>94904927.814666644</v>
      </c>
      <c r="Q104" s="504">
        <f t="shared" si="23"/>
        <v>86693469.254666656</v>
      </c>
      <c r="R104" s="505">
        <f t="shared" si="23"/>
        <v>111297123.47466663</v>
      </c>
      <c r="S104" s="111">
        <f t="shared" si="19"/>
        <v>919379902.71000004</v>
      </c>
      <c r="T104" s="463">
        <f t="shared" si="20"/>
        <v>17.325868813319765</v>
      </c>
      <c r="U104" s="311"/>
      <c r="V104" s="291"/>
      <c r="W104" s="291"/>
    </row>
    <row r="105" spans="1:23">
      <c r="A105" s="116" t="str">
        <f t="shared" si="16"/>
        <v>411p</v>
      </c>
      <c r="B105" s="578" t="str">
        <f>+VLOOKUP(LEFT($A105,LEN(A105)-1)*1,Master!$D$29:$G$228,4,FALSE)</f>
        <v>Bruto zarade i doprinosi na teret poslodavca</v>
      </c>
      <c r="C105" s="579"/>
      <c r="D105" s="579"/>
      <c r="E105" s="579"/>
      <c r="F105" s="579"/>
      <c r="G105" s="506">
        <v>42116720.066666663</v>
      </c>
      <c r="H105" s="506">
        <v>45499255.106666669</v>
      </c>
      <c r="I105" s="506">
        <v>45488297.416666664</v>
      </c>
      <c r="J105" s="506">
        <v>45488827.916666664</v>
      </c>
      <c r="K105" s="506">
        <v>45489920.406666666</v>
      </c>
      <c r="L105" s="506">
        <v>45490305.276666664</v>
      </c>
      <c r="M105" s="506">
        <v>45491132.876666665</v>
      </c>
      <c r="N105" s="506">
        <v>45491395.996666662</v>
      </c>
      <c r="O105" s="506">
        <v>45493143.776666671</v>
      </c>
      <c r="P105" s="506">
        <v>45484722.336666659</v>
      </c>
      <c r="Q105" s="506">
        <v>45482593.13666667</v>
      </c>
      <c r="R105" s="506">
        <v>48884659.376666658</v>
      </c>
      <c r="S105" s="112">
        <f t="shared" si="19"/>
        <v>545900973.68999994</v>
      </c>
      <c r="T105" s="464">
        <f t="shared" si="20"/>
        <v>10.28759561454093</v>
      </c>
    </row>
    <row r="106" spans="1:23">
      <c r="A106" s="116" t="str">
        <f t="shared" si="16"/>
        <v>412p</v>
      </c>
      <c r="B106" s="578" t="str">
        <f>+VLOOKUP(LEFT($A106,LEN(A106)-1)*1,Master!$D$29:$G$228,4,FALSE)</f>
        <v>Ostala lična primanja</v>
      </c>
      <c r="C106" s="579"/>
      <c r="D106" s="579"/>
      <c r="E106" s="579"/>
      <c r="F106" s="579"/>
      <c r="G106" s="506">
        <v>1113156.94</v>
      </c>
      <c r="H106" s="506">
        <v>1189148.69</v>
      </c>
      <c r="I106" s="506">
        <v>1150630.3799999999</v>
      </c>
      <c r="J106" s="506">
        <v>1115859.3500000001</v>
      </c>
      <c r="K106" s="506">
        <v>1113157.98</v>
      </c>
      <c r="L106" s="506">
        <v>1112991.68</v>
      </c>
      <c r="M106" s="506">
        <v>1113353.42</v>
      </c>
      <c r="N106" s="506">
        <v>1112760.3500000001</v>
      </c>
      <c r="O106" s="506">
        <v>1144213.94</v>
      </c>
      <c r="P106" s="506">
        <v>1112009.69</v>
      </c>
      <c r="Q106" s="506">
        <v>1111152.95</v>
      </c>
      <c r="R106" s="506">
        <v>1104831.2399999995</v>
      </c>
      <c r="S106" s="112">
        <f t="shared" si="19"/>
        <v>13493266.609999998</v>
      </c>
      <c r="T106" s="464">
        <f t="shared" si="20"/>
        <v>0.25428287746871697</v>
      </c>
    </row>
    <row r="107" spans="1:23">
      <c r="A107" s="116" t="str">
        <f t="shared" si="16"/>
        <v>413p</v>
      </c>
      <c r="B107" s="578" t="str">
        <f>+VLOOKUP(LEFT($A107,LEN(A107)-1)*1,Master!$D$29:$G$228,4,FALSE)</f>
        <v>Rashodi za materijal</v>
      </c>
      <c r="C107" s="579"/>
      <c r="D107" s="579"/>
      <c r="E107" s="579"/>
      <c r="F107" s="579"/>
      <c r="G107" s="506">
        <v>2009465.7299999995</v>
      </c>
      <c r="H107" s="506">
        <v>2874795.7299999991</v>
      </c>
      <c r="I107" s="506">
        <v>1986301.3299999996</v>
      </c>
      <c r="J107" s="506">
        <v>1956746.52</v>
      </c>
      <c r="K107" s="506">
        <v>1959377.06</v>
      </c>
      <c r="L107" s="506">
        <v>1959339.96</v>
      </c>
      <c r="M107" s="506">
        <v>4223114</v>
      </c>
      <c r="N107" s="506">
        <v>2325347.7000000002</v>
      </c>
      <c r="O107" s="506">
        <v>4227180.45</v>
      </c>
      <c r="P107" s="506">
        <v>5830846.0499999989</v>
      </c>
      <c r="Q107" s="506">
        <v>5816682.6699999999</v>
      </c>
      <c r="R107" s="506">
        <v>5818746.4899999993</v>
      </c>
      <c r="S107" s="112">
        <f t="shared" si="19"/>
        <v>40987943.689999998</v>
      </c>
      <c r="T107" s="464">
        <f t="shared" si="20"/>
        <v>0.77242468886627469</v>
      </c>
    </row>
    <row r="108" spans="1:23">
      <c r="A108" s="116" t="str">
        <f t="shared" si="16"/>
        <v>414p</v>
      </c>
      <c r="B108" s="578" t="str">
        <f>+VLOOKUP(LEFT($A108,LEN(A108)-1)*1,Master!$D$29:$G$228,4,FALSE)</f>
        <v>Rashodi za usluge</v>
      </c>
      <c r="C108" s="579"/>
      <c r="D108" s="579"/>
      <c r="E108" s="579"/>
      <c r="F108" s="579"/>
      <c r="G108" s="506">
        <v>3521944.0499999989</v>
      </c>
      <c r="H108" s="506">
        <v>3202572.2000000016</v>
      </c>
      <c r="I108" s="506">
        <v>3202153.21</v>
      </c>
      <c r="J108" s="506">
        <v>3981055.8700000015</v>
      </c>
      <c r="K108" s="506">
        <v>3966204.5600000015</v>
      </c>
      <c r="L108" s="506">
        <v>4355673.6900000004</v>
      </c>
      <c r="M108" s="506">
        <v>7092836.1399999987</v>
      </c>
      <c r="N108" s="506">
        <v>4331849.03</v>
      </c>
      <c r="O108" s="506">
        <v>6165776.4499999974</v>
      </c>
      <c r="P108" s="506">
        <v>7804737.9599999953</v>
      </c>
      <c r="Q108" s="506">
        <v>7600289.8199999947</v>
      </c>
      <c r="R108" s="506">
        <v>8102383.2499999963</v>
      </c>
      <c r="S108" s="112">
        <f t="shared" si="19"/>
        <v>63327476.229999989</v>
      </c>
      <c r="T108" s="464">
        <f t="shared" si="20"/>
        <v>1.1934169348334085</v>
      </c>
    </row>
    <row r="109" spans="1:23">
      <c r="A109" s="116" t="str">
        <f t="shared" si="16"/>
        <v>415p</v>
      </c>
      <c r="B109" s="578" t="str">
        <f>+VLOOKUP(LEFT($A109,LEN(A109)-1)*1,Master!$D$29:$G$228,4,FALSE)</f>
        <v>Rashodi za tekuće održavanje</v>
      </c>
      <c r="C109" s="579"/>
      <c r="D109" s="579"/>
      <c r="E109" s="579"/>
      <c r="F109" s="579"/>
      <c r="G109" s="506">
        <v>1482084.5400000005</v>
      </c>
      <c r="H109" s="506">
        <v>1461485.3000000003</v>
      </c>
      <c r="I109" s="506">
        <v>1646265.1700000002</v>
      </c>
      <c r="J109" s="506">
        <v>1750230.6700000004</v>
      </c>
      <c r="K109" s="506">
        <v>1756101.9100000004</v>
      </c>
      <c r="L109" s="506">
        <v>1756101.9100000004</v>
      </c>
      <c r="M109" s="506">
        <v>2627886.0200000009</v>
      </c>
      <c r="N109" s="506">
        <v>1747230.6700000004</v>
      </c>
      <c r="O109" s="506">
        <v>2627886.0200000009</v>
      </c>
      <c r="P109" s="506">
        <v>3499649.6000000006</v>
      </c>
      <c r="Q109" s="506">
        <v>3488586.12</v>
      </c>
      <c r="R109" s="506">
        <v>4278426.8899999997</v>
      </c>
      <c r="S109" s="112">
        <f t="shared" si="19"/>
        <v>28121934.820000008</v>
      </c>
      <c r="T109" s="464">
        <f t="shared" si="20"/>
        <v>0.52996258894919357</v>
      </c>
    </row>
    <row r="110" spans="1:23">
      <c r="A110" s="116" t="str">
        <f t="shared" si="16"/>
        <v>416p</v>
      </c>
      <c r="B110" s="578" t="str">
        <f>+VLOOKUP(LEFT($A110,LEN(A110)-1)*1,Master!$D$29:$G$228,4,FALSE)</f>
        <v>Kamate</v>
      </c>
      <c r="C110" s="579"/>
      <c r="D110" s="579"/>
      <c r="E110" s="579"/>
      <c r="F110" s="579"/>
      <c r="G110" s="506">
        <v>4229041.6800000006</v>
      </c>
      <c r="H110" s="506">
        <v>1039259.3500000003</v>
      </c>
      <c r="I110" s="506">
        <v>1331158.92</v>
      </c>
      <c r="J110" s="506">
        <v>22646995.380000003</v>
      </c>
      <c r="K110" s="506">
        <v>6067854.2499999991</v>
      </c>
      <c r="L110" s="506">
        <v>5081336.79</v>
      </c>
      <c r="M110" s="506">
        <v>4060077.8100000005</v>
      </c>
      <c r="N110" s="506">
        <v>1150681.1799999997</v>
      </c>
      <c r="O110" s="506">
        <v>1101986.1700000002</v>
      </c>
      <c r="P110" s="506">
        <v>13628170.610000001</v>
      </c>
      <c r="Q110" s="506">
        <v>5965119.169999999</v>
      </c>
      <c r="R110" s="506">
        <v>26242568.399999999</v>
      </c>
      <c r="S110" s="112">
        <f t="shared" si="19"/>
        <v>92544249.710000008</v>
      </c>
      <c r="T110" s="464">
        <f t="shared" si="20"/>
        <v>1.7440119423714762</v>
      </c>
    </row>
    <row r="111" spans="1:23">
      <c r="A111" s="116" t="str">
        <f t="shared" si="16"/>
        <v>417p</v>
      </c>
      <c r="B111" s="578" t="str">
        <f>+VLOOKUP(LEFT($A111,LEN(A111)-1)*1,Master!$D$29:$G$228,4,FALSE)</f>
        <v>Renta</v>
      </c>
      <c r="C111" s="579"/>
      <c r="D111" s="579"/>
      <c r="E111" s="579"/>
      <c r="F111" s="579"/>
      <c r="G111" s="506">
        <v>1114759.2699999998</v>
      </c>
      <c r="H111" s="506">
        <v>962655.17999999982</v>
      </c>
      <c r="I111" s="506">
        <v>962640.17999999982</v>
      </c>
      <c r="J111" s="506">
        <v>962640.17999999982</v>
      </c>
      <c r="K111" s="506">
        <v>962625.18999999983</v>
      </c>
      <c r="L111" s="506">
        <v>962625.17999999982</v>
      </c>
      <c r="M111" s="506">
        <v>962625.18999999983</v>
      </c>
      <c r="N111" s="506">
        <v>962625.17999999982</v>
      </c>
      <c r="O111" s="506">
        <v>962625.17999999982</v>
      </c>
      <c r="P111" s="506">
        <v>961836.57999999984</v>
      </c>
      <c r="Q111" s="506">
        <v>789373.07</v>
      </c>
      <c r="R111" s="506">
        <v>789374.13</v>
      </c>
      <c r="S111" s="112">
        <f t="shared" si="19"/>
        <v>11356404.51</v>
      </c>
      <c r="T111" s="464">
        <f t="shared" si="20"/>
        <v>0.21401335199004975</v>
      </c>
    </row>
    <row r="112" spans="1:23">
      <c r="A112" s="116" t="str">
        <f t="shared" si="16"/>
        <v>418p</v>
      </c>
      <c r="B112" s="578" t="str">
        <f>+VLOOKUP(LEFT($A112,LEN(A112)-1)*1,Master!$D$29:$G$228,4,FALSE)</f>
        <v>Subvencije</v>
      </c>
      <c r="C112" s="579"/>
      <c r="D112" s="579"/>
      <c r="E112" s="579"/>
      <c r="F112" s="579"/>
      <c r="G112" s="506">
        <v>3647138.83</v>
      </c>
      <c r="H112" s="506">
        <v>3917138.83</v>
      </c>
      <c r="I112" s="506">
        <v>3632138.83</v>
      </c>
      <c r="J112" s="506">
        <v>3632138.83</v>
      </c>
      <c r="K112" s="506">
        <v>3444638.83</v>
      </c>
      <c r="L112" s="506">
        <v>3444638.83</v>
      </c>
      <c r="M112" s="506">
        <v>6055944.3200000003</v>
      </c>
      <c r="N112" s="506">
        <v>3444638.83</v>
      </c>
      <c r="O112" s="506">
        <v>6055944.3200000003</v>
      </c>
      <c r="P112" s="506">
        <v>8667249.7999999989</v>
      </c>
      <c r="Q112" s="506">
        <v>8667249.7999999989</v>
      </c>
      <c r="R112" s="506">
        <v>8667249.9299999978</v>
      </c>
      <c r="S112" s="112">
        <f t="shared" si="19"/>
        <v>63276109.979999989</v>
      </c>
      <c r="T112" s="464">
        <f t="shared" si="20"/>
        <v>1.1924489292175484</v>
      </c>
    </row>
    <row r="113" spans="1:22">
      <c r="A113" s="116" t="str">
        <f t="shared" si="16"/>
        <v>419p</v>
      </c>
      <c r="B113" s="578" t="str">
        <f>+VLOOKUP(LEFT($A113,LEN(A113)-1)*1,Master!$D$29:$G$228,4,FALSE)</f>
        <v>Ostali izdaci</v>
      </c>
      <c r="C113" s="579"/>
      <c r="D113" s="579"/>
      <c r="E113" s="579"/>
      <c r="F113" s="579"/>
      <c r="G113" s="506">
        <v>3316341.6399999992</v>
      </c>
      <c r="H113" s="506">
        <v>4009697</v>
      </c>
      <c r="I113" s="506">
        <v>3634620.3380000009</v>
      </c>
      <c r="J113" s="506">
        <v>3326206.6079999981</v>
      </c>
      <c r="K113" s="506">
        <v>3458849.3679999984</v>
      </c>
      <c r="L113" s="506">
        <v>3410272.6179999989</v>
      </c>
      <c r="M113" s="506">
        <v>6125945.5580000011</v>
      </c>
      <c r="N113" s="506">
        <v>4021606.3380000009</v>
      </c>
      <c r="O113" s="506">
        <v>5970992.5280000009</v>
      </c>
      <c r="P113" s="506">
        <v>7915705.1879999992</v>
      </c>
      <c r="Q113" s="506">
        <v>7772422.5180000002</v>
      </c>
      <c r="R113" s="506">
        <v>7408883.7679999992</v>
      </c>
      <c r="S113" s="112">
        <f t="shared" si="19"/>
        <v>60371543.469999999</v>
      </c>
      <c r="T113" s="464">
        <f t="shared" si="20"/>
        <v>1.137711885082165</v>
      </c>
    </row>
    <row r="114" spans="1:22">
      <c r="A114" s="116" t="str">
        <f t="shared" si="16"/>
        <v>42p</v>
      </c>
      <c r="B114" s="574" t="str">
        <f>+VLOOKUP(LEFT($A114,LEN(A114)-1)*1,Master!$D$29:$G$228,4,FALSE)</f>
        <v>Transferi za socijalnu zaštitu</v>
      </c>
      <c r="C114" s="575"/>
      <c r="D114" s="575"/>
      <c r="E114" s="575"/>
      <c r="F114" s="575"/>
      <c r="G114" s="507">
        <f t="shared" ref="G114:R114" si="24">+SUM(G115:G119)</f>
        <v>51655501.199880958</v>
      </c>
      <c r="H114" s="507">
        <f t="shared" si="24"/>
        <v>50843848.149880961</v>
      </c>
      <c r="I114" s="507">
        <f t="shared" si="24"/>
        <v>52476514.839880966</v>
      </c>
      <c r="J114" s="507">
        <f t="shared" si="24"/>
        <v>51481848.149880961</v>
      </c>
      <c r="K114" s="507">
        <f t="shared" si="24"/>
        <v>55008848.149880961</v>
      </c>
      <c r="L114" s="507">
        <f t="shared" si="24"/>
        <v>55102848.149880961</v>
      </c>
      <c r="M114" s="507">
        <f t="shared" si="24"/>
        <v>54796848.149880961</v>
      </c>
      <c r="N114" s="507">
        <f t="shared" si="24"/>
        <v>55319453.584166676</v>
      </c>
      <c r="O114" s="507">
        <f t="shared" si="24"/>
        <v>54859133.86416667</v>
      </c>
      <c r="P114" s="507">
        <f t="shared" si="24"/>
        <v>55191133.86416667</v>
      </c>
      <c r="Q114" s="507">
        <f t="shared" si="24"/>
        <v>56919133.86416667</v>
      </c>
      <c r="R114" s="507">
        <f t="shared" si="24"/>
        <v>58092982.564166665</v>
      </c>
      <c r="S114" s="113">
        <f t="shared" si="19"/>
        <v>651748094.52999997</v>
      </c>
      <c r="T114" s="465">
        <f t="shared" si="20"/>
        <v>12.282302399555252</v>
      </c>
    </row>
    <row r="115" spans="1:22">
      <c r="A115" s="116" t="str">
        <f t="shared" si="16"/>
        <v>421p</v>
      </c>
      <c r="B115" s="578" t="str">
        <f>+VLOOKUP(LEFT($A115,LEN(A115)-1)*1,Master!$D$29:$G$228,4,FALSE)</f>
        <v>Prava iz oblasti socijalne zaštite</v>
      </c>
      <c r="C115" s="579"/>
      <c r="D115" s="579"/>
      <c r="E115" s="579"/>
      <c r="F115" s="579"/>
      <c r="G115" s="506">
        <v>9199047.6323809531</v>
      </c>
      <c r="H115" s="506">
        <v>9199047.6323809531</v>
      </c>
      <c r="I115" s="506">
        <v>9199047.6323809531</v>
      </c>
      <c r="J115" s="506">
        <v>9199047.6323809531</v>
      </c>
      <c r="K115" s="506">
        <v>12324047.632380953</v>
      </c>
      <c r="L115" s="506">
        <v>12324047.632380953</v>
      </c>
      <c r="M115" s="506">
        <v>12324047.632380953</v>
      </c>
      <c r="N115" s="506">
        <v>11938333.346666668</v>
      </c>
      <c r="O115" s="506">
        <v>11938333.346666668</v>
      </c>
      <c r="P115" s="506">
        <v>11938333.346666668</v>
      </c>
      <c r="Q115" s="506">
        <v>14138333.346666666</v>
      </c>
      <c r="R115" s="506">
        <v>14138333.186666667</v>
      </c>
      <c r="S115" s="112">
        <f t="shared" si="19"/>
        <v>137860000</v>
      </c>
      <c r="T115" s="464">
        <f t="shared" si="20"/>
        <v>2.5979948741142773</v>
      </c>
    </row>
    <row r="116" spans="1:22">
      <c r="A116" s="116" t="str">
        <f t="shared" si="16"/>
        <v>422p</v>
      </c>
      <c r="B116" s="578" t="str">
        <f>+VLOOKUP(LEFT($A116,LEN(A116)-1)*1,Master!$D$29:$G$228,4,FALSE)</f>
        <v>Sredstva za tehnološke viškove</v>
      </c>
      <c r="C116" s="579"/>
      <c r="D116" s="579"/>
      <c r="E116" s="579"/>
      <c r="F116" s="579"/>
      <c r="G116" s="506">
        <v>2893986.39</v>
      </c>
      <c r="H116" s="506">
        <v>2291666.67</v>
      </c>
      <c r="I116" s="506">
        <v>2291666.67</v>
      </c>
      <c r="J116" s="506">
        <v>2291666.67</v>
      </c>
      <c r="K116" s="506">
        <v>2291666.67</v>
      </c>
      <c r="L116" s="506">
        <v>2291666.67</v>
      </c>
      <c r="M116" s="506">
        <v>2291666.67</v>
      </c>
      <c r="N116" s="506">
        <v>2893986.39</v>
      </c>
      <c r="O116" s="506">
        <v>2291666.67</v>
      </c>
      <c r="P116" s="506">
        <v>2291666.67</v>
      </c>
      <c r="Q116" s="506">
        <v>2291666.67</v>
      </c>
      <c r="R116" s="506">
        <v>2425515.4899999998</v>
      </c>
      <c r="S116" s="112">
        <f t="shared" si="19"/>
        <v>28838488.300000001</v>
      </c>
      <c r="T116" s="464">
        <f t="shared" si="20"/>
        <v>0.5434661597316448</v>
      </c>
    </row>
    <row r="117" spans="1:22">
      <c r="A117" s="116" t="str">
        <f t="shared" si="16"/>
        <v>423p</v>
      </c>
      <c r="B117" s="578" t="str">
        <f>+VLOOKUP(LEFT($A117,LEN(A117)-1)*1,Master!$D$29:$G$228,4,FALSE)</f>
        <v>Prava iz oblasti penzijskog i invalidskog osiguranja</v>
      </c>
      <c r="C117" s="579"/>
      <c r="D117" s="579"/>
      <c r="E117" s="579"/>
      <c r="F117" s="579"/>
      <c r="G117" s="506">
        <v>38029133.847500004</v>
      </c>
      <c r="H117" s="506">
        <v>38029133.847500004</v>
      </c>
      <c r="I117" s="506">
        <v>38029133.847500004</v>
      </c>
      <c r="J117" s="506">
        <v>38029133.847500004</v>
      </c>
      <c r="K117" s="506">
        <v>38029133.847500004</v>
      </c>
      <c r="L117" s="506">
        <v>38029133.847500004</v>
      </c>
      <c r="M117" s="506">
        <v>38029133.847500004</v>
      </c>
      <c r="N117" s="506">
        <v>38029133.847500004</v>
      </c>
      <c r="O117" s="506">
        <v>38029133.847500004</v>
      </c>
      <c r="P117" s="506">
        <v>38929133.847500004</v>
      </c>
      <c r="Q117" s="506">
        <v>38929133.847500004</v>
      </c>
      <c r="R117" s="506">
        <v>38929133.907499999</v>
      </c>
      <c r="S117" s="112">
        <f t="shared" si="19"/>
        <v>459049606.23000014</v>
      </c>
      <c r="T117" s="464">
        <f t="shared" si="20"/>
        <v>8.6508669951379478</v>
      </c>
    </row>
    <row r="118" spans="1:22">
      <c r="A118" s="116" t="str">
        <f t="shared" si="16"/>
        <v>424p</v>
      </c>
      <c r="B118" s="578" t="str">
        <f>+VLOOKUP(LEFT($A118,LEN(A118)-1)*1,Master!$D$29:$G$228,4,FALSE)</f>
        <v>Ostala prava iz oblasti zdravstvene zaštite</v>
      </c>
      <c r="C118" s="579"/>
      <c r="D118" s="579"/>
      <c r="E118" s="579"/>
      <c r="F118" s="579"/>
      <c r="G118" s="506">
        <v>943333.33</v>
      </c>
      <c r="H118" s="506">
        <v>852000</v>
      </c>
      <c r="I118" s="506">
        <v>1186666.67</v>
      </c>
      <c r="J118" s="506">
        <v>1136000</v>
      </c>
      <c r="K118" s="506">
        <v>1420000</v>
      </c>
      <c r="L118" s="506">
        <v>1278000</v>
      </c>
      <c r="M118" s="506">
        <v>1562000</v>
      </c>
      <c r="N118" s="506">
        <v>1278000</v>
      </c>
      <c r="O118" s="506">
        <v>1420000</v>
      </c>
      <c r="P118" s="506">
        <v>852000</v>
      </c>
      <c r="Q118" s="506">
        <v>852000</v>
      </c>
      <c r="R118" s="506">
        <v>1420000</v>
      </c>
      <c r="S118" s="112">
        <f t="shared" si="19"/>
        <v>14200000</v>
      </c>
      <c r="T118" s="464">
        <f t="shared" si="20"/>
        <v>0.26760138700437208</v>
      </c>
    </row>
    <row r="119" spans="1:22">
      <c r="A119" s="116" t="str">
        <f t="shared" si="16"/>
        <v>425p</v>
      </c>
      <c r="B119" s="578" t="str">
        <f>+VLOOKUP(LEFT($A119,LEN(A119)-1)*1,Master!$D$29:$G$228,4,FALSE)</f>
        <v>Ostala prava iz zdravstvenog osiguranja</v>
      </c>
      <c r="C119" s="579"/>
      <c r="D119" s="579"/>
      <c r="E119" s="579"/>
      <c r="F119" s="579"/>
      <c r="G119" s="506">
        <v>590000</v>
      </c>
      <c r="H119" s="506">
        <v>472000</v>
      </c>
      <c r="I119" s="506">
        <v>1770000.02</v>
      </c>
      <c r="J119" s="506">
        <v>826000</v>
      </c>
      <c r="K119" s="506">
        <v>944000</v>
      </c>
      <c r="L119" s="506">
        <v>1180000</v>
      </c>
      <c r="M119" s="506">
        <v>590000</v>
      </c>
      <c r="N119" s="506">
        <v>1180000</v>
      </c>
      <c r="O119" s="506">
        <v>1180000</v>
      </c>
      <c r="P119" s="506">
        <v>1180000</v>
      </c>
      <c r="Q119" s="506">
        <v>708000</v>
      </c>
      <c r="R119" s="506">
        <v>1179999.98</v>
      </c>
      <c r="S119" s="112">
        <f t="shared" si="19"/>
        <v>11800000</v>
      </c>
      <c r="T119" s="464">
        <f t="shared" si="20"/>
        <v>0.2223729835670134</v>
      </c>
    </row>
    <row r="120" spans="1:22">
      <c r="A120" s="116" t="str">
        <f t="shared" si="16"/>
        <v>43p</v>
      </c>
      <c r="B120" s="576" t="str">
        <f>+VLOOKUP(LEFT($A120,LEN(A120)-1)*1,Master!$D$29:$G$228,4,FALSE)</f>
        <v xml:space="preserve">Transferi institucijama, pojedincima, nevladinom i javnom sektoru </v>
      </c>
      <c r="C120" s="577"/>
      <c r="D120" s="577"/>
      <c r="E120" s="577"/>
      <c r="F120" s="577"/>
      <c r="G120" s="508">
        <v>22444871.560000002</v>
      </c>
      <c r="H120" s="508">
        <v>23941685.57</v>
      </c>
      <c r="I120" s="508">
        <v>26995988.960000001</v>
      </c>
      <c r="J120" s="508">
        <v>20625695.450000003</v>
      </c>
      <c r="K120" s="508">
        <v>20912992.140000004</v>
      </c>
      <c r="L120" s="508">
        <v>21015003.09</v>
      </c>
      <c r="M120" s="508">
        <v>20912172.160000004</v>
      </c>
      <c r="N120" s="508">
        <v>22653446.830000002</v>
      </c>
      <c r="O120" s="508">
        <v>24411188.830000002</v>
      </c>
      <c r="P120" s="508">
        <v>21012710.830000002</v>
      </c>
      <c r="Q120" s="508">
        <v>20910855.890000001</v>
      </c>
      <c r="R120" s="508">
        <v>20257657.990000002</v>
      </c>
      <c r="S120" s="113">
        <f>+SUM(G120:R120)</f>
        <v>266094269.30000007</v>
      </c>
      <c r="T120" s="465">
        <f t="shared" si="20"/>
        <v>5.0145912351123183</v>
      </c>
    </row>
    <row r="121" spans="1:22">
      <c r="A121" s="116" t="str">
        <f t="shared" si="16"/>
        <v>44p</v>
      </c>
      <c r="B121" s="576" t="str">
        <f>+VLOOKUP(LEFT($A121,LEN(A121)-1)*1,Master!$D$29:$G$228,4,FALSE)</f>
        <v>Kapitalni izdaci</v>
      </c>
      <c r="C121" s="577"/>
      <c r="D121" s="577"/>
      <c r="E121" s="577"/>
      <c r="F121" s="577"/>
      <c r="G121" s="508">
        <v>19668608.670000002</v>
      </c>
      <c r="H121" s="508">
        <v>15424249.750000004</v>
      </c>
      <c r="I121" s="508">
        <v>18221026.579999998</v>
      </c>
      <c r="J121" s="508">
        <v>19416173.270000003</v>
      </c>
      <c r="K121" s="508">
        <v>27382772.230000004</v>
      </c>
      <c r="L121" s="508">
        <v>27488572.200000007</v>
      </c>
      <c r="M121" s="508">
        <v>20098257.600000001</v>
      </c>
      <c r="N121" s="508">
        <v>17598879.450000007</v>
      </c>
      <c r="O121" s="508">
        <v>22458179.949999999</v>
      </c>
      <c r="P121" s="508">
        <v>24388161.529999994</v>
      </c>
      <c r="Q121" s="508">
        <v>22932795.809999995</v>
      </c>
      <c r="R121" s="508">
        <v>25199038.249999996</v>
      </c>
      <c r="S121" s="113">
        <f>+SUM(G121:R121)</f>
        <v>260276715.29000002</v>
      </c>
      <c r="T121" s="465">
        <f t="shared" si="20"/>
        <v>4.9049584518694411</v>
      </c>
    </row>
    <row r="122" spans="1:22">
      <c r="A122" s="116" t="str">
        <f t="shared" si="16"/>
        <v>451p</v>
      </c>
      <c r="B122" s="568" t="str">
        <f>+VLOOKUP(LEFT($A122,LEN(A122)-1)*1,Master!$D$29:$G$228,4,FALSE)</f>
        <v>Pozajmice i krediti</v>
      </c>
      <c r="C122" s="569"/>
      <c r="D122" s="569"/>
      <c r="E122" s="569"/>
      <c r="F122" s="569"/>
      <c r="G122" s="506">
        <v>2000.08</v>
      </c>
      <c r="H122" s="506">
        <v>243666.74</v>
      </c>
      <c r="I122" s="506">
        <v>2000.08</v>
      </c>
      <c r="J122" s="506">
        <v>243666.74</v>
      </c>
      <c r="K122" s="506">
        <v>2000.08</v>
      </c>
      <c r="L122" s="506">
        <v>243666.74</v>
      </c>
      <c r="M122" s="506">
        <v>2000.08</v>
      </c>
      <c r="N122" s="506">
        <v>243666.74</v>
      </c>
      <c r="O122" s="506">
        <v>2000.08</v>
      </c>
      <c r="P122" s="506">
        <v>243666.74</v>
      </c>
      <c r="Q122" s="506">
        <v>2000.08</v>
      </c>
      <c r="R122" s="506">
        <v>243666.82</v>
      </c>
      <c r="S122" s="112">
        <f t="shared" si="19"/>
        <v>1474001</v>
      </c>
      <c r="T122" s="464">
        <f t="shared" si="20"/>
        <v>2.7777796622945876E-2</v>
      </c>
    </row>
    <row r="123" spans="1:22">
      <c r="A123" s="116" t="str">
        <f t="shared" si="16"/>
        <v>47p</v>
      </c>
      <c r="B123" s="568" t="str">
        <f>+VLOOKUP(LEFT($A123,LEN(A123)-1)*1,Master!$D$29:$G$228,4,FALSE)</f>
        <v>Rezerve</v>
      </c>
      <c r="C123" s="569"/>
      <c r="D123" s="569"/>
      <c r="E123" s="569"/>
      <c r="F123" s="569"/>
      <c r="G123" s="506">
        <v>3372117.68</v>
      </c>
      <c r="H123" s="506">
        <v>3372117.68</v>
      </c>
      <c r="I123" s="506">
        <v>3372117.68</v>
      </c>
      <c r="J123" s="506">
        <v>3372117.68</v>
      </c>
      <c r="K123" s="506">
        <v>3372117.68</v>
      </c>
      <c r="L123" s="506">
        <v>3372117.68</v>
      </c>
      <c r="M123" s="506">
        <v>0</v>
      </c>
      <c r="N123" s="506">
        <v>6744235.3600000003</v>
      </c>
      <c r="O123" s="506">
        <v>6744235.3600000003</v>
      </c>
      <c r="P123" s="506">
        <v>6744235.3600000003</v>
      </c>
      <c r="Q123" s="506">
        <v>10116353.029999999</v>
      </c>
      <c r="R123" s="506">
        <v>16860588.399999999</v>
      </c>
      <c r="S123" s="112">
        <f t="shared" si="19"/>
        <v>67442353.590000004</v>
      </c>
      <c r="T123" s="464">
        <f t="shared" si="20"/>
        <v>1.2709624903889642</v>
      </c>
    </row>
    <row r="124" spans="1:22">
      <c r="A124" s="116" t="str">
        <f t="shared" si="16"/>
        <v>462p</v>
      </c>
      <c r="B124" s="568" t="str">
        <f>+VLOOKUP(LEFT($A124,LEN(A124)-1)*1,Master!$D$29:$G$228,4,FALSE)</f>
        <v>Otplata garancija</v>
      </c>
      <c r="C124" s="569"/>
      <c r="D124" s="569"/>
      <c r="E124" s="569"/>
      <c r="F124" s="569"/>
      <c r="G124" s="506">
        <v>0</v>
      </c>
      <c r="H124" s="506">
        <v>0</v>
      </c>
      <c r="I124" s="506">
        <v>0</v>
      </c>
      <c r="J124" s="506">
        <v>0</v>
      </c>
      <c r="K124" s="506">
        <v>0</v>
      </c>
      <c r="L124" s="506">
        <v>0</v>
      </c>
      <c r="M124" s="506">
        <v>0</v>
      </c>
      <c r="N124" s="506">
        <v>0</v>
      </c>
      <c r="O124" s="506">
        <v>0</v>
      </c>
      <c r="P124" s="506">
        <v>0</v>
      </c>
      <c r="Q124" s="506">
        <v>0</v>
      </c>
      <c r="R124" s="506">
        <v>0</v>
      </c>
      <c r="S124" s="112">
        <f t="shared" si="19"/>
        <v>0</v>
      </c>
      <c r="T124" s="464">
        <f t="shared" si="20"/>
        <v>0</v>
      </c>
    </row>
    <row r="125" spans="1:22">
      <c r="A125" s="117" t="str">
        <f t="shared" si="16"/>
        <v>4630p</v>
      </c>
      <c r="B125" s="568" t="str">
        <f>+VLOOKUP(LEFT($A125,LEN(A125)-1)*1,Master!$D$29:$G$228,4,FALSE)</f>
        <v>Otplata obaveza iz prethodnog perioda</v>
      </c>
      <c r="C125" s="569"/>
      <c r="D125" s="569"/>
      <c r="E125" s="569"/>
      <c r="F125" s="569"/>
      <c r="G125" s="506">
        <v>18137694.66</v>
      </c>
      <c r="H125" s="506">
        <v>1656073.6600000036</v>
      </c>
      <c r="I125" s="506">
        <v>1656073.6600000036</v>
      </c>
      <c r="J125" s="506">
        <v>1656073.6600000036</v>
      </c>
      <c r="K125" s="506">
        <v>1656073.6600000036</v>
      </c>
      <c r="L125" s="506">
        <v>1656073.6600000036</v>
      </c>
      <c r="M125" s="506">
        <v>1656073.6600000036</v>
      </c>
      <c r="N125" s="506">
        <v>1656073.6600000036</v>
      </c>
      <c r="O125" s="506">
        <v>1656073.6600000036</v>
      </c>
      <c r="P125" s="506">
        <v>1656073.6600000036</v>
      </c>
      <c r="Q125" s="506">
        <v>1656073.6600000036</v>
      </c>
      <c r="R125" s="506">
        <v>1656077.7000000055</v>
      </c>
      <c r="S125" s="103">
        <f>+SUM(G125:R125)</f>
        <v>36354508.960000038</v>
      </c>
      <c r="T125" s="472">
        <f t="shared" si="20"/>
        <v>0.68510683250414672</v>
      </c>
      <c r="V125" s="257"/>
    </row>
    <row r="126" spans="1:22" ht="13.5" thickBot="1">
      <c r="A126" s="116" t="str">
        <f t="shared" si="16"/>
        <v>1005p</v>
      </c>
      <c r="B126" s="568" t="str">
        <f>+VLOOKUP(LEFT($A126,LEN(A126)-1)*1,Master!$D$29:$G$228,4,FALSE)</f>
        <v>Neto povećanje obaveza</v>
      </c>
      <c r="C126" s="569"/>
      <c r="D126" s="569"/>
      <c r="E126" s="569"/>
      <c r="F126" s="569"/>
      <c r="G126" s="506">
        <v>0</v>
      </c>
      <c r="H126" s="506">
        <v>0</v>
      </c>
      <c r="I126" s="506">
        <v>0</v>
      </c>
      <c r="J126" s="506">
        <v>0</v>
      </c>
      <c r="K126" s="506">
        <v>0</v>
      </c>
      <c r="L126" s="506">
        <v>0</v>
      </c>
      <c r="M126" s="506">
        <v>0</v>
      </c>
      <c r="N126" s="506">
        <v>0</v>
      </c>
      <c r="O126" s="506">
        <v>0</v>
      </c>
      <c r="P126" s="506">
        <v>0</v>
      </c>
      <c r="Q126" s="506">
        <v>0</v>
      </c>
      <c r="R126" s="506">
        <v>0</v>
      </c>
      <c r="S126" s="115">
        <f>SUM(G126:R126)</f>
        <v>0</v>
      </c>
      <c r="T126" s="469">
        <f t="shared" si="20"/>
        <v>0</v>
      </c>
    </row>
    <row r="127" spans="1:22" ht="13.5" thickBot="1">
      <c r="A127" s="117" t="str">
        <f t="shared" si="16"/>
        <v>1000p</v>
      </c>
      <c r="B127" s="570" t="str">
        <f>+VLOOKUP(LEFT($A127,LEN(A127)-1)*1,Master!$D$29:$G$225,4,FALSE)</f>
        <v>Suficit / deficit</v>
      </c>
      <c r="C127" s="571"/>
      <c r="D127" s="571"/>
      <c r="E127" s="571"/>
      <c r="F127" s="571"/>
      <c r="G127" s="93">
        <f t="shared" ref="G127:R127" si="25">+G84-G103</f>
        <v>-73947853.862364858</v>
      </c>
      <c r="H127" s="93">
        <f t="shared" si="25"/>
        <v>-47248211.594009668</v>
      </c>
      <c r="I127" s="93">
        <f t="shared" si="25"/>
        <v>-15934607.478495538</v>
      </c>
      <c r="J127" s="93">
        <f t="shared" si="25"/>
        <v>-19767268.586634815</v>
      </c>
      <c r="K127" s="93">
        <f t="shared" si="25"/>
        <v>-35920044.116679221</v>
      </c>
      <c r="L127" s="93">
        <f t="shared" si="25"/>
        <v>-12883598.418680429</v>
      </c>
      <c r="M127" s="93">
        <f t="shared" si="25"/>
        <v>13795172.844091207</v>
      </c>
      <c r="N127" s="93">
        <f t="shared" si="25"/>
        <v>26365456.819027275</v>
      </c>
      <c r="O127" s="93">
        <f t="shared" si="25"/>
        <v>-10560627.115862072</v>
      </c>
      <c r="P127" s="93">
        <f t="shared" si="25"/>
        <v>-35825034.003460407</v>
      </c>
      <c r="Q127" s="93">
        <f t="shared" si="25"/>
        <v>-38275991.421390682</v>
      </c>
      <c r="R127" s="93">
        <f t="shared" si="25"/>
        <v>-17809619.345466137</v>
      </c>
      <c r="S127" s="106">
        <f t="shared" si="19"/>
        <v>-268012226.27992535</v>
      </c>
      <c r="T127" s="470">
        <f t="shared" si="20"/>
        <v>-5.0507354568054676</v>
      </c>
      <c r="U127" s="257"/>
    </row>
    <row r="128" spans="1:22" ht="13.5" thickBot="1">
      <c r="A128" s="117" t="str">
        <f t="shared" si="16"/>
        <v>1001p</v>
      </c>
      <c r="B128" s="572" t="str">
        <f>+VLOOKUP(LEFT($A128,LEN(A128)-1)*1,Master!$D$29:$G$225,4,FALSE)</f>
        <v>Primarni suficit/deficit</v>
      </c>
      <c r="C128" s="573"/>
      <c r="D128" s="573"/>
      <c r="E128" s="573"/>
      <c r="F128" s="573"/>
      <c r="G128" s="94">
        <f>+G127+G110</f>
        <v>-69718812.182364851</v>
      </c>
      <c r="H128" s="94">
        <f t="shared" ref="H128:R128" si="26">+H127+H110</f>
        <v>-46208952.244009666</v>
      </c>
      <c r="I128" s="94">
        <f t="shared" si="26"/>
        <v>-14603448.558495538</v>
      </c>
      <c r="J128" s="94">
        <f t="shared" si="26"/>
        <v>2879726.7933651879</v>
      </c>
      <c r="K128" s="94">
        <f t="shared" si="26"/>
        <v>-29852189.866679221</v>
      </c>
      <c r="L128" s="94">
        <f t="shared" si="26"/>
        <v>-7802261.6286804294</v>
      </c>
      <c r="M128" s="94">
        <f t="shared" si="26"/>
        <v>17855250.654091209</v>
      </c>
      <c r="N128" s="94">
        <f t="shared" si="26"/>
        <v>27516137.999027275</v>
      </c>
      <c r="O128" s="94">
        <f t="shared" si="26"/>
        <v>-9458640.9458620716</v>
      </c>
      <c r="P128" s="94">
        <f t="shared" si="26"/>
        <v>-22196863.393460408</v>
      </c>
      <c r="Q128" s="94">
        <f t="shared" si="26"/>
        <v>-32310872.251390684</v>
      </c>
      <c r="R128" s="94">
        <f t="shared" si="26"/>
        <v>8432949.0545338616</v>
      </c>
      <c r="S128" s="106">
        <f t="shared" si="19"/>
        <v>-175467976.56992534</v>
      </c>
      <c r="T128" s="470">
        <f t="shared" si="20"/>
        <v>-3.3067235144339917</v>
      </c>
    </row>
    <row r="129" spans="1:22">
      <c r="A129" s="117" t="str">
        <f t="shared" si="16"/>
        <v>46p</v>
      </c>
      <c r="B129" s="574" t="str">
        <f>+VLOOKUP(LEFT($A129,LEN(A129)-1)*1,Master!$D$29:$G$225,4,FALSE)</f>
        <v>Otplata dugova</v>
      </c>
      <c r="C129" s="575"/>
      <c r="D129" s="575"/>
      <c r="E129" s="575"/>
      <c r="F129" s="575"/>
      <c r="G129" s="84">
        <f>+SUM(G130:G131)</f>
        <v>25337948.449999999</v>
      </c>
      <c r="H129" s="84">
        <f t="shared" ref="H129:R129" si="27">+SUM(H130:H131)</f>
        <v>6751953.7100000009</v>
      </c>
      <c r="I129" s="84">
        <f t="shared" si="27"/>
        <v>20177043.91</v>
      </c>
      <c r="J129" s="84">
        <f t="shared" si="27"/>
        <v>38170817.960000001</v>
      </c>
      <c r="K129" s="84">
        <f t="shared" si="27"/>
        <v>33612405.640000001</v>
      </c>
      <c r="L129" s="84">
        <f t="shared" si="27"/>
        <v>35886748.219999999</v>
      </c>
      <c r="M129" s="486">
        <f t="shared" ref="M129" si="28">+SUM(M130:M131)</f>
        <v>30442206.460000001</v>
      </c>
      <c r="N129" s="84">
        <f t="shared" si="27"/>
        <v>5677430.3599999994</v>
      </c>
      <c r="O129" s="84">
        <f t="shared" si="27"/>
        <v>18107036.029999997</v>
      </c>
      <c r="P129" s="84">
        <f t="shared" si="27"/>
        <v>5775997.5199999996</v>
      </c>
      <c r="Q129" s="84">
        <f t="shared" si="27"/>
        <v>32374757.629999999</v>
      </c>
      <c r="R129" s="84">
        <f t="shared" si="27"/>
        <v>39839313.869999997</v>
      </c>
      <c r="S129" s="104">
        <f t="shared" si="19"/>
        <v>292153659.75999999</v>
      </c>
      <c r="T129" s="471">
        <f t="shared" si="20"/>
        <v>5.5056848288858733</v>
      </c>
    </row>
    <row r="130" spans="1:22">
      <c r="A130" s="117" t="str">
        <f t="shared" si="16"/>
        <v>4611p</v>
      </c>
      <c r="B130" s="566" t="str">
        <f>+VLOOKUP(LEFT($A130,LEN(A130)-1)*1,Master!$D$29:$G$225,4,FALSE)</f>
        <v>Otplata hartija od vrijednosti i kredita rezidentima</v>
      </c>
      <c r="C130" s="567"/>
      <c r="D130" s="567"/>
      <c r="E130" s="567"/>
      <c r="F130" s="567"/>
      <c r="G130" s="96">
        <v>606624.54</v>
      </c>
      <c r="H130" s="96">
        <v>3087670.22</v>
      </c>
      <c r="I130" s="96">
        <v>2560106.65</v>
      </c>
      <c r="J130" s="96">
        <v>4045881.57</v>
      </c>
      <c r="K130" s="96">
        <v>9184956.459999999</v>
      </c>
      <c r="L130" s="96">
        <v>713784.35</v>
      </c>
      <c r="M130" s="96">
        <v>2434796.27</v>
      </c>
      <c r="N130" s="96">
        <v>2377658.75</v>
      </c>
      <c r="O130" s="96">
        <v>719748.70000000007</v>
      </c>
      <c r="P130" s="96">
        <v>2455451.5699999998</v>
      </c>
      <c r="Q130" s="96">
        <v>9230746.25</v>
      </c>
      <c r="R130" s="96">
        <v>2511430.4300000002</v>
      </c>
      <c r="S130" s="103">
        <f t="shared" si="19"/>
        <v>39928855.759999998</v>
      </c>
      <c r="T130" s="472">
        <f t="shared" si="20"/>
        <v>0.75246599879390919</v>
      </c>
    </row>
    <row r="131" spans="1:22" ht="13.5" thickBot="1">
      <c r="A131" s="117" t="str">
        <f t="shared" si="16"/>
        <v>4612p</v>
      </c>
      <c r="B131" s="568" t="str">
        <f>+VLOOKUP(LEFT($A131,LEN(A131)-1)*1,Master!$D$29:$G$225,4,FALSE)</f>
        <v>Otplata hartija od vrijednosti i kredita nerezidentima</v>
      </c>
      <c r="C131" s="569"/>
      <c r="D131" s="569"/>
      <c r="E131" s="569"/>
      <c r="F131" s="569"/>
      <c r="G131" s="96">
        <v>24731323.91</v>
      </c>
      <c r="H131" s="96">
        <v>3664283.49</v>
      </c>
      <c r="I131" s="96">
        <v>17616937.260000002</v>
      </c>
      <c r="J131" s="96">
        <v>34124936.390000001</v>
      </c>
      <c r="K131" s="96">
        <v>24427449.18</v>
      </c>
      <c r="L131" s="96">
        <v>35172963.869999997</v>
      </c>
      <c r="M131" s="96">
        <v>28007410.190000001</v>
      </c>
      <c r="N131" s="96">
        <v>3299771.61</v>
      </c>
      <c r="O131" s="96">
        <v>17387287.329999998</v>
      </c>
      <c r="P131" s="96">
        <v>3320545.95</v>
      </c>
      <c r="Q131" s="96">
        <v>23144011.379999999</v>
      </c>
      <c r="R131" s="96">
        <v>37327883.439999998</v>
      </c>
      <c r="S131" s="103">
        <f t="shared" si="19"/>
        <v>252224804</v>
      </c>
      <c r="T131" s="472">
        <f t="shared" si="20"/>
        <v>4.7532188300919644</v>
      </c>
      <c r="V131" s="257"/>
    </row>
    <row r="132" spans="1:22" ht="13.5" thickBot="1">
      <c r="A132" s="117" t="str">
        <f t="shared" si="16"/>
        <v>4418p</v>
      </c>
      <c r="B132" s="562" t="str">
        <f>+VLOOKUP(LEFT($A132,LEN(A132)-1)*1,Master!$D$29:$G$225,4,FALSE)</f>
        <v>Izdaci za kupovinu hartija od vrijednosti</v>
      </c>
      <c r="C132" s="563"/>
      <c r="D132" s="563"/>
      <c r="E132" s="563"/>
      <c r="F132" s="563"/>
      <c r="G132" s="93">
        <v>46536.67</v>
      </c>
      <c r="H132" s="93">
        <v>46536.67</v>
      </c>
      <c r="I132" s="93">
        <v>48116.67</v>
      </c>
      <c r="J132" s="93">
        <v>48116.67</v>
      </c>
      <c r="K132" s="93">
        <v>48116.67</v>
      </c>
      <c r="L132" s="93">
        <v>48116.67</v>
      </c>
      <c r="M132" s="93">
        <v>48116.67</v>
      </c>
      <c r="N132" s="93">
        <v>52066.67</v>
      </c>
      <c r="O132" s="93">
        <v>55226.659999999996</v>
      </c>
      <c r="P132" s="93">
        <v>156016.66</v>
      </c>
      <c r="Q132" s="93">
        <v>56016.659999999996</v>
      </c>
      <c r="R132" s="93">
        <v>56016.659999999996</v>
      </c>
      <c r="S132" s="449">
        <f t="shared" si="19"/>
        <v>709000</v>
      </c>
      <c r="T132" s="479">
        <f t="shared" si="20"/>
        <v>1.3361224182119704E-2</v>
      </c>
    </row>
    <row r="133" spans="1:22" ht="13.5" thickBot="1">
      <c r="A133" s="117" t="str">
        <f t="shared" si="16"/>
        <v>1002p</v>
      </c>
      <c r="B133" s="564" t="str">
        <f>+VLOOKUP(LEFT($A133,LEN(A133)-1)*1,Master!$D$29:$G$225,4,FALSE)</f>
        <v>Nedostajuća sredstva</v>
      </c>
      <c r="C133" s="565"/>
      <c r="D133" s="565"/>
      <c r="E133" s="565"/>
      <c r="F133" s="565"/>
      <c r="G133" s="77">
        <f t="shared" ref="G133:R133" si="29">+G127-G129-G132</f>
        <v>-99332338.982364863</v>
      </c>
      <c r="H133" s="77">
        <f t="shared" si="29"/>
        <v>-54046701.97400967</v>
      </c>
      <c r="I133" s="77">
        <f t="shared" si="29"/>
        <v>-36159768.058495536</v>
      </c>
      <c r="J133" s="77">
        <f t="shared" si="29"/>
        <v>-57986203.216634817</v>
      </c>
      <c r="K133" s="77">
        <f t="shared" si="29"/>
        <v>-69580566.426679224</v>
      </c>
      <c r="L133" s="77">
        <f t="shared" si="29"/>
        <v>-48818463.30868043</v>
      </c>
      <c r="M133" s="77">
        <f t="shared" si="29"/>
        <v>-16695150.285908794</v>
      </c>
      <c r="N133" s="77">
        <f t="shared" si="29"/>
        <v>20635959.789027274</v>
      </c>
      <c r="O133" s="77">
        <f t="shared" si="29"/>
        <v>-28722889.805862069</v>
      </c>
      <c r="P133" s="77">
        <f t="shared" si="29"/>
        <v>-41757048.1834604</v>
      </c>
      <c r="Q133" s="77">
        <f t="shared" si="29"/>
        <v>-70706765.711390674</v>
      </c>
      <c r="R133" s="77">
        <f t="shared" si="29"/>
        <v>-57704949.875466131</v>
      </c>
      <c r="S133" s="109">
        <f t="shared" si="19"/>
        <v>-560874886.03992534</v>
      </c>
      <c r="T133" s="474">
        <f t="shared" si="20"/>
        <v>-10.56978150987346</v>
      </c>
    </row>
    <row r="134" spans="1:22" ht="13.5" thickBot="1">
      <c r="A134" s="117" t="str">
        <f t="shared" si="16"/>
        <v>1003p</v>
      </c>
      <c r="B134" s="562" t="str">
        <f>+VLOOKUP(LEFT($A134,LEN(A134)-1)*1,Master!$D$29:$G$225,4,FALSE)</f>
        <v>Finansiranje</v>
      </c>
      <c r="C134" s="563"/>
      <c r="D134" s="563"/>
      <c r="E134" s="563"/>
      <c r="F134" s="563"/>
      <c r="G134" s="93">
        <f t="shared" ref="G134:R134" si="30">+SUM(G135:G138)</f>
        <v>99332338.982364863</v>
      </c>
      <c r="H134" s="93">
        <f t="shared" si="30"/>
        <v>54046701.974009678</v>
      </c>
      <c r="I134" s="93">
        <f t="shared" si="30"/>
        <v>36159768.058495536</v>
      </c>
      <c r="J134" s="93">
        <f t="shared" si="30"/>
        <v>57986203.216634825</v>
      </c>
      <c r="K134" s="93">
        <f t="shared" si="30"/>
        <v>69580566.426679224</v>
      </c>
      <c r="L134" s="93">
        <f t="shared" si="30"/>
        <v>48818463.30868043</v>
      </c>
      <c r="M134" s="93">
        <f t="shared" si="30"/>
        <v>16695150.285908792</v>
      </c>
      <c r="N134" s="93">
        <f t="shared" si="30"/>
        <v>-20635959.789027274</v>
      </c>
      <c r="O134" s="93">
        <f t="shared" si="30"/>
        <v>28722889.805862069</v>
      </c>
      <c r="P134" s="93">
        <f t="shared" si="30"/>
        <v>41757048.1834604</v>
      </c>
      <c r="Q134" s="93">
        <f t="shared" si="30"/>
        <v>70706765.711390674</v>
      </c>
      <c r="R134" s="93">
        <f t="shared" si="30"/>
        <v>57704949.875466131</v>
      </c>
      <c r="S134" s="110">
        <f t="shared" si="19"/>
        <v>560874886.03992534</v>
      </c>
      <c r="T134" s="475">
        <f t="shared" si="20"/>
        <v>10.56978150987346</v>
      </c>
    </row>
    <row r="135" spans="1:22">
      <c r="A135" s="117" t="str">
        <f t="shared" si="16"/>
        <v>7511p</v>
      </c>
      <c r="B135" s="566" t="str">
        <f>+VLOOKUP(LEFT($A135,LEN(A135)-1)*1,Master!$D$29:$G$225,4,FALSE)</f>
        <v>Pozajmice i krediti od domaćih izvora</v>
      </c>
      <c r="C135" s="567"/>
      <c r="D135" s="567"/>
      <c r="E135" s="567"/>
      <c r="F135" s="567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103">
        <f t="shared" si="19"/>
        <v>0</v>
      </c>
      <c r="T135" s="472">
        <f t="shared" si="20"/>
        <v>0</v>
      </c>
    </row>
    <row r="136" spans="1:22">
      <c r="A136" s="117" t="str">
        <f t="shared" si="16"/>
        <v>7512p</v>
      </c>
      <c r="B136" s="568" t="str">
        <f>+VLOOKUP(LEFT($A136,LEN(A136)-1)*1,Master!$D$29:$G$225,4,FALSE)</f>
        <v>Pozajmice i krediti od inostranih izvora</v>
      </c>
      <c r="C136" s="569"/>
      <c r="D136" s="569"/>
      <c r="E136" s="569"/>
      <c r="F136" s="569"/>
      <c r="G136" s="96">
        <v>15942704.472000001</v>
      </c>
      <c r="H136" s="96">
        <v>9994404.4719999991</v>
      </c>
      <c r="I136" s="96">
        <v>9996104.4719999991</v>
      </c>
      <c r="J136" s="96">
        <v>10164404.471999999</v>
      </c>
      <c r="K136" s="96">
        <v>15687704.471999999</v>
      </c>
      <c r="L136" s="96">
        <v>15689404.472000001</v>
      </c>
      <c r="M136" s="96">
        <v>7235729.4720000001</v>
      </c>
      <c r="N136" s="96">
        <v>4684029.4720000001</v>
      </c>
      <c r="O136" s="96">
        <v>66982329.472000003</v>
      </c>
      <c r="P136" s="96">
        <v>4684029.4720000001</v>
      </c>
      <c r="Q136" s="96">
        <v>4539974.0474999994</v>
      </c>
      <c r="R136" s="96">
        <v>4403189.4380000001</v>
      </c>
      <c r="S136" s="103">
        <f t="shared" si="19"/>
        <v>170004008.20550004</v>
      </c>
      <c r="T136" s="472">
        <f t="shared" si="20"/>
        <v>3.203754112119328</v>
      </c>
    </row>
    <row r="137" spans="1:22">
      <c r="A137" s="117" t="str">
        <f t="shared" si="16"/>
        <v>72p</v>
      </c>
      <c r="B137" s="568" t="str">
        <f>+VLOOKUP(LEFT($A137,LEN(A137)-1)*1,Master!$D$29:$G$225,4,FALSE)</f>
        <v>Primici od prodaje imovine</v>
      </c>
      <c r="C137" s="569"/>
      <c r="D137" s="569"/>
      <c r="E137" s="569"/>
      <c r="F137" s="569"/>
      <c r="G137" s="96">
        <v>500000</v>
      </c>
      <c r="H137" s="96">
        <v>500000</v>
      </c>
      <c r="I137" s="96">
        <v>500000</v>
      </c>
      <c r="J137" s="96">
        <v>500000</v>
      </c>
      <c r="K137" s="96">
        <v>500000</v>
      </c>
      <c r="L137" s="96">
        <v>500000</v>
      </c>
      <c r="M137" s="96">
        <v>500000</v>
      </c>
      <c r="N137" s="96">
        <v>500000</v>
      </c>
      <c r="O137" s="96">
        <v>500000</v>
      </c>
      <c r="P137" s="96">
        <v>500000</v>
      </c>
      <c r="Q137" s="96">
        <v>500000</v>
      </c>
      <c r="R137" s="96">
        <v>500000</v>
      </c>
      <c r="S137" s="103">
        <f t="shared" si="19"/>
        <v>6000000</v>
      </c>
      <c r="T137" s="472">
        <f t="shared" si="20"/>
        <v>0.11307100859339667</v>
      </c>
    </row>
    <row r="138" spans="1:22" ht="13.5" thickBot="1">
      <c r="A138" s="117" t="str">
        <f t="shared" si="16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1">-G133-SUM(G135:G137)</f>
        <v>82889634.51036486</v>
      </c>
      <c r="H138" s="97">
        <f t="shared" si="31"/>
        <v>43552297.502009675</v>
      </c>
      <c r="I138" s="97">
        <f t="shared" si="31"/>
        <v>25663663.586495537</v>
      </c>
      <c r="J138" s="97">
        <f t="shared" si="31"/>
        <v>47321798.744634822</v>
      </c>
      <c r="K138" s="97">
        <f t="shared" si="31"/>
        <v>53392861.954679221</v>
      </c>
      <c r="L138" s="97">
        <f t="shared" si="31"/>
        <v>32629058.836680427</v>
      </c>
      <c r="M138" s="97">
        <f t="shared" si="31"/>
        <v>8959420.813908793</v>
      </c>
      <c r="N138" s="97">
        <f t="shared" si="31"/>
        <v>-25819989.261027273</v>
      </c>
      <c r="O138" s="97">
        <f t="shared" si="31"/>
        <v>-38759439.666137934</v>
      </c>
      <c r="P138" s="97">
        <f t="shared" si="31"/>
        <v>36573018.711460397</v>
      </c>
      <c r="Q138" s="97">
        <f t="shared" si="31"/>
        <v>65666791.663890675</v>
      </c>
      <c r="R138" s="97">
        <f t="shared" si="31"/>
        <v>52801760.43746613</v>
      </c>
      <c r="S138" s="105">
        <f t="shared" si="19"/>
        <v>384870877.83442539</v>
      </c>
      <c r="T138" s="476">
        <f t="shared" si="20"/>
        <v>7.2529563891607376</v>
      </c>
    </row>
    <row r="140" spans="1:22">
      <c r="G140" s="311"/>
    </row>
    <row r="141" spans="1:22"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</row>
    <row r="142" spans="1:22">
      <c r="N142" s="311"/>
    </row>
    <row r="144" spans="1:22">
      <c r="S144" s="487"/>
    </row>
    <row r="145" spans="19:19">
      <c r="S145" s="311"/>
    </row>
    <row r="146" spans="19:19">
      <c r="S146" s="311"/>
    </row>
  </sheetData>
  <sheetProtection algorithmName="SHA-512" hashValue="tTLWldQmz0YgAdzbjHoSIfmaFXvy8AUx+NrOZc0nCNiEkqOLcnU266l+ghhZQ+bGJQtb6IEfT8MmaCfSfo4Meg==" saltValue="tzR2d96Jxep+4UAuJpCIsg==" spinCount="100000" sheet="1" objects="1" scenarios="1"/>
  <customSheetViews>
    <customSheetView guid="{59E4E612-301A-4B15-B14A-FF0442744080}" fitToPage="1">
      <pane ySplit="1" topLeftCell="A2" activePane="bottomLeft" state="frozen"/>
      <selection pane="bottomLeft" activeCell="J15" sqref="J14:J15"/>
      <pageMargins left="0" right="0" top="0" bottom="0" header="0.31496062992125984" footer="0.31496062992125984"/>
      <pageSetup paperSize="9" scale="53" fitToHeight="0" orientation="landscape" r:id="rId1"/>
    </customSheetView>
  </customSheetViews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53" fitToHeight="0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5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6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W146"/>
  <sheetViews>
    <sheetView zoomScaleNormal="100" workbookViewId="0">
      <pane ySplit="1" topLeftCell="A77" activePane="bottomLeft" state="frozen"/>
      <selection pane="bottomLeft" activeCell="K89" sqref="K89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500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500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615" t="str">
        <f>+Master!G251</f>
        <v>Ostvarenje budžeta</v>
      </c>
      <c r="C7" s="515"/>
      <c r="D7" s="515"/>
      <c r="E7" s="515"/>
      <c r="F7" s="515"/>
      <c r="G7" s="523">
        <v>2021</v>
      </c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7"/>
      <c r="S7" s="235" t="str">
        <f>+Master!G248</f>
        <v>BDP</v>
      </c>
      <c r="T7" s="236">
        <v>4881300000</v>
      </c>
    </row>
    <row r="8" spans="1:20" ht="16.5" customHeight="1">
      <c r="A8" s="144"/>
      <c r="B8" s="516"/>
      <c r="C8" s="517"/>
      <c r="D8" s="517"/>
      <c r="E8" s="517"/>
      <c r="F8" s="518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23" t="str">
        <f>+Master!G246</f>
        <v>Jan - Dec</v>
      </c>
      <c r="T8" s="527"/>
    </row>
    <row r="9" spans="1:20" ht="13.5" thickBot="1">
      <c r="A9" s="144"/>
      <c r="B9" s="519"/>
      <c r="C9" s="520"/>
      <c r="D9" s="520"/>
      <c r="E9" s="520"/>
      <c r="F9" s="521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56" t="str">
        <f>+VLOOKUP($A10,Master!$D$29:$G$225,4,FALSE)</f>
        <v>Prihodi budžeta</v>
      </c>
      <c r="C10" s="557"/>
      <c r="D10" s="557"/>
      <c r="E10" s="557"/>
      <c r="F10" s="557"/>
      <c r="G10" s="151">
        <f>+G11+G19+SUM(G24:G28)</f>
        <v>88645153.320000008</v>
      </c>
      <c r="H10" s="151">
        <f t="shared" ref="H10:R10" si="1">+H11+H19+SUM(H24:H28)</f>
        <v>105602053.27</v>
      </c>
      <c r="I10" s="151">
        <f t="shared" si="1"/>
        <v>154192756.19</v>
      </c>
      <c r="J10" s="151">
        <f t="shared" si="1"/>
        <v>144095507.38000003</v>
      </c>
      <c r="K10" s="151">
        <f t="shared" si="1"/>
        <v>136581593.40000001</v>
      </c>
      <c r="L10" s="151">
        <f t="shared" si="1"/>
        <v>158964980.91000003</v>
      </c>
      <c r="M10" s="151">
        <f t="shared" si="1"/>
        <v>194099538.63</v>
      </c>
      <c r="N10" s="151">
        <f t="shared" si="1"/>
        <v>190105745.75999999</v>
      </c>
      <c r="O10" s="151">
        <f t="shared" si="1"/>
        <v>172070591.90000001</v>
      </c>
      <c r="P10" s="151">
        <f t="shared" si="1"/>
        <v>160001549.75000003</v>
      </c>
      <c r="Q10" s="151">
        <f t="shared" si="1"/>
        <v>158602978.81999999</v>
      </c>
      <c r="R10" s="151">
        <f t="shared" si="1"/>
        <v>248412432.71000004</v>
      </c>
      <c r="S10" s="239">
        <f>+SUM(G10:R10)</f>
        <v>1911374882.0400002</v>
      </c>
      <c r="T10" s="462">
        <f>+S10/$T$7*100</f>
        <v>39.157086883412212</v>
      </c>
    </row>
    <row r="11" spans="1:20">
      <c r="A11" s="150">
        <v>711</v>
      </c>
      <c r="B11" s="558" t="str">
        <f>+VLOOKUP($A11,Master!$D$29:$G$225,4,FALSE)</f>
        <v>Porezi</v>
      </c>
      <c r="C11" s="559"/>
      <c r="D11" s="559"/>
      <c r="E11" s="559"/>
      <c r="F11" s="559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113016911.38000001</v>
      </c>
      <c r="P11" s="157">
        <f t="shared" si="2"/>
        <v>104570246.49000001</v>
      </c>
      <c r="Q11" s="157">
        <f t="shared" si="2"/>
        <v>100241778.90000001</v>
      </c>
      <c r="R11" s="240">
        <f t="shared" si="2"/>
        <v>117752057.5</v>
      </c>
      <c r="S11" s="241">
        <f>+SUM(G11:R11)</f>
        <v>1183874153.45</v>
      </c>
      <c r="T11" s="463">
        <f t="shared" ref="T11:T64" si="3">+S11/$T$7*100</f>
        <v>24.253255351033538</v>
      </c>
    </row>
    <row r="12" spans="1:20">
      <c r="A12" s="150">
        <v>7111</v>
      </c>
      <c r="B12" s="544" t="str">
        <f>+VLOOKUP($A12,Master!$D$29:$G$225,4,FALSE)</f>
        <v>Porez na dohodak fizičkih lica</v>
      </c>
      <c r="C12" s="545"/>
      <c r="D12" s="545"/>
      <c r="E12" s="545"/>
      <c r="F12" s="545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11496389.41</v>
      </c>
      <c r="P12" s="163">
        <v>10714688.65</v>
      </c>
      <c r="Q12" s="163">
        <v>11130007.369999999</v>
      </c>
      <c r="R12" s="163">
        <v>19177675.75</v>
      </c>
      <c r="S12" s="242">
        <f t="shared" ref="S12:S63" si="4">+SUM(G12:R12)</f>
        <v>126864271.05</v>
      </c>
      <c r="T12" s="464">
        <f t="shared" si="3"/>
        <v>2.5989853328006882</v>
      </c>
    </row>
    <row r="13" spans="1:20">
      <c r="A13" s="150">
        <v>7112</v>
      </c>
      <c r="B13" s="544" t="str">
        <f>+VLOOKUP($A13,Master!$D$29:$G$225,4,FALSE)</f>
        <v>Porez na dobit pravnih lica</v>
      </c>
      <c r="C13" s="545"/>
      <c r="D13" s="545"/>
      <c r="E13" s="545"/>
      <c r="F13" s="545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3090820.1</v>
      </c>
      <c r="P13" s="163">
        <v>812369.36</v>
      </c>
      <c r="Q13" s="163">
        <v>572934.72</v>
      </c>
      <c r="R13" s="163">
        <v>3395713.2</v>
      </c>
      <c r="S13" s="242">
        <f t="shared" si="4"/>
        <v>74713724.469999999</v>
      </c>
      <c r="T13" s="464">
        <f t="shared" si="3"/>
        <v>1.5306111992706861</v>
      </c>
    </row>
    <row r="14" spans="1:20">
      <c r="A14" s="150">
        <v>7113</v>
      </c>
      <c r="B14" s="544" t="str">
        <f>+VLOOKUP($A14,Master!$D$29:$G$225,4,FALSE)</f>
        <v>Porez na promet nepokretnosti</v>
      </c>
      <c r="C14" s="545"/>
      <c r="D14" s="545"/>
      <c r="E14" s="545"/>
      <c r="F14" s="545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186859.21</v>
      </c>
      <c r="P14" s="163">
        <v>188590.96</v>
      </c>
      <c r="Q14" s="163">
        <v>256744.67</v>
      </c>
      <c r="R14" s="163">
        <v>326836.90000000002</v>
      </c>
      <c r="S14" s="242">
        <f t="shared" si="4"/>
        <v>2078253.77</v>
      </c>
      <c r="T14" s="464">
        <f t="shared" si="3"/>
        <v>4.2575825497306041E-2</v>
      </c>
    </row>
    <row r="15" spans="1:20">
      <c r="A15" s="150">
        <v>7114</v>
      </c>
      <c r="B15" s="544" t="str">
        <f>+VLOOKUP($A15,Master!$D$29:$G$225,4,FALSE)</f>
        <v>Porez na dodatu vrijednost</v>
      </c>
      <c r="C15" s="545"/>
      <c r="D15" s="545"/>
      <c r="E15" s="545"/>
      <c r="F15" s="545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66021485.600000001</v>
      </c>
      <c r="P15" s="163">
        <v>66173641.18</v>
      </c>
      <c r="Q15" s="163">
        <v>62811263.609999999</v>
      </c>
      <c r="R15" s="163">
        <v>69407107.409999996</v>
      </c>
      <c r="S15" s="242">
        <f t="shared" si="4"/>
        <v>691948121.63999999</v>
      </c>
      <c r="T15" s="464">
        <f t="shared" si="3"/>
        <v>14.175488530514412</v>
      </c>
    </row>
    <row r="16" spans="1:20">
      <c r="A16" s="150">
        <v>7115</v>
      </c>
      <c r="B16" s="544" t="str">
        <f>+VLOOKUP($A16,Master!$D$29:$G$225,4,FALSE)</f>
        <v>Akcize</v>
      </c>
      <c r="C16" s="545"/>
      <c r="D16" s="545"/>
      <c r="E16" s="545"/>
      <c r="F16" s="545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28556581.329999998</v>
      </c>
      <c r="P16" s="163">
        <v>23175011.010000002</v>
      </c>
      <c r="Q16" s="163">
        <v>22114560.530000001</v>
      </c>
      <c r="R16" s="163">
        <v>21883171.960000001</v>
      </c>
      <c r="S16" s="242">
        <f t="shared" si="4"/>
        <v>248717895.15999997</v>
      </c>
      <c r="T16" s="464">
        <f t="shared" si="3"/>
        <v>5.0953208194538337</v>
      </c>
    </row>
    <row r="17" spans="1:23">
      <c r="A17" s="150">
        <v>7116</v>
      </c>
      <c r="B17" s="544" t="str">
        <f>+VLOOKUP($A17,Master!$D$29:$G$225,4,FALSE)</f>
        <v>Porez na međunarodnu trgovinu i transakcije</v>
      </c>
      <c r="C17" s="545"/>
      <c r="D17" s="545"/>
      <c r="E17" s="545"/>
      <c r="F17" s="545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2664634.4500000002</v>
      </c>
      <c r="P17" s="163">
        <v>2522288.0299999998</v>
      </c>
      <c r="Q17" s="163">
        <v>2368746</v>
      </c>
      <c r="R17" s="163">
        <v>2571250.9</v>
      </c>
      <c r="S17" s="242">
        <f t="shared" si="4"/>
        <v>28296642.069999997</v>
      </c>
      <c r="T17" s="464">
        <f t="shared" si="3"/>
        <v>0.57969479585356354</v>
      </c>
    </row>
    <row r="18" spans="1:23">
      <c r="A18" s="150">
        <v>7118</v>
      </c>
      <c r="B18" s="544" t="str">
        <f>+VLOOKUP($A18,Master!$D$29:$G$225,4,FALSE)</f>
        <v>Ostali državni porezi</v>
      </c>
      <c r="C18" s="545"/>
      <c r="D18" s="545"/>
      <c r="E18" s="545"/>
      <c r="F18" s="545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1000141.28</v>
      </c>
      <c r="P18" s="163">
        <v>983657.3</v>
      </c>
      <c r="Q18" s="163">
        <v>987522</v>
      </c>
      <c r="R18" s="163">
        <v>990301.38</v>
      </c>
      <c r="S18" s="242">
        <f t="shared" si="4"/>
        <v>11255245.290000003</v>
      </c>
      <c r="T18" s="464">
        <f t="shared" si="3"/>
        <v>0.23057884764304598</v>
      </c>
    </row>
    <row r="19" spans="1:23">
      <c r="A19" s="150">
        <v>712</v>
      </c>
      <c r="B19" s="554" t="str">
        <f>+VLOOKUP($A19,Master!$D$29:$G$225,4,FALSE)</f>
        <v>Doprinosi</v>
      </c>
      <c r="C19" s="555"/>
      <c r="D19" s="555"/>
      <c r="E19" s="555"/>
      <c r="F19" s="555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47503080.450000003</v>
      </c>
      <c r="P19" s="169">
        <f t="shared" si="5"/>
        <v>44583829.93</v>
      </c>
      <c r="Q19" s="169">
        <f t="shared" si="5"/>
        <v>46560226.979999997</v>
      </c>
      <c r="R19" s="169">
        <f t="shared" si="5"/>
        <v>86995680.920000002</v>
      </c>
      <c r="S19" s="243">
        <f t="shared" si="4"/>
        <v>554476128.65999997</v>
      </c>
      <c r="T19" s="465">
        <f t="shared" si="3"/>
        <v>11.35918973756991</v>
      </c>
    </row>
    <row r="20" spans="1:23">
      <c r="A20" s="150">
        <v>7121</v>
      </c>
      <c r="B20" s="544" t="str">
        <f>+VLOOKUP($A20,Master!$D$29:$G$225,4,FALSE)</f>
        <v>Doprinosi za penzijsko i invalidsko osiguranje</v>
      </c>
      <c r="C20" s="545"/>
      <c r="D20" s="545"/>
      <c r="E20" s="545"/>
      <c r="F20" s="545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29243345.5</v>
      </c>
      <c r="P20" s="163">
        <v>27909453.050000001</v>
      </c>
      <c r="Q20" s="163">
        <v>28933702.27</v>
      </c>
      <c r="R20" s="163">
        <v>54713937.329999998</v>
      </c>
      <c r="S20" s="242">
        <f>+SUM(G20:R20)</f>
        <v>343738250.03000003</v>
      </c>
      <c r="T20" s="464">
        <f t="shared" si="3"/>
        <v>7.0419406721570086</v>
      </c>
    </row>
    <row r="21" spans="1:23">
      <c r="A21" s="150">
        <v>7122</v>
      </c>
      <c r="B21" s="544" t="str">
        <f>+VLOOKUP($A21,Master!$D$29:$G$225,4,FALSE)</f>
        <v>Doprinosi za zdravstveno osiguranje</v>
      </c>
      <c r="C21" s="545"/>
      <c r="D21" s="545"/>
      <c r="E21" s="545"/>
      <c r="F21" s="545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15676970.460000001</v>
      </c>
      <c r="P21" s="163">
        <v>14237401.24</v>
      </c>
      <c r="Q21" s="163">
        <v>15188463.41</v>
      </c>
      <c r="R21" s="163">
        <v>27627105</v>
      </c>
      <c r="S21" s="242">
        <f t="shared" si="4"/>
        <v>180566476.64000002</v>
      </c>
      <c r="T21" s="464">
        <f t="shared" si="3"/>
        <v>3.6991472894515804</v>
      </c>
    </row>
    <row r="22" spans="1:23">
      <c r="A22" s="150">
        <v>7123</v>
      </c>
      <c r="B22" s="544" t="str">
        <f>+VLOOKUP($A22,Master!$D$29:$G$225,4,FALSE)</f>
        <v>Doprinosi za osiguranje od nezaposlenosti</v>
      </c>
      <c r="C22" s="545"/>
      <c r="D22" s="545"/>
      <c r="E22" s="545"/>
      <c r="F22" s="545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1381018.38</v>
      </c>
      <c r="P22" s="163">
        <v>1312625.81</v>
      </c>
      <c r="Q22" s="163">
        <v>1349119.82</v>
      </c>
      <c r="R22" s="163">
        <v>2523171.67</v>
      </c>
      <c r="S22" s="242">
        <f t="shared" si="4"/>
        <v>16358834.440000001</v>
      </c>
      <c r="T22" s="464">
        <f t="shared" si="3"/>
        <v>0.33513274004875754</v>
      </c>
    </row>
    <row r="23" spans="1:23">
      <c r="A23" s="150">
        <v>7124</v>
      </c>
      <c r="B23" s="544" t="str">
        <f>+VLOOKUP($A23,Master!$D$29:$G$225,4,FALSE)</f>
        <v>Ostali doprinosi</v>
      </c>
      <c r="C23" s="545"/>
      <c r="D23" s="545"/>
      <c r="E23" s="545"/>
      <c r="F23" s="545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1201746.1100000001</v>
      </c>
      <c r="P23" s="163">
        <v>1124349.83</v>
      </c>
      <c r="Q23" s="163">
        <v>1088941.48</v>
      </c>
      <c r="R23" s="163">
        <v>2131466.92</v>
      </c>
      <c r="S23" s="242">
        <f t="shared" si="4"/>
        <v>13812567.550000001</v>
      </c>
      <c r="T23" s="464">
        <f t="shared" si="3"/>
        <v>0.28296903591256428</v>
      </c>
      <c r="W23" s="305"/>
    </row>
    <row r="24" spans="1:23">
      <c r="A24" s="150">
        <v>713</v>
      </c>
      <c r="B24" s="546" t="str">
        <f>+VLOOKUP($A24,Master!$D$29:$G$225,4,FALSE)</f>
        <v>Takse</v>
      </c>
      <c r="C24" s="547"/>
      <c r="D24" s="547"/>
      <c r="E24" s="547"/>
      <c r="F24" s="547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1647875.46</v>
      </c>
      <c r="O24" s="175">
        <v>1279203.6200000001</v>
      </c>
      <c r="P24" s="175">
        <v>999355.85</v>
      </c>
      <c r="Q24" s="175">
        <v>1092535.69</v>
      </c>
      <c r="R24" s="175">
        <v>1205165.5</v>
      </c>
      <c r="S24" s="243">
        <f t="shared" si="4"/>
        <v>12641917.529999999</v>
      </c>
      <c r="T24" s="465">
        <f t="shared" si="3"/>
        <v>0.25898669473296049</v>
      </c>
      <c r="W24" s="305"/>
    </row>
    <row r="25" spans="1:23">
      <c r="A25" s="150">
        <v>714</v>
      </c>
      <c r="B25" s="546" t="str">
        <f>+VLOOKUP($A25,Master!$D$29:$G$225,4,FALSE)</f>
        <v>Naknade</v>
      </c>
      <c r="C25" s="547"/>
      <c r="D25" s="547"/>
      <c r="E25" s="547"/>
      <c r="F25" s="547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3922721.92</v>
      </c>
      <c r="P25" s="175">
        <v>4441066.2300000004</v>
      </c>
      <c r="Q25" s="175">
        <v>5178797.51</v>
      </c>
      <c r="R25" s="175">
        <v>12294668.549999999</v>
      </c>
      <c r="S25" s="243">
        <f t="shared" si="4"/>
        <v>51095041.979999997</v>
      </c>
      <c r="T25" s="465">
        <f t="shared" si="3"/>
        <v>1.0467507012476185</v>
      </c>
    </row>
    <row r="26" spans="1:23">
      <c r="A26" s="150">
        <v>715</v>
      </c>
      <c r="B26" s="546" t="str">
        <f>+VLOOKUP($A26,Master!$D$29:$G$225,4,FALSE)</f>
        <v>Ostali prihodi</v>
      </c>
      <c r="C26" s="547"/>
      <c r="D26" s="547"/>
      <c r="E26" s="547"/>
      <c r="F26" s="547"/>
      <c r="G26" s="175">
        <v>1525496.04</v>
      </c>
      <c r="H26" s="175">
        <v>1791757.35</v>
      </c>
      <c r="I26" s="175">
        <v>1693779.5</v>
      </c>
      <c r="J26" s="175">
        <v>1358988.92</v>
      </c>
      <c r="K26" s="175">
        <v>3754382.9</v>
      </c>
      <c r="L26" s="175">
        <v>2287001.67</v>
      </c>
      <c r="M26" s="175">
        <v>30215055.109999999</v>
      </c>
      <c r="N26" s="175">
        <v>2283335.13</v>
      </c>
      <c r="O26" s="175">
        <v>1871626.8</v>
      </c>
      <c r="P26" s="175">
        <v>1566793.48</v>
      </c>
      <c r="Q26" s="175">
        <v>1628758.26</v>
      </c>
      <c r="R26" s="175">
        <v>9339096.8000000007</v>
      </c>
      <c r="S26" s="243">
        <f t="shared" si="4"/>
        <v>59316071.959999993</v>
      </c>
      <c r="T26" s="465">
        <f t="shared" si="3"/>
        <v>1.2151695646651506</v>
      </c>
    </row>
    <row r="27" spans="1:23">
      <c r="A27" s="150">
        <v>73</v>
      </c>
      <c r="B27" s="546" t="str">
        <f>+VLOOKUP($A27,Master!$D$29:$G$225,4,FALSE)</f>
        <v>Primici od otplate kredita i sredstva prenesena iz prethodne godine</v>
      </c>
      <c r="C27" s="547"/>
      <c r="D27" s="547"/>
      <c r="E27" s="547"/>
      <c r="F27" s="547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261920.15</v>
      </c>
      <c r="P27" s="175">
        <v>739287.02</v>
      </c>
      <c r="Q27" s="175">
        <v>1198500.7600000002</v>
      </c>
      <c r="R27" s="175">
        <v>2260792.52</v>
      </c>
      <c r="S27" s="243">
        <f t="shared" si="4"/>
        <v>10101545.129999999</v>
      </c>
      <c r="T27" s="465">
        <f t="shared" si="3"/>
        <v>0.20694374715751951</v>
      </c>
    </row>
    <row r="28" spans="1:23" ht="13.5" thickBot="1">
      <c r="A28" s="150">
        <v>74</v>
      </c>
      <c r="B28" s="548" t="str">
        <f>+VLOOKUP($A28,Master!$D$29:$G$225,4,FALSE)</f>
        <v>Donacije i transferi</v>
      </c>
      <c r="C28" s="549"/>
      <c r="D28" s="549"/>
      <c r="E28" s="549"/>
      <c r="F28" s="549"/>
      <c r="G28" s="175">
        <v>196070.01</v>
      </c>
      <c r="H28" s="175">
        <v>1359247.78</v>
      </c>
      <c r="I28" s="175">
        <v>1522925.29</v>
      </c>
      <c r="J28" s="175">
        <v>1551438.49</v>
      </c>
      <c r="K28" s="175">
        <v>1021922.13</v>
      </c>
      <c r="L28" s="175">
        <v>2472793.4900000002</v>
      </c>
      <c r="M28" s="175">
        <v>2374857.2999999998</v>
      </c>
      <c r="N28" s="175">
        <v>787318.87</v>
      </c>
      <c r="O28" s="175">
        <v>4215127.58</v>
      </c>
      <c r="P28" s="175">
        <v>3100970.75</v>
      </c>
      <c r="Q28" s="175">
        <v>2702380.72</v>
      </c>
      <c r="R28" s="175">
        <v>18564970.920000002</v>
      </c>
      <c r="S28" s="243">
        <f t="shared" si="4"/>
        <v>39870023.329999998</v>
      </c>
      <c r="T28" s="466">
        <f t="shared" si="3"/>
        <v>0.81679108700551084</v>
      </c>
    </row>
    <row r="29" spans="1:23" ht="13.5" thickBot="1">
      <c r="A29" s="150">
        <v>4</v>
      </c>
      <c r="B29" s="534" t="str">
        <f>+VLOOKUP($A29,Master!$D$29:$G$225,4,FALSE)</f>
        <v>Izdaci budžeta</v>
      </c>
      <c r="C29" s="535"/>
      <c r="D29" s="535"/>
      <c r="E29" s="535"/>
      <c r="F29" s="535"/>
      <c r="G29" s="151">
        <f>+G30+G40+G46+SUM(G47:G51)</f>
        <v>127396828.25</v>
      </c>
      <c r="H29" s="151">
        <f t="shared" ref="H29:R29" si="6">+H30+H40+H46+SUM(H47:H51)</f>
        <v>159823163.58000001</v>
      </c>
      <c r="I29" s="151">
        <f t="shared" si="6"/>
        <v>164445513.62</v>
      </c>
      <c r="J29" s="151">
        <f t="shared" si="6"/>
        <v>184230567.26000002</v>
      </c>
      <c r="K29" s="151">
        <f t="shared" si="6"/>
        <v>156128771.06999999</v>
      </c>
      <c r="L29" s="151">
        <f t="shared" si="6"/>
        <v>155953410.75</v>
      </c>
      <c r="M29" s="151">
        <f t="shared" si="6"/>
        <v>153567173.43000001</v>
      </c>
      <c r="N29" s="151">
        <f t="shared" si="6"/>
        <v>129243026.83</v>
      </c>
      <c r="O29" s="151">
        <f t="shared" si="6"/>
        <v>178840157.63000003</v>
      </c>
      <c r="P29" s="151">
        <f t="shared" si="6"/>
        <v>157218817.40000001</v>
      </c>
      <c r="Q29" s="151">
        <f t="shared" si="6"/>
        <v>172180876.45999998</v>
      </c>
      <c r="R29" s="151">
        <f t="shared" si="6"/>
        <v>272548252.21000004</v>
      </c>
      <c r="S29" s="245">
        <f t="shared" si="4"/>
        <v>2011576558.4900002</v>
      </c>
      <c r="T29" s="467">
        <f t="shared" si="3"/>
        <v>41.209853081965875</v>
      </c>
    </row>
    <row r="30" spans="1:23">
      <c r="A30" s="150">
        <v>41</v>
      </c>
      <c r="B30" s="552" t="str">
        <f>+VLOOKUP($A30,Master!$D$29:$G$225,4,FALSE)</f>
        <v>Tekući izdaci</v>
      </c>
      <c r="C30" s="553"/>
      <c r="D30" s="553"/>
      <c r="E30" s="553"/>
      <c r="F30" s="553"/>
      <c r="G30" s="187">
        <f t="shared" ref="G30:R30" si="7">+SUM(G31:G39)</f>
        <v>51210284.650000006</v>
      </c>
      <c r="H30" s="187">
        <f t="shared" si="7"/>
        <v>62952522.470000006</v>
      </c>
      <c r="I30" s="187">
        <f t="shared" si="7"/>
        <v>74936031.789999992</v>
      </c>
      <c r="J30" s="187">
        <f t="shared" si="7"/>
        <v>90498154.590000004</v>
      </c>
      <c r="K30" s="187">
        <f t="shared" si="7"/>
        <v>68092885.25</v>
      </c>
      <c r="L30" s="187">
        <f t="shared" si="7"/>
        <v>67095940.299999997</v>
      </c>
      <c r="M30" s="187">
        <f t="shared" si="7"/>
        <v>63433821.460000001</v>
      </c>
      <c r="N30" s="187">
        <f t="shared" si="7"/>
        <v>55432684.900000006</v>
      </c>
      <c r="O30" s="187">
        <f t="shared" si="7"/>
        <v>78428128.920000017</v>
      </c>
      <c r="P30" s="187">
        <f t="shared" si="7"/>
        <v>65428662.609999999</v>
      </c>
      <c r="Q30" s="187">
        <f t="shared" si="7"/>
        <v>70638693.879999995</v>
      </c>
      <c r="R30" s="246">
        <f t="shared" si="7"/>
        <v>128015161.53</v>
      </c>
      <c r="S30" s="424">
        <f t="shared" si="4"/>
        <v>876162972.3499999</v>
      </c>
      <c r="T30" s="463">
        <f t="shared" si="3"/>
        <v>17.949377672955976</v>
      </c>
      <c r="U30" s="242"/>
    </row>
    <row r="31" spans="1:23">
      <c r="A31" s="150">
        <v>411</v>
      </c>
      <c r="B31" s="544" t="str">
        <f>+VLOOKUP($A31,Master!$D$29:$G$225,4,FALSE)</f>
        <v>Bruto zarade i doprinosi na teret poslodavca</v>
      </c>
      <c r="C31" s="545"/>
      <c r="D31" s="545"/>
      <c r="E31" s="545"/>
      <c r="F31" s="545"/>
      <c r="G31" s="163">
        <v>40605076.340000004</v>
      </c>
      <c r="H31" s="163">
        <v>49306803.189999998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42438933.920000002</v>
      </c>
      <c r="O31" s="163">
        <v>43464882.57</v>
      </c>
      <c r="P31" s="163">
        <v>44324596.259999998</v>
      </c>
      <c r="Q31" s="163">
        <v>42899701.979999997</v>
      </c>
      <c r="R31" s="163">
        <v>47109142.439999998</v>
      </c>
      <c r="S31" s="242">
        <f t="shared" si="4"/>
        <v>535284771.48000002</v>
      </c>
      <c r="T31" s="464">
        <f t="shared" si="3"/>
        <v>10.966028957040134</v>
      </c>
      <c r="U31" s="242"/>
    </row>
    <row r="32" spans="1:23">
      <c r="A32" s="150">
        <v>412</v>
      </c>
      <c r="B32" s="544" t="str">
        <f>+VLOOKUP($A32,Master!$D$29:$G$225,4,FALSE)</f>
        <v>Ostala lična primanja</v>
      </c>
      <c r="C32" s="545"/>
      <c r="D32" s="545"/>
      <c r="E32" s="545"/>
      <c r="F32" s="545"/>
      <c r="G32" s="163">
        <v>108603.95</v>
      </c>
      <c r="H32" s="163">
        <v>889477.21</v>
      </c>
      <c r="I32" s="163">
        <v>864515.21</v>
      </c>
      <c r="J32" s="163">
        <v>1093748.1599999999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915237.68</v>
      </c>
      <c r="P32" s="163">
        <v>879406.09</v>
      </c>
      <c r="Q32" s="163">
        <v>1196263.8500000001</v>
      </c>
      <c r="R32" s="163">
        <v>2247806.5299999998</v>
      </c>
      <c r="S32" s="242">
        <f t="shared" si="4"/>
        <v>11275293.119999999</v>
      </c>
      <c r="T32" s="464">
        <f t="shared" si="3"/>
        <v>0.23098955442197774</v>
      </c>
      <c r="U32" s="457"/>
    </row>
    <row r="33" spans="1:21">
      <c r="A33" s="150">
        <v>413</v>
      </c>
      <c r="B33" s="544" t="str">
        <f>+VLOOKUP($A33,Master!$D$29:$G$225,4,FALSE)</f>
        <v>Rashodi za materijal</v>
      </c>
      <c r="C33" s="545"/>
      <c r="D33" s="545"/>
      <c r="E33" s="545"/>
      <c r="F33" s="545"/>
      <c r="G33" s="163">
        <v>596838.26</v>
      </c>
      <c r="H33" s="163">
        <v>1661548.94</v>
      </c>
      <c r="I33" s="163">
        <v>2846541.08</v>
      </c>
      <c r="J33" s="163">
        <v>2297097.17</v>
      </c>
      <c r="K33" s="163">
        <v>3105673.67</v>
      </c>
      <c r="L33" s="163">
        <v>3282627.05</v>
      </c>
      <c r="M33" s="163">
        <v>1191294.69</v>
      </c>
      <c r="N33" s="163">
        <v>1974731.33</v>
      </c>
      <c r="O33" s="163">
        <v>2484211.52</v>
      </c>
      <c r="P33" s="163">
        <v>3818905.14</v>
      </c>
      <c r="Q33" s="163">
        <v>3314735.27</v>
      </c>
      <c r="R33" s="163">
        <v>8934782.8399999999</v>
      </c>
      <c r="S33" s="242">
        <f t="shared" si="4"/>
        <v>35508986.960000001</v>
      </c>
      <c r="T33" s="464">
        <f t="shared" si="3"/>
        <v>0.72744938766312262</v>
      </c>
      <c r="U33" s="457"/>
    </row>
    <row r="34" spans="1:21" s="361" customFormat="1">
      <c r="A34" s="360">
        <v>414</v>
      </c>
      <c r="B34" s="613" t="str">
        <f>+VLOOKUP($A34,Master!$D$29:$G$225,4,FALSE)</f>
        <v>Rashodi za usluge</v>
      </c>
      <c r="C34" s="614"/>
      <c r="D34" s="614"/>
      <c r="E34" s="614"/>
      <c r="F34" s="614"/>
      <c r="G34" s="163">
        <v>1050676.99</v>
      </c>
      <c r="H34" s="163">
        <v>2618065.42</v>
      </c>
      <c r="I34" s="163">
        <v>3354555.29</v>
      </c>
      <c r="J34" s="163">
        <v>6154997.4900000002</v>
      </c>
      <c r="K34" s="163">
        <v>5010122.6100000003</v>
      </c>
      <c r="L34" s="163">
        <v>3878369.19</v>
      </c>
      <c r="M34" s="163">
        <v>6311106.4199999999</v>
      </c>
      <c r="N34" s="163">
        <v>4216812.43</v>
      </c>
      <c r="O34" s="163">
        <v>4951424.5199999996</v>
      </c>
      <c r="P34" s="163">
        <v>4358677.68</v>
      </c>
      <c r="Q34" s="163">
        <v>4813728.76</v>
      </c>
      <c r="R34" s="163">
        <v>12963904.939999999</v>
      </c>
      <c r="S34" s="242">
        <f t="shared" si="4"/>
        <v>59682441.739999995</v>
      </c>
      <c r="T34" s="464">
        <f t="shared" si="3"/>
        <v>1.2226751426873987</v>
      </c>
      <c r="U34" s="457"/>
    </row>
    <row r="35" spans="1:21">
      <c r="A35" s="150">
        <v>415</v>
      </c>
      <c r="B35" s="544" t="str">
        <f>+VLOOKUP($A35,Master!$D$29:$G$225,4,FALSE)</f>
        <v>Rashodi za tekuće održavanje</v>
      </c>
      <c r="C35" s="545"/>
      <c r="D35" s="545"/>
      <c r="E35" s="545"/>
      <c r="F35" s="545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1713753.59</v>
      </c>
      <c r="L35" s="163">
        <v>1668289.12</v>
      </c>
      <c r="M35" s="163">
        <v>1674987.06</v>
      </c>
      <c r="N35" s="163">
        <v>627370.31000000006</v>
      </c>
      <c r="O35" s="163">
        <v>2494776.16</v>
      </c>
      <c r="P35" s="163">
        <v>1624347.31</v>
      </c>
      <c r="Q35" s="163">
        <v>2052579.1</v>
      </c>
      <c r="R35" s="163">
        <v>4628860.91</v>
      </c>
      <c r="S35" s="242">
        <f t="shared" si="4"/>
        <v>21714478.710000001</v>
      </c>
      <c r="T35" s="464">
        <f t="shared" si="3"/>
        <v>0.44485032081617609</v>
      </c>
      <c r="U35" s="457"/>
    </row>
    <row r="36" spans="1:21">
      <c r="A36" s="150">
        <v>416</v>
      </c>
      <c r="B36" s="544" t="str">
        <f>+VLOOKUP($A36,Master!$D$29:$G$225,4,FALSE)</f>
        <v>Kamate</v>
      </c>
      <c r="C36" s="545"/>
      <c r="D36" s="545"/>
      <c r="E36" s="545"/>
      <c r="F36" s="545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4536771.22</v>
      </c>
      <c r="N36" s="163">
        <v>1656473.82</v>
      </c>
      <c r="O36" s="163">
        <v>14251047.82</v>
      </c>
      <c r="P36" s="163">
        <v>1257915.1499999999</v>
      </c>
      <c r="Q36" s="163">
        <v>6572572.5</v>
      </c>
      <c r="R36" s="163">
        <v>26695596.420000002</v>
      </c>
      <c r="S36" s="242">
        <f>+SUM(G36:R36)</f>
        <v>114058902.18000002</v>
      </c>
      <c r="T36" s="464">
        <f t="shared" si="3"/>
        <v>2.3366501173867622</v>
      </c>
      <c r="U36" s="457"/>
    </row>
    <row r="37" spans="1:21">
      <c r="A37" s="150">
        <v>417</v>
      </c>
      <c r="B37" s="544" t="str">
        <f>+VLOOKUP($A37,Master!$D$29:$G$225,4,FALSE)</f>
        <v>Renta</v>
      </c>
      <c r="C37" s="545"/>
      <c r="D37" s="545"/>
      <c r="E37" s="545"/>
      <c r="F37" s="545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630121.34</v>
      </c>
      <c r="L37" s="163">
        <v>989320.52</v>
      </c>
      <c r="M37" s="163">
        <v>768698.1</v>
      </c>
      <c r="N37" s="163">
        <v>599617.06999999995</v>
      </c>
      <c r="O37" s="163">
        <v>1289567.81</v>
      </c>
      <c r="P37" s="163">
        <v>956228.2</v>
      </c>
      <c r="Q37" s="163">
        <v>1013643.73</v>
      </c>
      <c r="R37" s="163">
        <v>2536754.16</v>
      </c>
      <c r="S37" s="242">
        <f t="shared" si="4"/>
        <v>11382290.550000001</v>
      </c>
      <c r="T37" s="464">
        <f t="shared" si="3"/>
        <v>0.23318154077807143</v>
      </c>
      <c r="U37" s="457"/>
    </row>
    <row r="38" spans="1:21">
      <c r="A38" s="150">
        <v>418</v>
      </c>
      <c r="B38" s="544" t="str">
        <f>+VLOOKUP($A38,Master!$D$29:$G$225,4,FALSE)</f>
        <v>Subvencije</v>
      </c>
      <c r="C38" s="545"/>
      <c r="D38" s="545"/>
      <c r="E38" s="545"/>
      <c r="F38" s="545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1282909.52</v>
      </c>
      <c r="O38" s="163">
        <v>5015730.92</v>
      </c>
      <c r="P38" s="163">
        <v>5211144.05</v>
      </c>
      <c r="Q38" s="163">
        <v>4749689.82</v>
      </c>
      <c r="R38" s="163">
        <v>13213431.09</v>
      </c>
      <c r="S38" s="242">
        <f t="shared" si="4"/>
        <v>48519958.780000001</v>
      </c>
      <c r="T38" s="464">
        <f t="shared" si="3"/>
        <v>0.9939966562186302</v>
      </c>
      <c r="U38" s="457"/>
    </row>
    <row r="39" spans="1:21" s="361" customFormat="1">
      <c r="A39" s="360">
        <v>419</v>
      </c>
      <c r="B39" s="613" t="str">
        <f>+VLOOKUP($A39,Master!$D$29:$G$225,4,FALSE)</f>
        <v>Ostali izdaci</v>
      </c>
      <c r="C39" s="614"/>
      <c r="D39" s="614"/>
      <c r="E39" s="614"/>
      <c r="F39" s="614"/>
      <c r="G39" s="163">
        <v>792964.83</v>
      </c>
      <c r="H39" s="163">
        <v>2310889.5099999998</v>
      </c>
      <c r="I39" s="163">
        <v>3429558.98</v>
      </c>
      <c r="J39" s="163">
        <v>2708059.43</v>
      </c>
      <c r="K39" s="163">
        <v>2582032.64</v>
      </c>
      <c r="L39" s="163">
        <v>2772575.41</v>
      </c>
      <c r="M39" s="163">
        <v>1903342.21</v>
      </c>
      <c r="N39" s="163">
        <v>1967072.1</v>
      </c>
      <c r="O39" s="163">
        <v>3561249.92</v>
      </c>
      <c r="P39" s="163">
        <v>2997442.73</v>
      </c>
      <c r="Q39" s="163">
        <v>4025778.87</v>
      </c>
      <c r="R39" s="163">
        <v>9684882.1999999993</v>
      </c>
      <c r="S39" s="242">
        <f t="shared" si="4"/>
        <v>38735848.829999998</v>
      </c>
      <c r="T39" s="464">
        <f t="shared" si="3"/>
        <v>0.79355599594370352</v>
      </c>
      <c r="U39" s="457"/>
    </row>
    <row r="40" spans="1:21">
      <c r="A40" s="150">
        <v>42</v>
      </c>
      <c r="B40" s="540" t="str">
        <f>+VLOOKUP($A40,Master!$D$29:$G$225,4,FALSE)</f>
        <v>Transferi za socijalnu zaštitu</v>
      </c>
      <c r="C40" s="541"/>
      <c r="D40" s="541"/>
      <c r="E40" s="541"/>
      <c r="F40" s="541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47346058.890000001</v>
      </c>
      <c r="P40" s="193">
        <f t="shared" si="8"/>
        <v>47321393.019999996</v>
      </c>
      <c r="Q40" s="193">
        <f t="shared" si="8"/>
        <v>47602308.230000004</v>
      </c>
      <c r="R40" s="247">
        <f t="shared" si="8"/>
        <v>50150870.130000003</v>
      </c>
      <c r="S40" s="489">
        <f t="shared" si="4"/>
        <v>567405694.82999992</v>
      </c>
      <c r="T40" s="490">
        <f t="shared" si="3"/>
        <v>11.624069301825331</v>
      </c>
      <c r="U40" s="242"/>
    </row>
    <row r="41" spans="1:21">
      <c r="A41" s="150">
        <v>421</v>
      </c>
      <c r="B41" s="544" t="str">
        <f>+VLOOKUP($A41,Master!$D$29:$G$225,4,FALSE)</f>
        <v>Prava iz oblasti socijalne zaštite</v>
      </c>
      <c r="C41" s="545"/>
      <c r="D41" s="545"/>
      <c r="E41" s="545"/>
      <c r="F41" s="545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7012911.9400000004</v>
      </c>
      <c r="P41" s="163">
        <v>7587918.79</v>
      </c>
      <c r="Q41" s="163">
        <v>8108140.6100000003</v>
      </c>
      <c r="R41" s="163">
        <v>8364482.7699999996</v>
      </c>
      <c r="S41" s="242">
        <f t="shared" si="4"/>
        <v>84933837.310000002</v>
      </c>
      <c r="T41" s="464">
        <f t="shared" si="3"/>
        <v>1.7399839655419664</v>
      </c>
      <c r="U41" s="457"/>
    </row>
    <row r="42" spans="1:21">
      <c r="A42" s="150">
        <v>422</v>
      </c>
      <c r="B42" s="544" t="str">
        <f>+VLOOKUP($A42,Master!$D$29:$G$225,4,FALSE)</f>
        <v>Sredstva za tehnološke viškove</v>
      </c>
      <c r="C42" s="545"/>
      <c r="D42" s="545"/>
      <c r="E42" s="545"/>
      <c r="F42" s="545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1946279.26</v>
      </c>
      <c r="P42" s="163">
        <v>1580041.11</v>
      </c>
      <c r="Q42" s="163">
        <v>1693671.28</v>
      </c>
      <c r="R42" s="163">
        <v>3225105.76</v>
      </c>
      <c r="S42" s="242">
        <f t="shared" si="4"/>
        <v>23087428.329999998</v>
      </c>
      <c r="T42" s="464">
        <f t="shared" si="3"/>
        <v>0.47297704156679571</v>
      </c>
      <c r="U42" s="457"/>
    </row>
    <row r="43" spans="1:21">
      <c r="A43" s="150">
        <v>423</v>
      </c>
      <c r="B43" s="544" t="str">
        <f>+VLOOKUP($A43,Master!$D$29:$G$225,4,FALSE)</f>
        <v>Prava iz oblasti penzijskog i invalidskog osiguranja</v>
      </c>
      <c r="C43" s="545"/>
      <c r="D43" s="545"/>
      <c r="E43" s="545"/>
      <c r="F43" s="545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35868624.289999999</v>
      </c>
      <c r="P43" s="163">
        <v>35842810.990000002</v>
      </c>
      <c r="Q43" s="163">
        <v>35886030.640000001</v>
      </c>
      <c r="R43" s="163">
        <v>35788467.600000001</v>
      </c>
      <c r="S43" s="242">
        <f t="shared" si="4"/>
        <v>431007818.79000002</v>
      </c>
      <c r="T43" s="464">
        <f t="shared" si="3"/>
        <v>8.8297752399975415</v>
      </c>
      <c r="U43" s="457"/>
    </row>
    <row r="44" spans="1:21">
      <c r="A44" s="150">
        <v>424</v>
      </c>
      <c r="B44" s="544" t="str">
        <f>+VLOOKUP($A44,Master!$D$29:$G$225,4,FALSE)</f>
        <v>Ostala prava iz oblasti zdravstvene zaštite</v>
      </c>
      <c r="C44" s="545"/>
      <c r="D44" s="545"/>
      <c r="E44" s="545"/>
      <c r="F44" s="545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1755810.82</v>
      </c>
      <c r="P44" s="163">
        <v>978865.16</v>
      </c>
      <c r="Q44" s="163">
        <v>925856.6</v>
      </c>
      <c r="R44" s="163">
        <v>1584384.3</v>
      </c>
      <c r="S44" s="242">
        <f t="shared" si="4"/>
        <v>17077333.689999998</v>
      </c>
      <c r="T44" s="464">
        <f t="shared" si="3"/>
        <v>0.34985216417757559</v>
      </c>
      <c r="U44" s="457"/>
    </row>
    <row r="45" spans="1:21" s="361" customFormat="1">
      <c r="A45" s="360">
        <v>425</v>
      </c>
      <c r="B45" s="609" t="str">
        <f>+VLOOKUP($A45,Master!$D$29:$G$225,4,FALSE)</f>
        <v>Ostala prava iz zdravstvenog osiguranja</v>
      </c>
      <c r="C45" s="610"/>
      <c r="D45" s="610"/>
      <c r="E45" s="610"/>
      <c r="F45" s="610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762432.58</v>
      </c>
      <c r="P45" s="163">
        <v>1331756.97</v>
      </c>
      <c r="Q45" s="163">
        <v>988609.1</v>
      </c>
      <c r="R45" s="163">
        <v>1188429.7</v>
      </c>
      <c r="S45" s="242">
        <f t="shared" si="4"/>
        <v>11299276.709999999</v>
      </c>
      <c r="T45" s="464">
        <f t="shared" si="3"/>
        <v>0.2314808905414541</v>
      </c>
      <c r="U45" s="457"/>
    </row>
    <row r="46" spans="1:21">
      <c r="A46" s="150">
        <v>43</v>
      </c>
      <c r="B46" s="542" t="str">
        <f>+VLOOKUP($A46,Master!$D$29:$G$225,4,FALSE)</f>
        <v xml:space="preserve">Transferi institucijama, pojedincima, nevladinom i javnom sektoru </v>
      </c>
      <c r="C46" s="543"/>
      <c r="D46" s="543"/>
      <c r="E46" s="543"/>
      <c r="F46" s="543"/>
      <c r="G46" s="175">
        <v>12392775.73</v>
      </c>
      <c r="H46" s="175">
        <v>21028699.079999998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18905972.879999999</v>
      </c>
      <c r="N46" s="175">
        <v>16083684.529999999</v>
      </c>
      <c r="O46" s="175">
        <v>26541391.52</v>
      </c>
      <c r="P46" s="175">
        <v>20455248.059999999</v>
      </c>
      <c r="Q46" s="175">
        <v>27077034.149999999</v>
      </c>
      <c r="R46" s="175">
        <v>29427113.329999998</v>
      </c>
      <c r="S46" s="243">
        <f t="shared" si="4"/>
        <v>257065984.94</v>
      </c>
      <c r="T46" s="465">
        <f t="shared" si="3"/>
        <v>5.2663426738778609</v>
      </c>
      <c r="U46" s="481"/>
    </row>
    <row r="47" spans="1:21">
      <c r="A47" s="150">
        <v>44</v>
      </c>
      <c r="B47" s="542" t="str">
        <f>+VLOOKUP($A47,Master!$D$29:$G$225,4,FALSE)</f>
        <v>Kapitalni izdaci</v>
      </c>
      <c r="C47" s="543"/>
      <c r="D47" s="543"/>
      <c r="E47" s="543"/>
      <c r="F47" s="543"/>
      <c r="G47" s="175">
        <v>11603510.130000001</v>
      </c>
      <c r="H47" s="175">
        <v>7242535.6200000001</v>
      </c>
      <c r="I47" s="175">
        <v>8279888.46</v>
      </c>
      <c r="J47" s="175">
        <v>16938740.100000001</v>
      </c>
      <c r="K47" s="175">
        <v>6491669.8099999996</v>
      </c>
      <c r="L47" s="175">
        <v>11935338.039999999</v>
      </c>
      <c r="M47" s="175">
        <v>13239855.810000001</v>
      </c>
      <c r="N47" s="175">
        <v>7339618.0199999996</v>
      </c>
      <c r="O47" s="175">
        <v>24684802.260000002</v>
      </c>
      <c r="P47" s="175">
        <v>20452763.75</v>
      </c>
      <c r="Q47" s="175">
        <v>19451903.010000002</v>
      </c>
      <c r="R47" s="175">
        <v>56838746.07</v>
      </c>
      <c r="S47" s="243">
        <f t="shared" si="4"/>
        <v>204499371.07999998</v>
      </c>
      <c r="T47" s="465">
        <f t="shared" si="3"/>
        <v>4.1894448421527049</v>
      </c>
      <c r="U47" s="481"/>
    </row>
    <row r="48" spans="1:21">
      <c r="A48" s="150">
        <v>451</v>
      </c>
      <c r="B48" s="611" t="str">
        <f>+VLOOKUP($A48,Master!$D$29:$G$225,4,FALSE)</f>
        <v>Pozajmice i krediti</v>
      </c>
      <c r="C48" s="612"/>
      <c r="D48" s="612"/>
      <c r="E48" s="612"/>
      <c r="F48" s="612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320698</v>
      </c>
      <c r="Q48" s="163">
        <v>1680</v>
      </c>
      <c r="R48" s="163">
        <v>164365</v>
      </c>
      <c r="S48" s="242">
        <f t="shared" si="4"/>
        <v>1315523</v>
      </c>
      <c r="T48" s="464">
        <f t="shared" si="3"/>
        <v>2.6950259152275009E-2</v>
      </c>
      <c r="U48" s="481"/>
    </row>
    <row r="49" spans="1:21" s="361" customFormat="1">
      <c r="A49" s="360">
        <v>47</v>
      </c>
      <c r="B49" s="603" t="str">
        <f>+VLOOKUP($A49,Master!$D$29:$G$225,4,FALSE)</f>
        <v>Rezerve</v>
      </c>
      <c r="C49" s="604"/>
      <c r="D49" s="604"/>
      <c r="E49" s="604"/>
      <c r="F49" s="604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862178.99</v>
      </c>
      <c r="P49" s="163">
        <v>2434932.13</v>
      </c>
      <c r="Q49" s="163">
        <v>5966200</v>
      </c>
      <c r="R49" s="163">
        <v>5072697.09</v>
      </c>
      <c r="S49" s="242">
        <f t="shared" si="4"/>
        <v>71230165.420000002</v>
      </c>
      <c r="T49" s="464">
        <f t="shared" si="3"/>
        <v>1.4592458037817795</v>
      </c>
      <c r="U49" s="481"/>
    </row>
    <row r="50" spans="1:21" ht="13.5" thickBot="1">
      <c r="A50" s="150">
        <v>462</v>
      </c>
      <c r="B50" s="530" t="str">
        <f>+VLOOKUP($A50,Master!$D$29:$G$225,4,FALSE)</f>
        <v>Otplata garancija</v>
      </c>
      <c r="C50" s="531"/>
      <c r="D50" s="531"/>
      <c r="E50" s="531"/>
      <c r="F50" s="531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4">
        <f t="shared" si="3"/>
        <v>0.15797537705119538</v>
      </c>
      <c r="U50" s="481"/>
    </row>
    <row r="51" spans="1:21" ht="13.5" thickBot="1">
      <c r="A51" s="144">
        <v>4630</v>
      </c>
      <c r="B51" s="605" t="str">
        <f>+VLOOKUP($A51,Master!$D$29:$G$225,4,TRUE)</f>
        <v>Otplata obaveza iz prethodnog perioda</v>
      </c>
      <c r="C51" s="606"/>
      <c r="D51" s="606"/>
      <c r="E51" s="606"/>
      <c r="F51" s="606"/>
      <c r="G51" s="458">
        <v>1018944.7</v>
      </c>
      <c r="H51" s="458">
        <v>1642283.23</v>
      </c>
      <c r="I51" s="458">
        <v>1493597.85</v>
      </c>
      <c r="J51" s="458">
        <v>1366097.79</v>
      </c>
      <c r="K51" s="458">
        <v>11033574.689999999</v>
      </c>
      <c r="L51" s="458">
        <v>1293176.52</v>
      </c>
      <c r="M51" s="458">
        <v>1500471</v>
      </c>
      <c r="N51" s="458">
        <v>732375.88</v>
      </c>
      <c r="O51" s="458">
        <v>977597.05</v>
      </c>
      <c r="P51" s="458">
        <v>805119.83</v>
      </c>
      <c r="Q51" s="458">
        <v>1443057.19</v>
      </c>
      <c r="R51" s="459">
        <v>2879299.06</v>
      </c>
      <c r="S51" s="425">
        <f>+SUM(G51:R51)</f>
        <v>26185594.789999999</v>
      </c>
      <c r="T51" s="468">
        <f t="shared" si="3"/>
        <v>0.53644715116874597</v>
      </c>
      <c r="U51" s="481"/>
    </row>
    <row r="52" spans="1:21" ht="13.5" thickBot="1">
      <c r="A52" s="70">
        <v>1005</v>
      </c>
      <c r="B52" s="607" t="str">
        <f>+VLOOKUP($A52,Master!$D$29:$G$227,4,FALSE)</f>
        <v>Neto povećanje obaveza</v>
      </c>
      <c r="C52" s="608"/>
      <c r="D52" s="608"/>
      <c r="E52" s="608"/>
      <c r="F52" s="608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69">
        <f t="shared" si="3"/>
        <v>0</v>
      </c>
      <c r="U52" s="482"/>
    </row>
    <row r="53" spans="1:21" ht="13.5" thickBot="1">
      <c r="A53" s="144">
        <v>1000</v>
      </c>
      <c r="B53" s="536" t="str">
        <f>+VLOOKUP($A53,Master!$D$29:$G$225,4,FALSE)</f>
        <v>Suficit / deficit</v>
      </c>
      <c r="C53" s="537"/>
      <c r="D53" s="537"/>
      <c r="E53" s="537"/>
      <c r="F53" s="537"/>
      <c r="G53" s="151">
        <f t="shared" ref="G53:R53" si="9">+G10-G29</f>
        <v>-38751674.929999992</v>
      </c>
      <c r="H53" s="151">
        <f t="shared" si="9"/>
        <v>-54221110.310000017</v>
      </c>
      <c r="I53" s="151">
        <f t="shared" si="9"/>
        <v>-10252757.430000007</v>
      </c>
      <c r="J53" s="151">
        <f t="shared" si="9"/>
        <v>-40135059.879999995</v>
      </c>
      <c r="K53" s="151">
        <f t="shared" si="9"/>
        <v>-19547177.669999987</v>
      </c>
      <c r="L53" s="151">
        <f t="shared" si="9"/>
        <v>3011570.1600000262</v>
      </c>
      <c r="M53" s="151">
        <f t="shared" si="9"/>
        <v>40532365.199999988</v>
      </c>
      <c r="N53" s="151">
        <f t="shared" si="9"/>
        <v>60862718.929999992</v>
      </c>
      <c r="O53" s="151">
        <f t="shared" si="9"/>
        <v>-6769565.7300000191</v>
      </c>
      <c r="P53" s="151">
        <f t="shared" si="9"/>
        <v>2782732.3500000238</v>
      </c>
      <c r="Q53" s="151">
        <f t="shared" si="9"/>
        <v>-13577897.639999986</v>
      </c>
      <c r="R53" s="151">
        <f t="shared" si="9"/>
        <v>-24135819.5</v>
      </c>
      <c r="S53" s="248">
        <f t="shared" si="4"/>
        <v>-100201676.44999997</v>
      </c>
      <c r="T53" s="470">
        <f t="shared" si="3"/>
        <v>-2.0527661985536634</v>
      </c>
    </row>
    <row r="54" spans="1:21" ht="13.5" thickBot="1">
      <c r="A54" s="144">
        <v>1001</v>
      </c>
      <c r="B54" s="538" t="str">
        <f>+VLOOKUP($A54,Master!$D$29:$G$225,4,FALSE)</f>
        <v>Primarni suficit/deficit</v>
      </c>
      <c r="C54" s="539"/>
      <c r="D54" s="539"/>
      <c r="E54" s="539"/>
      <c r="F54" s="539"/>
      <c r="G54" s="205">
        <f t="shared" ref="G54:R54" si="10">+G53+G36</f>
        <v>-31174189.859999992</v>
      </c>
      <c r="H54" s="205">
        <f t="shared" si="10"/>
        <v>-52256919.930000015</v>
      </c>
      <c r="I54" s="205">
        <f t="shared" si="10"/>
        <v>4535225.1399999931</v>
      </c>
      <c r="J54" s="205">
        <f t="shared" si="10"/>
        <v>-17366547.919999994</v>
      </c>
      <c r="K54" s="205">
        <f t="shared" si="10"/>
        <v>-12846876.829999987</v>
      </c>
      <c r="L54" s="205">
        <f t="shared" si="10"/>
        <v>8301624.5900000259</v>
      </c>
      <c r="M54" s="205">
        <f t="shared" si="10"/>
        <v>45069136.419999987</v>
      </c>
      <c r="N54" s="205">
        <f t="shared" si="10"/>
        <v>62519192.749999993</v>
      </c>
      <c r="O54" s="205">
        <f t="shared" si="10"/>
        <v>7481482.0899999812</v>
      </c>
      <c r="P54" s="205">
        <f t="shared" si="10"/>
        <v>4040647.5000000237</v>
      </c>
      <c r="Q54" s="205">
        <f t="shared" si="10"/>
        <v>-7005325.1399999857</v>
      </c>
      <c r="R54" s="205">
        <f t="shared" si="10"/>
        <v>2559776.9200000018</v>
      </c>
      <c r="S54" s="248">
        <f t="shared" si="4"/>
        <v>13857225.730000056</v>
      </c>
      <c r="T54" s="470">
        <f t="shared" si="3"/>
        <v>0.28388391883309888</v>
      </c>
    </row>
    <row r="55" spans="1:21">
      <c r="A55" s="144">
        <v>46</v>
      </c>
      <c r="B55" s="560" t="str">
        <f>+VLOOKUP($A55,Master!$D$29:$G$225,4,FALSE)</f>
        <v>Otplata dugova</v>
      </c>
      <c r="C55" s="561"/>
      <c r="D55" s="561"/>
      <c r="E55" s="561"/>
      <c r="F55" s="561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12976050.960000001</v>
      </c>
      <c r="O55" s="193">
        <f t="shared" si="11"/>
        <v>11336186.489999998</v>
      </c>
      <c r="P55" s="193">
        <f t="shared" si="11"/>
        <v>7558722.7800000003</v>
      </c>
      <c r="Q55" s="193">
        <f t="shared" si="11"/>
        <v>17747948.740000002</v>
      </c>
      <c r="R55" s="193">
        <f t="shared" si="11"/>
        <v>12061111.439999999</v>
      </c>
      <c r="S55" s="249">
        <f t="shared" si="4"/>
        <v>437597431.75</v>
      </c>
      <c r="T55" s="471">
        <f t="shared" si="3"/>
        <v>8.9647723301169773</v>
      </c>
    </row>
    <row r="56" spans="1:21">
      <c r="A56" s="144">
        <v>4611</v>
      </c>
      <c r="B56" s="528" t="str">
        <f>+VLOOKUP($A56,Master!$D$29:$G$225,4,FALSE)</f>
        <v>Otplata hartija od vrijednosti i kredita rezidentima</v>
      </c>
      <c r="C56" s="529"/>
      <c r="D56" s="529"/>
      <c r="E56" s="529"/>
      <c r="F56" s="529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2421267.87</v>
      </c>
      <c r="P56" s="211">
        <v>3875503.62</v>
      </c>
      <c r="Q56" s="211">
        <v>8560164.7799999993</v>
      </c>
      <c r="R56" s="211">
        <v>2536618.6</v>
      </c>
      <c r="S56" s="250">
        <f t="shared" si="4"/>
        <v>85309098.780000001</v>
      </c>
      <c r="T56" s="472">
        <f t="shared" si="3"/>
        <v>1.7476717018007497</v>
      </c>
    </row>
    <row r="57" spans="1:21" ht="13.5" thickBot="1">
      <c r="A57" s="144">
        <v>4612</v>
      </c>
      <c r="B57" s="512" t="str">
        <f>+VLOOKUP($A57,Master!$D$29:$G$225,4,FALSE)</f>
        <v>Otplata hartija od vrijednosti i kredita nerezidentima</v>
      </c>
      <c r="C57" s="513"/>
      <c r="D57" s="513"/>
      <c r="E57" s="513"/>
      <c r="F57" s="513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11226003.210000001</v>
      </c>
      <c r="O57" s="211">
        <v>8914918.6199999992</v>
      </c>
      <c r="P57" s="211">
        <v>3683219.16</v>
      </c>
      <c r="Q57" s="211">
        <v>9187783.9600000009</v>
      </c>
      <c r="R57" s="211">
        <v>9524492.8399999999</v>
      </c>
      <c r="S57" s="250">
        <f t="shared" si="4"/>
        <v>352288332.96999997</v>
      </c>
      <c r="T57" s="472">
        <f t="shared" si="3"/>
        <v>7.2171006283162269</v>
      </c>
    </row>
    <row r="58" spans="1:21" ht="13.5" thickBot="1">
      <c r="A58" s="144">
        <v>4418</v>
      </c>
      <c r="B58" s="550" t="str">
        <f>+VLOOKUP($A58,Master!$D$29:$G$225,4,FALSE)</f>
        <v>Izdaci za kupovinu hartija od vrijednosti</v>
      </c>
      <c r="C58" s="551"/>
      <c r="D58" s="551"/>
      <c r="E58" s="551"/>
      <c r="F58" s="551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0</v>
      </c>
      <c r="P58" s="460">
        <v>506343.98</v>
      </c>
      <c r="Q58" s="460">
        <v>0</v>
      </c>
      <c r="R58" s="461">
        <v>0</v>
      </c>
      <c r="S58" s="249">
        <f>SUM(G58:R58)</f>
        <v>506343.98</v>
      </c>
      <c r="T58" s="473">
        <f t="shared" si="3"/>
        <v>1.0373137893593919E-2</v>
      </c>
    </row>
    <row r="59" spans="1:21" ht="13.5" thickBot="1">
      <c r="A59" s="144">
        <v>1002</v>
      </c>
      <c r="B59" s="532" t="str">
        <f>+VLOOKUP($A59,Master!$D$29:$G$225,4,FALSE)</f>
        <v>Nedostajuća sredstva</v>
      </c>
      <c r="C59" s="533"/>
      <c r="D59" s="533"/>
      <c r="E59" s="533"/>
      <c r="F59" s="533"/>
      <c r="G59" s="217">
        <f>+G53-G55-G58</f>
        <v>-62082443.749999993</v>
      </c>
      <c r="H59" s="217">
        <f t="shared" ref="H59:R59" si="12">+H53-H55-H58</f>
        <v>-78476131.660000026</v>
      </c>
      <c r="I59" s="217">
        <f t="shared" si="12"/>
        <v>-249036528.67000002</v>
      </c>
      <c r="J59" s="217">
        <f t="shared" si="12"/>
        <v>-72988523.139999986</v>
      </c>
      <c r="K59" s="217">
        <f t="shared" si="12"/>
        <v>-35830005.589999989</v>
      </c>
      <c r="L59" s="217">
        <f t="shared" si="12"/>
        <v>-12041313.439999975</v>
      </c>
      <c r="M59" s="217">
        <f t="shared" si="12"/>
        <v>15173690.049999986</v>
      </c>
      <c r="N59" s="217">
        <f t="shared" si="12"/>
        <v>47886667.969999991</v>
      </c>
      <c r="O59" s="217">
        <f t="shared" si="12"/>
        <v>-18105752.220000017</v>
      </c>
      <c r="P59" s="217">
        <f t="shared" si="12"/>
        <v>-5282334.4099999759</v>
      </c>
      <c r="Q59" s="217">
        <f t="shared" si="12"/>
        <v>-31325846.379999988</v>
      </c>
      <c r="R59" s="217">
        <f t="shared" si="12"/>
        <v>-36196930.939999998</v>
      </c>
      <c r="S59" s="251">
        <f t="shared" si="4"/>
        <v>-538305452.18000007</v>
      </c>
      <c r="T59" s="474">
        <f t="shared" si="3"/>
        <v>-11.027911666564236</v>
      </c>
    </row>
    <row r="60" spans="1:21" ht="13.5" thickBot="1">
      <c r="A60" s="144">
        <v>1003</v>
      </c>
      <c r="B60" s="534" t="str">
        <f>+VLOOKUP($A60,Master!$D$29:$G$225,4,FALSE)</f>
        <v>Finansiranje</v>
      </c>
      <c r="C60" s="535"/>
      <c r="D60" s="535"/>
      <c r="E60" s="535"/>
      <c r="F60" s="535"/>
      <c r="G60" s="151">
        <f>+SUM(G61:G64)</f>
        <v>62082443.749999993</v>
      </c>
      <c r="H60" s="151">
        <f t="shared" ref="H60:R60" si="13">+SUM(H61:H64)</f>
        <v>78476131.660000026</v>
      </c>
      <c r="I60" s="151">
        <f t="shared" si="13"/>
        <v>249036528.67000002</v>
      </c>
      <c r="J60" s="151">
        <f t="shared" si="13"/>
        <v>72988523.139999986</v>
      </c>
      <c r="K60" s="151">
        <f t="shared" si="13"/>
        <v>35830005.589999989</v>
      </c>
      <c r="L60" s="151">
        <f t="shared" si="13"/>
        <v>12041313.439999975</v>
      </c>
      <c r="M60" s="151">
        <f t="shared" si="13"/>
        <v>-15173690.049999986</v>
      </c>
      <c r="N60" s="151">
        <f t="shared" si="13"/>
        <v>-47886667.969999991</v>
      </c>
      <c r="O60" s="151">
        <f t="shared" si="13"/>
        <v>18105752.220000017</v>
      </c>
      <c r="P60" s="151">
        <f t="shared" si="13"/>
        <v>5282334.4099999759</v>
      </c>
      <c r="Q60" s="151">
        <f t="shared" si="13"/>
        <v>31325846.379999988</v>
      </c>
      <c r="R60" s="151">
        <f t="shared" si="13"/>
        <v>36196930.939999998</v>
      </c>
      <c r="S60" s="252">
        <f t="shared" si="4"/>
        <v>538305452.18000007</v>
      </c>
      <c r="T60" s="475">
        <f t="shared" si="3"/>
        <v>11.027911666564236</v>
      </c>
    </row>
    <row r="61" spans="1:21">
      <c r="A61" s="144">
        <v>7511</v>
      </c>
      <c r="B61" s="528" t="str">
        <f>+VLOOKUP($A61,Master!$D$29:$G$225,4,FALSE)</f>
        <v>Pozajmice i krediti od domaćih izvora</v>
      </c>
      <c r="C61" s="529"/>
      <c r="D61" s="529"/>
      <c r="E61" s="529"/>
      <c r="F61" s="529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8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2">
        <f t="shared" si="3"/>
        <v>0</v>
      </c>
    </row>
    <row r="62" spans="1:21">
      <c r="A62" s="144">
        <v>7512</v>
      </c>
      <c r="B62" s="512" t="str">
        <f>+VLOOKUP($A62,Master!$D$29:$G$225,4,FALSE)</f>
        <v>Pozajmice i krediti od inostranih izvora</v>
      </c>
      <c r="C62" s="513"/>
      <c r="D62" s="513"/>
      <c r="E62" s="513"/>
      <c r="F62" s="513"/>
      <c r="G62" s="211">
        <v>8076079.9500000002</v>
      </c>
      <c r="H62" s="211">
        <v>4169340.21</v>
      </c>
      <c r="I62" s="211">
        <v>1856107.06</v>
      </c>
      <c r="J62" s="211">
        <v>15210844.41</v>
      </c>
      <c r="K62" s="211">
        <v>3053139.49</v>
      </c>
      <c r="L62" s="211">
        <v>34345894.609999999</v>
      </c>
      <c r="M62" s="488">
        <v>5377316.7300000004</v>
      </c>
      <c r="N62" s="211">
        <v>5769169.6600000001</v>
      </c>
      <c r="O62" s="211">
        <v>7472230.3099999996</v>
      </c>
      <c r="P62" s="211">
        <v>7427156.0800000001</v>
      </c>
      <c r="Q62" s="211">
        <v>11624768.539999999</v>
      </c>
      <c r="R62" s="211">
        <v>1658229.03</v>
      </c>
      <c r="S62" s="250">
        <f t="shared" si="4"/>
        <v>106040276.08000001</v>
      </c>
      <c r="T62" s="472">
        <f t="shared" si="3"/>
        <v>2.1723777698563911</v>
      </c>
    </row>
    <row r="63" spans="1:21">
      <c r="A63" s="144">
        <v>72</v>
      </c>
      <c r="B63" s="512" t="str">
        <f>+VLOOKUP($A63,Master!$D$29:$G$225,4,FALSE)</f>
        <v>Primici od prodaje imovine</v>
      </c>
      <c r="C63" s="513"/>
      <c r="D63" s="513"/>
      <c r="E63" s="513"/>
      <c r="F63" s="513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8">
        <v>183425.54</v>
      </c>
      <c r="N63" s="211">
        <v>207661.26</v>
      </c>
      <c r="O63" s="211">
        <v>176272.14</v>
      </c>
      <c r="P63" s="211">
        <v>306257.21000000002</v>
      </c>
      <c r="Q63" s="211">
        <v>104172.28</v>
      </c>
      <c r="R63" s="211">
        <v>2806225.74</v>
      </c>
      <c r="S63" s="250">
        <f t="shared" si="4"/>
        <v>4453578.24</v>
      </c>
      <c r="T63" s="472">
        <f t="shared" si="3"/>
        <v>9.1237544096859455E-2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53971615.18999999</v>
      </c>
      <c r="H64" s="225">
        <f t="shared" ref="H64:R64" si="14">-H59-SUM(H61:H63)</f>
        <v>74277223.12000002</v>
      </c>
      <c r="I64" s="225">
        <f t="shared" si="14"/>
        <v>247128257.22000003</v>
      </c>
      <c r="J64" s="225">
        <f t="shared" si="14"/>
        <v>57738426.759999983</v>
      </c>
      <c r="K64" s="225">
        <f t="shared" si="14"/>
        <v>32479714.52999999</v>
      </c>
      <c r="L64" s="225">
        <f t="shared" si="14"/>
        <v>-22521260.370000027</v>
      </c>
      <c r="M64" s="225">
        <f t="shared" si="14"/>
        <v>-20734432.319999985</v>
      </c>
      <c r="N64" s="225">
        <f t="shared" si="14"/>
        <v>-53863498.889999993</v>
      </c>
      <c r="O64" s="225">
        <f t="shared" si="14"/>
        <v>10457249.770000018</v>
      </c>
      <c r="P64" s="225">
        <f t="shared" si="14"/>
        <v>-2451078.8800000241</v>
      </c>
      <c r="Q64" s="225">
        <f t="shared" si="14"/>
        <v>19596905.559999987</v>
      </c>
      <c r="R64" s="225">
        <f t="shared" si="14"/>
        <v>31732476.169999998</v>
      </c>
      <c r="S64" s="253">
        <f>+SUM(G64:R64)</f>
        <v>427811597.86000007</v>
      </c>
      <c r="T64" s="476">
        <f t="shared" si="3"/>
        <v>8.7642963526109874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92" t="str">
        <f>+Master!G252</f>
        <v>Plan ostvarenja budžeta</v>
      </c>
      <c r="C81" s="593"/>
      <c r="D81" s="593"/>
      <c r="E81" s="593"/>
      <c r="F81" s="593"/>
      <c r="G81" s="600">
        <v>2021</v>
      </c>
      <c r="H81" s="601"/>
      <c r="I81" s="601"/>
      <c r="J81" s="601"/>
      <c r="K81" s="601"/>
      <c r="L81" s="601"/>
      <c r="M81" s="601"/>
      <c r="N81" s="601"/>
      <c r="O81" s="601"/>
      <c r="P81" s="601"/>
      <c r="Q81" s="601"/>
      <c r="R81" s="602"/>
      <c r="S81" s="107" t="str">
        <f>+S7</f>
        <v>BDP</v>
      </c>
      <c r="T81" s="108">
        <v>4636600000</v>
      </c>
    </row>
    <row r="82" spans="1:21" ht="15.75" customHeight="1">
      <c r="B82" s="594"/>
      <c r="C82" s="595"/>
      <c r="D82" s="595"/>
      <c r="E82" s="595"/>
      <c r="F82" s="596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600" t="str">
        <f>+Master!G246</f>
        <v>Jan - Dec</v>
      </c>
      <c r="T82" s="602">
        <f>+T8</f>
        <v>0</v>
      </c>
    </row>
    <row r="83" spans="1:21" ht="13.5" thickBot="1">
      <c r="B83" s="597"/>
      <c r="C83" s="598"/>
      <c r="D83" s="598"/>
      <c r="E83" s="598"/>
      <c r="F83" s="599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15" si="17">+CONCATENATE(A10,"p")</f>
        <v>7p</v>
      </c>
      <c r="B84" s="588" t="str">
        <f>+VLOOKUP(LEFT($A84,LEN(A84)-1)*1,Master!$D$29:$G$225,4,FALSE)</f>
        <v>Prihodi budžeta</v>
      </c>
      <c r="C84" s="589"/>
      <c r="D84" s="589"/>
      <c r="E84" s="589"/>
      <c r="F84" s="589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3">
        <f>+SUM(G84:R84)</f>
        <v>1880205845.3399</v>
      </c>
      <c r="T84" s="477">
        <f>+S84/$T$81*100</f>
        <v>40.551392083421042</v>
      </c>
      <c r="U84" s="257"/>
    </row>
    <row r="85" spans="1:21">
      <c r="A85" s="116" t="str">
        <f t="shared" si="17"/>
        <v>711p</v>
      </c>
      <c r="B85" s="590" t="str">
        <f>+VLOOKUP(LEFT($A85,LEN(A85)-1)*1,Master!$D$29:$G$225,4,FALSE)</f>
        <v>Porezi</v>
      </c>
      <c r="C85" s="591"/>
      <c r="D85" s="591"/>
      <c r="E85" s="591"/>
      <c r="F85" s="591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3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78" t="str">
        <f>+VLOOKUP(LEFT($A86,LEN(A86)-1)*1,Master!$D$29:$G$228,4,FALSE)</f>
        <v>Porez na dohodak fizičkih lica</v>
      </c>
      <c r="C86" s="579"/>
      <c r="D86" s="579"/>
      <c r="E86" s="579"/>
      <c r="F86" s="579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4">
        <f t="shared" si="21"/>
        <v>3.342095146967782</v>
      </c>
    </row>
    <row r="87" spans="1:21">
      <c r="A87" s="116" t="str">
        <f t="shared" si="17"/>
        <v>7112p</v>
      </c>
      <c r="B87" s="578" t="str">
        <f>+VLOOKUP(LEFT($A87,LEN(A87)-1)*1,Master!$D$29:$G$228,4,FALSE)</f>
        <v>Porez na dobit pravnih lica</v>
      </c>
      <c r="C87" s="579"/>
      <c r="D87" s="579"/>
      <c r="E87" s="579"/>
      <c r="F87" s="579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4">
        <f t="shared" si="21"/>
        <v>1.2943922881014109</v>
      </c>
    </row>
    <row r="88" spans="1:21">
      <c r="A88" s="116" t="str">
        <f t="shared" si="17"/>
        <v>7113p</v>
      </c>
      <c r="B88" s="578" t="str">
        <f>+VLOOKUP(LEFT($A88,LEN(A88)-1)*1,Master!$D$29:$G$228,4,FALSE)</f>
        <v>Porez na promet nepokretnosti</v>
      </c>
      <c r="C88" s="579"/>
      <c r="D88" s="579"/>
      <c r="E88" s="579"/>
      <c r="F88" s="579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4">
        <f t="shared" si="21"/>
        <v>3.4703770606910232E-2</v>
      </c>
    </row>
    <row r="89" spans="1:21">
      <c r="A89" s="116" t="str">
        <f t="shared" si="17"/>
        <v>7114p</v>
      </c>
      <c r="B89" s="578" t="str">
        <f>+VLOOKUP(LEFT($A89,LEN(A89)-1)*1,Master!$D$29:$G$228,4,FALSE)</f>
        <v>Porez na dodatu vrijednost</v>
      </c>
      <c r="C89" s="579"/>
      <c r="D89" s="579"/>
      <c r="E89" s="579"/>
      <c r="F89" s="579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4">
        <f t="shared" si="21"/>
        <v>13.195240452948015</v>
      </c>
    </row>
    <row r="90" spans="1:21">
      <c r="A90" s="116" t="str">
        <f t="shared" si="17"/>
        <v>7115p</v>
      </c>
      <c r="B90" s="578" t="str">
        <f>+VLOOKUP(LEFT($A90,LEN(A90)-1)*1,Master!$D$29:$G$228,4,FALSE)</f>
        <v>Akcize</v>
      </c>
      <c r="C90" s="579"/>
      <c r="D90" s="579"/>
      <c r="E90" s="579"/>
      <c r="F90" s="579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4">
        <f t="shared" si="21"/>
        <v>5.1970907056571622</v>
      </c>
    </row>
    <row r="91" spans="1:21">
      <c r="A91" s="116" t="str">
        <f t="shared" si="17"/>
        <v>7116p</v>
      </c>
      <c r="B91" s="578" t="str">
        <f>+VLOOKUP(LEFT($A91,LEN(A91)-1)*1,Master!$D$29:$G$228,4,FALSE)</f>
        <v>Porez na međunarodnu trgovinu i transakcije</v>
      </c>
      <c r="C91" s="579"/>
      <c r="D91" s="579"/>
      <c r="E91" s="579"/>
      <c r="F91" s="579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4">
        <f t="shared" si="21"/>
        <v>0.53454626393521121</v>
      </c>
    </row>
    <row r="92" spans="1:21">
      <c r="A92" s="116" t="str">
        <f t="shared" si="17"/>
        <v>7118p</v>
      </c>
      <c r="B92" s="578" t="str">
        <f>+VLOOKUP(LEFT($A92,LEN(A92)-1)*1,Master!$D$29:$G$228,4,FALSE)</f>
        <v>Ostali državni porezi</v>
      </c>
      <c r="C92" s="579"/>
      <c r="D92" s="579"/>
      <c r="E92" s="579"/>
      <c r="F92" s="579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4">
        <f t="shared" si="21"/>
        <v>0.23596029916404263</v>
      </c>
    </row>
    <row r="93" spans="1:21">
      <c r="A93" s="116" t="str">
        <f t="shared" si="17"/>
        <v>712p</v>
      </c>
      <c r="B93" s="586" t="str">
        <f>+VLOOKUP(LEFT($A93,LEN(A93)-1)*1,Master!$D$29:$G$228,4,FALSE)</f>
        <v>Doprinosi</v>
      </c>
      <c r="C93" s="587"/>
      <c r="D93" s="587"/>
      <c r="E93" s="587"/>
      <c r="F93" s="587"/>
      <c r="G93" s="81">
        <f>+SUM(G94:G97)</f>
        <v>16292817.308185648</v>
      </c>
      <c r="H93" s="81">
        <f t="shared" ref="H93:R93" si="22">+SUM(H94:H97)</f>
        <v>41389656.549846224</v>
      </c>
      <c r="I93" s="480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5">
        <f t="shared" si="21"/>
        <v>12.548878564749469</v>
      </c>
    </row>
    <row r="94" spans="1:21">
      <c r="A94" s="116" t="str">
        <f t="shared" si="17"/>
        <v>7121p</v>
      </c>
      <c r="B94" s="578" t="str">
        <f>+VLOOKUP(LEFT($A94,LEN(A94)-1)*1,Master!$D$29:$G$228,4,FALSE)</f>
        <v>Doprinosi za penzijsko i invalidsko osiguranje</v>
      </c>
      <c r="C94" s="579"/>
      <c r="D94" s="579"/>
      <c r="E94" s="579"/>
      <c r="F94" s="579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4">
        <f t="shared" si="21"/>
        <v>7.8081986886007</v>
      </c>
    </row>
    <row r="95" spans="1:21">
      <c r="A95" s="116" t="str">
        <f t="shared" si="17"/>
        <v>7122p</v>
      </c>
      <c r="B95" s="578" t="str">
        <f>+VLOOKUP(LEFT($A95,LEN(A95)-1)*1,Master!$D$29:$G$228,4,FALSE)</f>
        <v>Doprinosi za zdravstveno osiguranje</v>
      </c>
      <c r="C95" s="579"/>
      <c r="D95" s="579"/>
      <c r="E95" s="579"/>
      <c r="F95" s="579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4">
        <f t="shared" si="21"/>
        <v>4.0418037813006764</v>
      </c>
    </row>
    <row r="96" spans="1:21">
      <c r="A96" s="116" t="str">
        <f t="shared" si="17"/>
        <v>7123p</v>
      </c>
      <c r="B96" s="578" t="str">
        <f>+VLOOKUP(LEFT($A96,LEN(A96)-1)*1,Master!$D$29:$G$228,4,FALSE)</f>
        <v>Doprinosi za osiguranje od nezaposlenosti</v>
      </c>
      <c r="C96" s="579"/>
      <c r="D96" s="579"/>
      <c r="E96" s="579"/>
      <c r="F96" s="579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4">
        <f t="shared" si="21"/>
        <v>0.37739904074144265</v>
      </c>
    </row>
    <row r="97" spans="1:23">
      <c r="A97" s="116" t="str">
        <f t="shared" si="17"/>
        <v>7124p</v>
      </c>
      <c r="B97" s="578" t="str">
        <f>+VLOOKUP(LEFT($A97,LEN(A97)-1)*1,Master!$D$29:$G$228,4,FALSE)</f>
        <v>Ostali doprinosi</v>
      </c>
      <c r="C97" s="579"/>
      <c r="D97" s="579"/>
      <c r="E97" s="579"/>
      <c r="F97" s="579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4">
        <f t="shared" si="21"/>
        <v>0.32147705410665273</v>
      </c>
    </row>
    <row r="98" spans="1:23">
      <c r="A98" s="116" t="str">
        <f t="shared" si="17"/>
        <v>713p</v>
      </c>
      <c r="B98" s="584" t="str">
        <f>+VLOOKUP(LEFT($A98,LEN(A98)-1)*1,Master!$D$29:$G$228,4,FALSE)</f>
        <v>Takse</v>
      </c>
      <c r="C98" s="585"/>
      <c r="D98" s="585"/>
      <c r="E98" s="585"/>
      <c r="F98" s="585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5">
        <f t="shared" si="21"/>
        <v>0.27557339372126122</v>
      </c>
    </row>
    <row r="99" spans="1:23">
      <c r="A99" s="116" t="str">
        <f t="shared" si="17"/>
        <v>714p</v>
      </c>
      <c r="B99" s="584" t="str">
        <f>+VLOOKUP(LEFT($A99,LEN(A99)-1)*1,Master!$D$29:$G$228,4,FALSE)</f>
        <v>Naknade</v>
      </c>
      <c r="C99" s="585"/>
      <c r="D99" s="585"/>
      <c r="E99" s="585"/>
      <c r="F99" s="585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5">
        <f t="shared" si="21"/>
        <v>0.87442029964197865</v>
      </c>
    </row>
    <row r="100" spans="1:23">
      <c r="A100" s="116" t="str">
        <f t="shared" si="17"/>
        <v>715p</v>
      </c>
      <c r="B100" s="584" t="str">
        <f>+VLOOKUP(LEFT($A100,LEN(A100)-1)*1,Master!$D$29:$G$228,4,FALSE)</f>
        <v>Ostali prihodi</v>
      </c>
      <c r="C100" s="585"/>
      <c r="D100" s="585"/>
      <c r="E100" s="585"/>
      <c r="F100" s="585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5">
        <f t="shared" si="21"/>
        <v>1.4196769637950202</v>
      </c>
    </row>
    <row r="101" spans="1:23">
      <c r="A101" s="116" t="str">
        <f t="shared" si="17"/>
        <v>73p</v>
      </c>
      <c r="B101" s="584" t="str">
        <f>+VLOOKUP(LEFT($A101,LEN(A101)-1)*1,Master!$D$29:$G$228,4,FALSE)</f>
        <v>Primici od otplate kredita i sredstva prenesena iz prethodne godine</v>
      </c>
      <c r="C101" s="585"/>
      <c r="D101" s="585"/>
      <c r="E101" s="585"/>
      <c r="F101" s="585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5">
        <f t="shared" si="21"/>
        <v>0.19907921041280252</v>
      </c>
    </row>
    <row r="102" spans="1:23" ht="13.5" thickBot="1">
      <c r="A102" s="116" t="str">
        <f t="shared" si="17"/>
        <v>74p</v>
      </c>
      <c r="B102" s="580" t="str">
        <f>+VLOOKUP(LEFT($A102,LEN(A102)-1)*1,Master!$D$29:$G$228,4,FALSE)</f>
        <v>Donacije i transferi</v>
      </c>
      <c r="C102" s="581"/>
      <c r="D102" s="581"/>
      <c r="E102" s="581"/>
      <c r="F102" s="581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6">
        <f t="shared" si="21"/>
        <v>1.3997347237199673</v>
      </c>
    </row>
    <row r="103" spans="1:23" ht="13.5" thickBot="1">
      <c r="A103" s="116" t="str">
        <f t="shared" si="17"/>
        <v>4p</v>
      </c>
      <c r="B103" s="562" t="str">
        <f>+VLOOKUP(LEFT($A103,LEN(A103)-1)*1,Master!$D$29:$G$228,4,FALSE)</f>
        <v>Izdaci budžeta</v>
      </c>
      <c r="C103" s="563"/>
      <c r="D103" s="563"/>
      <c r="E103" s="563"/>
      <c r="F103" s="563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1">
        <f>+SUM(G103:R103)</f>
        <v>2055535193.0642829</v>
      </c>
      <c r="T103" s="478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582" t="str">
        <f>+VLOOKUP(LEFT($A104,LEN(A104)-1)*1,Master!$D$29:$G$228,4,FALSE)</f>
        <v>Tekući izdaci</v>
      </c>
      <c r="C104" s="583"/>
      <c r="D104" s="583"/>
      <c r="E104" s="583"/>
      <c r="F104" s="583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3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78" t="str">
        <f>+VLOOKUP(LEFT($A105,LEN(A105)-1)*1,Master!$D$29:$G$228,4,FALSE)</f>
        <v>Bruto zarade i doprinosi na teret poslodavca</v>
      </c>
      <c r="C105" s="579"/>
      <c r="D105" s="579"/>
      <c r="E105" s="579"/>
      <c r="F105" s="579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4">
        <f t="shared" si="21"/>
        <v>11.278641018850019</v>
      </c>
    </row>
    <row r="106" spans="1:23">
      <c r="A106" s="116" t="str">
        <f t="shared" si="17"/>
        <v>412p</v>
      </c>
      <c r="B106" s="578" t="str">
        <f>+VLOOKUP(LEFT($A106,LEN(A106)-1)*1,Master!$D$29:$G$228,4,FALSE)</f>
        <v>Ostala lična primanja</v>
      </c>
      <c r="C106" s="579"/>
      <c r="D106" s="579"/>
      <c r="E106" s="579"/>
      <c r="F106" s="579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4">
        <f t="shared" si="21"/>
        <v>0.26959439934434715</v>
      </c>
    </row>
    <row r="107" spans="1:23">
      <c r="A107" s="116" t="str">
        <f t="shared" si="17"/>
        <v>413p</v>
      </c>
      <c r="B107" s="578" t="str">
        <f>+VLOOKUP(LEFT($A107,LEN(A107)-1)*1,Master!$D$29:$G$228,4,FALSE)</f>
        <v>Rashodi za materijal</v>
      </c>
      <c r="C107" s="579"/>
      <c r="D107" s="579"/>
      <c r="E107" s="579"/>
      <c r="F107" s="579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4">
        <f t="shared" si="21"/>
        <v>0.6893019837812191</v>
      </c>
    </row>
    <row r="108" spans="1:23">
      <c r="A108" s="116" t="str">
        <f t="shared" si="17"/>
        <v>414p</v>
      </c>
      <c r="B108" s="578" t="str">
        <f>+VLOOKUP(LEFT($A108,LEN(A108)-1)*1,Master!$D$29:$G$228,4,FALSE)</f>
        <v>Rashodi za usluge</v>
      </c>
      <c r="C108" s="579"/>
      <c r="D108" s="579"/>
      <c r="E108" s="579"/>
      <c r="F108" s="579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4">
        <f t="shared" si="21"/>
        <v>1.3532731210369666</v>
      </c>
    </row>
    <row r="109" spans="1:23">
      <c r="A109" s="116" t="str">
        <f t="shared" si="17"/>
        <v>415p</v>
      </c>
      <c r="B109" s="578" t="str">
        <f>+VLOOKUP(LEFT($A109,LEN(A109)-1)*1,Master!$D$29:$G$228,4,FALSE)</f>
        <v>Rashodi za tekuće održavanje</v>
      </c>
      <c r="C109" s="579"/>
      <c r="D109" s="579"/>
      <c r="E109" s="579"/>
      <c r="F109" s="579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4">
        <f t="shared" si="21"/>
        <v>0.50341789889142918</v>
      </c>
    </row>
    <row r="110" spans="1:23">
      <c r="A110" s="116" t="str">
        <f t="shared" si="17"/>
        <v>416p</v>
      </c>
      <c r="B110" s="578" t="str">
        <f>+VLOOKUP(LEFT($A110,LEN(A110)-1)*1,Master!$D$29:$G$228,4,FALSE)</f>
        <v>Kamate</v>
      </c>
      <c r="C110" s="579"/>
      <c r="D110" s="579"/>
      <c r="E110" s="579"/>
      <c r="F110" s="579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4">
        <f t="shared" si="21"/>
        <v>2.4387566176569671</v>
      </c>
    </row>
    <row r="111" spans="1:23">
      <c r="A111" s="116" t="str">
        <f t="shared" si="17"/>
        <v>417p</v>
      </c>
      <c r="B111" s="578" t="str">
        <f>+VLOOKUP(LEFT($A111,LEN(A111)-1)*1,Master!$D$29:$G$228,4,FALSE)</f>
        <v>Renta</v>
      </c>
      <c r="C111" s="579"/>
      <c r="D111" s="579"/>
      <c r="E111" s="579"/>
      <c r="F111" s="579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4">
        <f t="shared" si="21"/>
        <v>0.23455438597247985</v>
      </c>
    </row>
    <row r="112" spans="1:23">
      <c r="A112" s="116" t="str">
        <f t="shared" si="17"/>
        <v>418p</v>
      </c>
      <c r="B112" s="578" t="str">
        <f>+VLOOKUP(LEFT($A112,LEN(A112)-1)*1,Master!$D$29:$G$228,4,FALSE)</f>
        <v>Subvencije</v>
      </c>
      <c r="C112" s="579"/>
      <c r="D112" s="579"/>
      <c r="E112" s="579"/>
      <c r="F112" s="579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4">
        <f t="shared" si="21"/>
        <v>1.095014621489885</v>
      </c>
    </row>
    <row r="113" spans="1:22">
      <c r="A113" s="116" t="str">
        <f t="shared" si="17"/>
        <v>419p</v>
      </c>
      <c r="B113" s="578" t="str">
        <f>+VLOOKUP(LEFT($A113,LEN(A113)-1)*1,Master!$D$29:$G$228,4,FALSE)</f>
        <v>Ostali izdaci</v>
      </c>
      <c r="C113" s="579"/>
      <c r="D113" s="579"/>
      <c r="E113" s="579"/>
      <c r="F113" s="579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4">
        <f t="shared" si="21"/>
        <v>0.97937629944355764</v>
      </c>
    </row>
    <row r="114" spans="1:22">
      <c r="A114" s="116" t="str">
        <f t="shared" si="17"/>
        <v>42p</v>
      </c>
      <c r="B114" s="574" t="str">
        <f>+VLOOKUP(LEFT($A114,LEN(A114)-1)*1,Master!$D$29:$G$228,4,FALSE)</f>
        <v>Transferi za socijalnu zaštitu</v>
      </c>
      <c r="C114" s="575"/>
      <c r="D114" s="575"/>
      <c r="E114" s="575"/>
      <c r="F114" s="575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5">
        <f t="shared" si="21"/>
        <v>12.924380405253846</v>
      </c>
    </row>
    <row r="115" spans="1:22">
      <c r="A115" s="116" t="str">
        <f t="shared" si="17"/>
        <v>421p</v>
      </c>
      <c r="B115" s="578" t="str">
        <f>+VLOOKUP(LEFT($A115,LEN(A115)-1)*1,Master!$D$29:$G$228,4,FALSE)</f>
        <v>Prava iz oblasti socijalne zaštite</v>
      </c>
      <c r="C115" s="579"/>
      <c r="D115" s="579"/>
      <c r="E115" s="579"/>
      <c r="F115" s="579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4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78" t="str">
        <f>+VLOOKUP(LEFT($A116,LEN(A116)-1)*1,Master!$D$29:$G$228,4,FALSE)</f>
        <v>Sredstva za tehnološke viškove</v>
      </c>
      <c r="C116" s="579"/>
      <c r="D116" s="579"/>
      <c r="E116" s="579"/>
      <c r="F116" s="579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4">
        <f t="shared" si="21"/>
        <v>0.40028421558900928</v>
      </c>
    </row>
    <row r="117" spans="1:22">
      <c r="A117" s="116" t="str">
        <f t="shared" si="26"/>
        <v>423p</v>
      </c>
      <c r="B117" s="578" t="str">
        <f>+VLOOKUP(LEFT($A117,LEN(A117)-1)*1,Master!$D$29:$G$228,4,FALSE)</f>
        <v>Prava iz oblasti penzijskog i invalidskog osiguranja</v>
      </c>
      <c r="C117" s="579"/>
      <c r="D117" s="579"/>
      <c r="E117" s="579"/>
      <c r="F117" s="579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4">
        <f t="shared" si="21"/>
        <v>9.6073360637104752</v>
      </c>
    </row>
    <row r="118" spans="1:22">
      <c r="A118" s="116" t="str">
        <f t="shared" si="26"/>
        <v>424p</v>
      </c>
      <c r="B118" s="578" t="str">
        <f>+VLOOKUP(LEFT($A118,LEN(A118)-1)*1,Master!$D$29:$G$228,4,FALSE)</f>
        <v>Ostala prava iz oblasti zdravstvene zaštite</v>
      </c>
      <c r="C118" s="579"/>
      <c r="D118" s="579"/>
      <c r="E118" s="579"/>
      <c r="F118" s="579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4">
        <f t="shared" si="21"/>
        <v>0.32998317732821458</v>
      </c>
    </row>
    <row r="119" spans="1:22">
      <c r="A119" s="116" t="str">
        <f t="shared" si="26"/>
        <v>425p</v>
      </c>
      <c r="B119" s="578" t="str">
        <f>+VLOOKUP(LEFT($A119,LEN(A119)-1)*1,Master!$D$29:$G$228,4,FALSE)</f>
        <v>Ostala prava iz zdravstvenog osiguranja</v>
      </c>
      <c r="C119" s="579"/>
      <c r="D119" s="579"/>
      <c r="E119" s="579"/>
      <c r="F119" s="579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4">
        <f t="shared" si="21"/>
        <v>0.24802657119440971</v>
      </c>
    </row>
    <row r="120" spans="1:22">
      <c r="A120" s="116" t="str">
        <f t="shared" si="26"/>
        <v>43p</v>
      </c>
      <c r="B120" s="576" t="str">
        <f>+VLOOKUP(LEFT($A120,LEN(A120)-1)*1,Master!$D$29:$G$228,4,FALSE)</f>
        <v xml:space="preserve">Transferi institucijama, pojedincima, nevladinom i javnom sektoru </v>
      </c>
      <c r="C120" s="577"/>
      <c r="D120" s="577"/>
      <c r="E120" s="577"/>
      <c r="F120" s="577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5">
        <f t="shared" si="21"/>
        <v>5.6085441784928598</v>
      </c>
    </row>
    <row r="121" spans="1:22">
      <c r="A121" s="116" t="str">
        <f t="shared" si="26"/>
        <v>44p</v>
      </c>
      <c r="B121" s="576" t="str">
        <f>+VLOOKUP(LEFT($A121,LEN(A121)-1)*1,Master!$D$29:$G$228,4,FALSE)</f>
        <v>Kapitalni izdaci</v>
      </c>
      <c r="C121" s="577"/>
      <c r="D121" s="577"/>
      <c r="E121" s="577"/>
      <c r="F121" s="577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5">
        <f t="shared" si="21"/>
        <v>5.0803331212526421</v>
      </c>
    </row>
    <row r="122" spans="1:22">
      <c r="A122" s="116" t="str">
        <f t="shared" si="26"/>
        <v>451p</v>
      </c>
      <c r="B122" s="568" t="str">
        <f>+VLOOKUP(LEFT($A122,LEN(A122)-1)*1,Master!$D$29:$G$228,4,FALSE)</f>
        <v>Pozajmice i krediti</v>
      </c>
      <c r="C122" s="569"/>
      <c r="D122" s="569"/>
      <c r="E122" s="569"/>
      <c r="F122" s="569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4">
        <f t="shared" si="21"/>
        <v>3.3515959970668155E-2</v>
      </c>
    </row>
    <row r="123" spans="1:22">
      <c r="A123" s="116" t="str">
        <f t="shared" si="26"/>
        <v>47p</v>
      </c>
      <c r="B123" s="568" t="str">
        <f>+VLOOKUP(LEFT($A123,LEN(A123)-1)*1,Master!$D$29:$G$228,4,FALSE)</f>
        <v>Rezerve</v>
      </c>
      <c r="C123" s="569"/>
      <c r="D123" s="569"/>
      <c r="E123" s="569"/>
      <c r="F123" s="569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4">
        <f t="shared" si="21"/>
        <v>1.535889466419359</v>
      </c>
    </row>
    <row r="124" spans="1:22">
      <c r="A124" s="116" t="str">
        <f t="shared" si="26"/>
        <v>462p</v>
      </c>
      <c r="B124" s="568" t="str">
        <f>+VLOOKUP(LEFT($A124,LEN(A124)-1)*1,Master!$D$29:$G$228,4,FALSE)</f>
        <v>Otplata garancija</v>
      </c>
      <c r="C124" s="569"/>
      <c r="D124" s="569"/>
      <c r="E124" s="569"/>
      <c r="F124" s="569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4">
        <f t="shared" si="21"/>
        <v>8.3250657809601863E-2</v>
      </c>
    </row>
    <row r="125" spans="1:22">
      <c r="A125" s="117" t="str">
        <f t="shared" si="26"/>
        <v>4630p</v>
      </c>
      <c r="B125" s="568" t="str">
        <f>+VLOOKUP(LEFT($A125,LEN(A125)-1)*1,Master!$D$29:$G$228,4,FALSE)</f>
        <v>Otplata obaveza iz prethodnog perioda</v>
      </c>
      <c r="C125" s="569"/>
      <c r="D125" s="569"/>
      <c r="E125" s="569"/>
      <c r="F125" s="569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2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568" t="str">
        <f>+VLOOKUP(LEFT($A126,LEN(A126)-1)*1,Master!$D$29:$G$228,4,FALSE)</f>
        <v>Neto povećanje obaveza</v>
      </c>
      <c r="C126" s="569"/>
      <c r="D126" s="569"/>
      <c r="E126" s="569"/>
      <c r="F126" s="569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9">
        <f t="shared" si="21"/>
        <v>0</v>
      </c>
    </row>
    <row r="127" spans="1:22" ht="13.5" thickBot="1">
      <c r="A127" s="117" t="str">
        <f t="shared" si="26"/>
        <v>1000p</v>
      </c>
      <c r="B127" s="570" t="str">
        <f>+VLOOKUP(LEFT($A127,LEN(A127)-1)*1,Master!$D$29:$G$225,4,FALSE)</f>
        <v>Suficit / deficit</v>
      </c>
      <c r="C127" s="571"/>
      <c r="D127" s="571"/>
      <c r="E127" s="571"/>
      <c r="F127" s="571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70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572" t="str">
        <f>+VLOOKUP(LEFT($A128,LEN(A128)-1)*1,Master!$D$29:$G$225,4,FALSE)</f>
        <v>Primarni suficit/deficit</v>
      </c>
      <c r="C128" s="573"/>
      <c r="D128" s="573"/>
      <c r="E128" s="573"/>
      <c r="F128" s="573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70">
        <f t="shared" si="21"/>
        <v>-1.3426639863283505</v>
      </c>
    </row>
    <row r="129" spans="1:22">
      <c r="A129" s="117" t="str">
        <f t="shared" si="26"/>
        <v>46p</v>
      </c>
      <c r="B129" s="574" t="str">
        <f>+VLOOKUP(LEFT($A129,LEN(A129)-1)*1,Master!$D$29:$G$225,4,FALSE)</f>
        <v>Otplata dugova</v>
      </c>
      <c r="C129" s="575"/>
      <c r="D129" s="575"/>
      <c r="E129" s="575"/>
      <c r="F129" s="575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6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1">
        <f t="shared" si="21"/>
        <v>9.4014988176105767</v>
      </c>
    </row>
    <row r="130" spans="1:22">
      <c r="A130" s="117" t="str">
        <f t="shared" si="26"/>
        <v>4611p</v>
      </c>
      <c r="B130" s="566" t="str">
        <f>+VLOOKUP(LEFT($A130,LEN(A130)-1)*1,Master!$D$29:$G$225,4,FALSE)</f>
        <v>Otplata hartija od vrijednosti i kredita rezidentima</v>
      </c>
      <c r="C130" s="567"/>
      <c r="D130" s="567"/>
      <c r="E130" s="567"/>
      <c r="F130" s="567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5">
        <v>294018.01</v>
      </c>
      <c r="N130" s="485">
        <v>1750047.75</v>
      </c>
      <c r="O130" s="485">
        <v>2421267.87</v>
      </c>
      <c r="P130" s="485">
        <v>3875503.62</v>
      </c>
      <c r="Q130" s="485">
        <v>3741551.76</v>
      </c>
      <c r="R130" s="485">
        <v>2536618.6</v>
      </c>
      <c r="S130" s="103">
        <f t="shared" si="20"/>
        <v>85893831.950000018</v>
      </c>
      <c r="T130" s="472">
        <f t="shared" si="21"/>
        <v>1.8525176195919428</v>
      </c>
    </row>
    <row r="131" spans="1:22" ht="13.5" thickBot="1">
      <c r="A131" s="117" t="str">
        <f t="shared" si="26"/>
        <v>4612p</v>
      </c>
      <c r="B131" s="568" t="str">
        <f>+VLOOKUP(LEFT($A131,LEN(A131)-1)*1,Master!$D$29:$G$225,4,FALSE)</f>
        <v>Otplata hartija od vrijednosti i kredita nerezidentima</v>
      </c>
      <c r="C131" s="569"/>
      <c r="D131" s="569"/>
      <c r="E131" s="569"/>
      <c r="F131" s="569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5">
        <v>25464619.924741425</v>
      </c>
      <c r="N131" s="485">
        <v>3126864.3779565003</v>
      </c>
      <c r="O131" s="485">
        <v>11497770.422649164</v>
      </c>
      <c r="P131" s="485">
        <v>3625120.5096505</v>
      </c>
      <c r="Q131" s="485">
        <v>4121213.775667767</v>
      </c>
      <c r="R131" s="485">
        <v>4218746.7266666656</v>
      </c>
      <c r="S131" s="103">
        <f t="shared" si="20"/>
        <v>350016062.22733206</v>
      </c>
      <c r="T131" s="472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62" t="str">
        <f>+VLOOKUP(LEFT($A132,LEN(A132)-1)*1,Master!$D$29:$G$225,4,FALSE)</f>
        <v>Izdaci za kupovinu hartija od vrijednosti</v>
      </c>
      <c r="C132" s="563"/>
      <c r="D132" s="563"/>
      <c r="E132" s="563"/>
      <c r="F132" s="563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49">
        <f t="shared" si="20"/>
        <v>590000</v>
      </c>
      <c r="T132" s="479">
        <f t="shared" si="21"/>
        <v>1.2724841478669716E-2</v>
      </c>
    </row>
    <row r="133" spans="1:22" ht="13.5" thickBot="1">
      <c r="A133" s="117" t="str">
        <f t="shared" si="26"/>
        <v>1002p</v>
      </c>
      <c r="B133" s="564" t="str">
        <f>+VLOOKUP(LEFT($A133,LEN(A133)-1)*1,Master!$D$29:$G$225,4,FALSE)</f>
        <v>Nedostajuća sredstva</v>
      </c>
      <c r="C133" s="565"/>
      <c r="D133" s="565"/>
      <c r="E133" s="565"/>
      <c r="F133" s="565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4">
        <f t="shared" si="21"/>
        <v>-13.195644263074563</v>
      </c>
    </row>
    <row r="134" spans="1:22" ht="13.5" thickBot="1">
      <c r="A134" s="117" t="str">
        <f t="shared" si="26"/>
        <v>1003p</v>
      </c>
      <c r="B134" s="562" t="str">
        <f>+VLOOKUP(LEFT($A134,LEN(A134)-1)*1,Master!$D$29:$G$225,4,FALSE)</f>
        <v>Finansiranje</v>
      </c>
      <c r="C134" s="563"/>
      <c r="D134" s="563"/>
      <c r="E134" s="563"/>
      <c r="F134" s="563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5">
        <f t="shared" si="21"/>
        <v>13.195644263074563</v>
      </c>
    </row>
    <row r="135" spans="1:22">
      <c r="A135" s="117" t="str">
        <f t="shared" si="26"/>
        <v>7511p</v>
      </c>
      <c r="B135" s="566" t="str">
        <f>+VLOOKUP(LEFT($A135,LEN(A135)-1)*1,Master!$D$29:$G$225,4,FALSE)</f>
        <v>Pozajmice i krediti od domaćih izvora</v>
      </c>
      <c r="C135" s="567"/>
      <c r="D135" s="567"/>
      <c r="E135" s="567"/>
      <c r="F135" s="567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2">
        <f t="shared" si="21"/>
        <v>0</v>
      </c>
    </row>
    <row r="136" spans="1:22">
      <c r="A136" s="117" t="str">
        <f t="shared" si="26"/>
        <v>7512p</v>
      </c>
      <c r="B136" s="568" t="str">
        <f>+VLOOKUP(LEFT($A136,LEN(A136)-1)*1,Master!$D$29:$G$225,4,FALSE)</f>
        <v>Pozajmice i krediti od inostranih izvora</v>
      </c>
      <c r="C136" s="569"/>
      <c r="D136" s="569"/>
      <c r="E136" s="569"/>
      <c r="F136" s="569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2">
        <f t="shared" si="21"/>
        <v>3.5586421084415303</v>
      </c>
    </row>
    <row r="137" spans="1:22">
      <c r="A137" s="117" t="str">
        <f t="shared" si="26"/>
        <v>72p</v>
      </c>
      <c r="B137" s="568" t="str">
        <f>+VLOOKUP(LEFT($A137,LEN(A137)-1)*1,Master!$D$29:$G$225,4,FALSE)</f>
        <v>Primici od prodaje imovine</v>
      </c>
      <c r="C137" s="569"/>
      <c r="D137" s="569"/>
      <c r="E137" s="569"/>
      <c r="F137" s="569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2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6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7"/>
    </row>
    <row r="145" spans="19:19">
      <c r="S145" s="311"/>
    </row>
    <row r="146" spans="19:19">
      <c r="S146" s="311"/>
    </row>
  </sheetData>
  <customSheetViews>
    <customSheetView guid="{59E4E612-301A-4B15-B14A-FF0442744080}" fitToPage="1" state="hidden">
      <pane ySplit="1" topLeftCell="A77" activePane="bottomLeft" state="frozen"/>
      <selection pane="bottomLeft" activeCell="K89" sqref="K89"/>
      <pageMargins left="0" right="0" top="0" bottom="0" header="0.31496062992125984" footer="0.31496062992125984"/>
      <pageSetup paperSize="9" scale="31" orientation="landscape" r:id="rId1"/>
    </customSheetView>
  </customSheetViews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5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6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Y157"/>
  <sheetViews>
    <sheetView zoomScaleNormal="100" workbookViewId="0">
      <pane ySplit="1" topLeftCell="A38" activePane="bottomLeft" state="frozen"/>
      <selection pane="bottomLeft" activeCell="I53" sqref="I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500">
        <f>+SUM(G10:I10)</f>
        <v>375366881.69</v>
      </c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615" t="str">
        <f>+Master!G251</f>
        <v>Ostvarenje budžeta</v>
      </c>
      <c r="C7" s="515"/>
      <c r="D7" s="515"/>
      <c r="E7" s="515"/>
      <c r="F7" s="515"/>
      <c r="G7" s="523">
        <v>2020</v>
      </c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7"/>
      <c r="S7" s="235" t="str">
        <f>+Master!G248</f>
        <v>BDP</v>
      </c>
      <c r="T7" s="236">
        <v>4185600000</v>
      </c>
    </row>
    <row r="8" spans="1:20" ht="16.5" customHeight="1">
      <c r="A8" s="144"/>
      <c r="B8" s="516"/>
      <c r="C8" s="517"/>
      <c r="D8" s="517"/>
      <c r="E8" s="517"/>
      <c r="F8" s="518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23" t="str">
        <f>+Master!G246</f>
        <v>Jan - Dec</v>
      </c>
      <c r="T8" s="527"/>
    </row>
    <row r="9" spans="1:20" ht="13.5" thickBot="1">
      <c r="A9" s="144"/>
      <c r="B9" s="519"/>
      <c r="C9" s="520"/>
      <c r="D9" s="520"/>
      <c r="E9" s="520"/>
      <c r="F9" s="521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56" t="str">
        <f>+VLOOKUP($A10,Master!$D$29:$G$225,4,FALSE)</f>
        <v>Prihodi budžeta</v>
      </c>
      <c r="C10" s="557"/>
      <c r="D10" s="557"/>
      <c r="E10" s="557"/>
      <c r="F10" s="557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4">
        <f>+S10/$T$7*100</f>
        <v>39.146813852016443</v>
      </c>
    </row>
    <row r="11" spans="1:20">
      <c r="A11" s="150">
        <v>711</v>
      </c>
      <c r="B11" s="558" t="str">
        <f>+VLOOKUP($A11,Master!$D$29:$G$225,4,FALSE)</f>
        <v>Porezi</v>
      </c>
      <c r="C11" s="559"/>
      <c r="D11" s="559"/>
      <c r="E11" s="559"/>
      <c r="F11" s="559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5">
        <f t="shared" ref="T11:T64" si="4">+S11/$T$7*100</f>
        <v>23.081609190558101</v>
      </c>
    </row>
    <row r="12" spans="1:20">
      <c r="A12" s="150">
        <v>7111</v>
      </c>
      <c r="B12" s="544" t="str">
        <f>+VLOOKUP($A12,Master!$D$29:$G$225,4,FALSE)</f>
        <v>Porez na dohodak fizičkih lica</v>
      </c>
      <c r="C12" s="545"/>
      <c r="D12" s="545"/>
      <c r="E12" s="545"/>
      <c r="F12" s="545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6">
        <f t="shared" si="4"/>
        <v>2.827361163990826</v>
      </c>
    </row>
    <row r="13" spans="1:20">
      <c r="A13" s="150">
        <v>7112</v>
      </c>
      <c r="B13" s="544" t="str">
        <f>+VLOOKUP($A13,Master!$D$29:$G$225,4,FALSE)</f>
        <v>Porez na dobit pravnih lica</v>
      </c>
      <c r="C13" s="545"/>
      <c r="D13" s="545"/>
      <c r="E13" s="545"/>
      <c r="F13" s="545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6">
        <f t="shared" si="4"/>
        <v>1.8736944908734712</v>
      </c>
    </row>
    <row r="14" spans="1:20">
      <c r="A14" s="150">
        <v>7113</v>
      </c>
      <c r="B14" s="544" t="str">
        <f>+VLOOKUP($A14,Master!$D$29:$G$225,4,FALSE)</f>
        <v>Porez na promet nepokretnosti</v>
      </c>
      <c r="C14" s="545"/>
      <c r="D14" s="545"/>
      <c r="E14" s="545"/>
      <c r="F14" s="545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6">
        <f t="shared" si="4"/>
        <v>3.6875256116207955E-2</v>
      </c>
    </row>
    <row r="15" spans="1:20">
      <c r="A15" s="150">
        <v>7114</v>
      </c>
      <c r="B15" s="544" t="str">
        <f>+VLOOKUP($A15,Master!$D$29:$G$225,4,FALSE)</f>
        <v>Porez na dodatu vrijednost</v>
      </c>
      <c r="C15" s="545"/>
      <c r="D15" s="545"/>
      <c r="E15" s="545"/>
      <c r="F15" s="545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6">
        <f t="shared" si="4"/>
        <v>12.657215500525613</v>
      </c>
    </row>
    <row r="16" spans="1:20">
      <c r="A16" s="150">
        <v>7115</v>
      </c>
      <c r="B16" s="544" t="str">
        <f>+VLOOKUP($A16,Master!$D$29:$G$225,4,FALSE)</f>
        <v>Akcize</v>
      </c>
      <c r="C16" s="545"/>
      <c r="D16" s="545"/>
      <c r="E16" s="545"/>
      <c r="F16" s="545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6">
        <f t="shared" si="4"/>
        <v>4.9071243733276004</v>
      </c>
    </row>
    <row r="17" spans="1:25">
      <c r="A17" s="150">
        <v>7116</v>
      </c>
      <c r="B17" s="544" t="str">
        <f>+VLOOKUP($A17,Master!$D$29:$G$225,4,FALSE)</f>
        <v>Porez na međunarodnu trgovinu i transakcije</v>
      </c>
      <c r="C17" s="545"/>
      <c r="D17" s="545"/>
      <c r="E17" s="545"/>
      <c r="F17" s="545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6">
        <f t="shared" si="4"/>
        <v>0.5408522474675076</v>
      </c>
    </row>
    <row r="18" spans="1:25">
      <c r="A18" s="150">
        <v>7118</v>
      </c>
      <c r="B18" s="544" t="str">
        <f>+VLOOKUP($A18,Master!$D$29:$G$225,4,FALSE)</f>
        <v>Ostali državni porezi</v>
      </c>
      <c r="C18" s="545"/>
      <c r="D18" s="545"/>
      <c r="E18" s="545"/>
      <c r="F18" s="545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6">
        <f t="shared" si="4"/>
        <v>0.23848615825688071</v>
      </c>
    </row>
    <row r="19" spans="1:25">
      <c r="A19" s="150">
        <v>712</v>
      </c>
      <c r="B19" s="554" t="str">
        <f>+VLOOKUP($A19,Master!$D$29:$G$225,4,FALSE)</f>
        <v>Doprinosi</v>
      </c>
      <c r="C19" s="555"/>
      <c r="D19" s="555"/>
      <c r="E19" s="555"/>
      <c r="F19" s="555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7">
        <f t="shared" si="4"/>
        <v>12.686844691083715</v>
      </c>
    </row>
    <row r="20" spans="1:25">
      <c r="A20" s="150">
        <v>7121</v>
      </c>
      <c r="B20" s="544" t="str">
        <f>+VLOOKUP($A20,Master!$D$29:$G$225,4,FALSE)</f>
        <v>Doprinosi za penzijsko i invalidsko osiguranje</v>
      </c>
      <c r="C20" s="545"/>
      <c r="D20" s="545"/>
      <c r="E20" s="545"/>
      <c r="F20" s="545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6">
        <f t="shared" si="4"/>
        <v>7.9034619619648323</v>
      </c>
    </row>
    <row r="21" spans="1:25">
      <c r="A21" s="150">
        <v>7122</v>
      </c>
      <c r="B21" s="544" t="str">
        <f>+VLOOKUP($A21,Master!$D$29:$G$225,4,FALSE)</f>
        <v>Doprinosi za zdravstveno osiguranje</v>
      </c>
      <c r="C21" s="545"/>
      <c r="D21" s="545"/>
      <c r="E21" s="545"/>
      <c r="F21" s="545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6">
        <f t="shared" si="4"/>
        <v>4.0988543831230881</v>
      </c>
    </row>
    <row r="22" spans="1:25">
      <c r="A22" s="150">
        <v>7123</v>
      </c>
      <c r="B22" s="544" t="str">
        <f>+VLOOKUP($A22,Master!$D$29:$G$225,4,FALSE)</f>
        <v>Doprinosi za osiguranje od nezaposlenosti</v>
      </c>
      <c r="C22" s="545"/>
      <c r="D22" s="545"/>
      <c r="E22" s="545"/>
      <c r="F22" s="545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6">
        <f t="shared" si="4"/>
        <v>0.3683970890672783</v>
      </c>
    </row>
    <row r="23" spans="1:25">
      <c r="A23" s="150">
        <v>7124</v>
      </c>
      <c r="B23" s="544" t="str">
        <f>+VLOOKUP($A23,Master!$D$29:$G$225,4,FALSE)</f>
        <v>Ostali doprinosi</v>
      </c>
      <c r="C23" s="545"/>
      <c r="D23" s="545"/>
      <c r="E23" s="545"/>
      <c r="F23" s="545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6">
        <f t="shared" si="4"/>
        <v>0.31613125692851679</v>
      </c>
      <c r="Y23" s="305"/>
    </row>
    <row r="24" spans="1:25">
      <c r="A24" s="150">
        <v>713</v>
      </c>
      <c r="B24" s="546" t="str">
        <f>+VLOOKUP($A24,Master!$D$29:$G$225,4,FALSE)</f>
        <v>Takse</v>
      </c>
      <c r="C24" s="547"/>
      <c r="D24" s="547"/>
      <c r="E24" s="547"/>
      <c r="F24" s="547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7">
        <f t="shared" si="4"/>
        <v>0.25411990754013764</v>
      </c>
      <c r="Y24" s="305"/>
    </row>
    <row r="25" spans="1:25">
      <c r="A25" s="150">
        <v>714</v>
      </c>
      <c r="B25" s="546" t="str">
        <f>+VLOOKUP($A25,Master!$D$29:$G$225,4,FALSE)</f>
        <v>Naknade</v>
      </c>
      <c r="C25" s="547"/>
      <c r="D25" s="547"/>
      <c r="E25" s="547"/>
      <c r="F25" s="547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7">
        <f t="shared" si="4"/>
        <v>0.66463075926987769</v>
      </c>
      <c r="W25" s="292"/>
    </row>
    <row r="26" spans="1:25">
      <c r="A26" s="150">
        <v>715</v>
      </c>
      <c r="B26" s="546" t="str">
        <f>+VLOOKUP($A26,Master!$D$29:$G$225,4,FALSE)</f>
        <v>Ostali prihodi</v>
      </c>
      <c r="C26" s="547"/>
      <c r="D26" s="547"/>
      <c r="E26" s="547"/>
      <c r="F26" s="547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7">
        <f t="shared" si="4"/>
        <v>0.89869098313264495</v>
      </c>
      <c r="W26" s="311"/>
    </row>
    <row r="27" spans="1:25">
      <c r="A27" s="150">
        <v>73</v>
      </c>
      <c r="B27" s="546" t="str">
        <f>+VLOOKUP($A27,Master!$D$29:$G$225,4,FALSE)</f>
        <v>Primici od otplate kredita i sredstva prenesena iz prethodne godine</v>
      </c>
      <c r="C27" s="547"/>
      <c r="D27" s="547"/>
      <c r="E27" s="547"/>
      <c r="F27" s="547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7">
        <f t="shared" si="4"/>
        <v>0.17715297090022936</v>
      </c>
    </row>
    <row r="28" spans="1:25" ht="13.5" thickBot="1">
      <c r="A28" s="150">
        <v>74</v>
      </c>
      <c r="B28" s="548" t="str">
        <f>+VLOOKUP($A28,Master!$D$29:$G$225,4,FALSE)</f>
        <v>Donacije i transferi</v>
      </c>
      <c r="C28" s="549"/>
      <c r="D28" s="549"/>
      <c r="E28" s="549"/>
      <c r="F28" s="549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8">
        <f t="shared" si="4"/>
        <v>1.3837653495317279</v>
      </c>
    </row>
    <row r="29" spans="1:25" ht="13.5" thickBot="1">
      <c r="A29" s="150">
        <v>4</v>
      </c>
      <c r="B29" s="534" t="str">
        <f>+VLOOKUP($A29,Master!$D$29:$G$225,4,FALSE)</f>
        <v>Izdaci budžeta</v>
      </c>
      <c r="C29" s="535"/>
      <c r="D29" s="535"/>
      <c r="E29" s="535"/>
      <c r="F29" s="535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39">
        <f t="shared" si="4"/>
        <v>49.328204113627663</v>
      </c>
    </row>
    <row r="30" spans="1:25">
      <c r="A30" s="150">
        <v>41</v>
      </c>
      <c r="B30" s="552" t="str">
        <f>+VLOOKUP($A30,Master!$D$29:$G$225,4,FALSE)</f>
        <v>Tekući izdaci</v>
      </c>
      <c r="C30" s="553"/>
      <c r="D30" s="553"/>
      <c r="E30" s="553"/>
      <c r="F30" s="553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4">
        <f t="shared" si="3"/>
        <v>858015865.80999994</v>
      </c>
      <c r="T30" s="435">
        <f t="shared" si="4"/>
        <v>20.499232268014143</v>
      </c>
    </row>
    <row r="31" spans="1:25">
      <c r="A31" s="150">
        <v>411</v>
      </c>
      <c r="B31" s="544" t="str">
        <f>+VLOOKUP($A31,Master!$D$29:$G$225,4,FALSE)</f>
        <v>Bruto zarade i doprinosi na teret poslodavca</v>
      </c>
      <c r="C31" s="545"/>
      <c r="D31" s="545"/>
      <c r="E31" s="545"/>
      <c r="F31" s="545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6">
        <f t="shared" si="4"/>
        <v>11.92533854405581</v>
      </c>
    </row>
    <row r="32" spans="1:25">
      <c r="A32" s="150">
        <v>412</v>
      </c>
      <c r="B32" s="544" t="str">
        <f>+VLOOKUP($A32,Master!$D$29:$G$225,4,FALSE)</f>
        <v>Ostala lična primanja</v>
      </c>
      <c r="C32" s="545"/>
      <c r="D32" s="545"/>
      <c r="E32" s="545"/>
      <c r="F32" s="545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6">
        <f t="shared" si="4"/>
        <v>0.30866892512423549</v>
      </c>
    </row>
    <row r="33" spans="1:23">
      <c r="A33" s="150">
        <v>413</v>
      </c>
      <c r="B33" s="544" t="str">
        <f>+VLOOKUP($A33,Master!$D$29:$G$225,4,FALSE)</f>
        <v>Rashodi za materijal</v>
      </c>
      <c r="C33" s="545"/>
      <c r="D33" s="545"/>
      <c r="E33" s="545"/>
      <c r="F33" s="545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6">
        <f t="shared" si="4"/>
        <v>0.95395377293577988</v>
      </c>
      <c r="V33" s="291"/>
    </row>
    <row r="34" spans="1:23" s="361" customFormat="1">
      <c r="A34" s="360">
        <v>414</v>
      </c>
      <c r="B34" s="613" t="str">
        <f>+VLOOKUP($A34,Master!$D$29:$G$225,4,FALSE)</f>
        <v>Rashodi za usluge</v>
      </c>
      <c r="C34" s="614"/>
      <c r="D34" s="614"/>
      <c r="E34" s="614"/>
      <c r="F34" s="614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6">
        <f t="shared" si="4"/>
        <v>1.7738425862480884</v>
      </c>
      <c r="U34" s="258"/>
    </row>
    <row r="35" spans="1:23">
      <c r="A35" s="150">
        <v>415</v>
      </c>
      <c r="B35" s="544" t="str">
        <f>+VLOOKUP($A35,Master!$D$29:$G$225,4,FALSE)</f>
        <v>Rashodi za tekuće održavanje</v>
      </c>
      <c r="C35" s="545"/>
      <c r="D35" s="545"/>
      <c r="E35" s="545"/>
      <c r="F35" s="545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6">
        <f t="shared" si="4"/>
        <v>0.58208342388188083</v>
      </c>
    </row>
    <row r="36" spans="1:23">
      <c r="A36" s="150">
        <v>416</v>
      </c>
      <c r="B36" s="544" t="str">
        <f>+VLOOKUP($A36,Master!$D$29:$G$225,4,FALSE)</f>
        <v>Kamate</v>
      </c>
      <c r="C36" s="545"/>
      <c r="D36" s="545"/>
      <c r="E36" s="545"/>
      <c r="F36" s="545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6">
        <f t="shared" si="4"/>
        <v>2.6545515183008415</v>
      </c>
    </row>
    <row r="37" spans="1:23">
      <c r="A37" s="150">
        <v>417</v>
      </c>
      <c r="B37" s="544" t="str">
        <f>+VLOOKUP($A37,Master!$D$29:$G$225,4,FALSE)</f>
        <v>Renta</v>
      </c>
      <c r="C37" s="545"/>
      <c r="D37" s="545"/>
      <c r="E37" s="545"/>
      <c r="F37" s="545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6">
        <f t="shared" si="4"/>
        <v>0.27163620030581043</v>
      </c>
    </row>
    <row r="38" spans="1:23">
      <c r="A38" s="150">
        <v>418</v>
      </c>
      <c r="B38" s="544" t="str">
        <f>+VLOOKUP($A38,Master!$D$29:$G$225,4,FALSE)</f>
        <v>Subvencije</v>
      </c>
      <c r="C38" s="545"/>
      <c r="D38" s="545"/>
      <c r="E38" s="545"/>
      <c r="F38" s="545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6">
        <f t="shared" si="4"/>
        <v>0.86783859709480116</v>
      </c>
    </row>
    <row r="39" spans="1:23" s="361" customFormat="1">
      <c r="A39" s="360">
        <v>419</v>
      </c>
      <c r="B39" s="613" t="str">
        <f>+VLOOKUP($A39,Master!$D$29:$G$225,4,FALSE)</f>
        <v>Ostali izdaci</v>
      </c>
      <c r="C39" s="614"/>
      <c r="D39" s="614"/>
      <c r="E39" s="614"/>
      <c r="F39" s="614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6">
        <f t="shared" si="4"/>
        <v>1.1613187000668961</v>
      </c>
      <c r="U39" s="258"/>
    </row>
    <row r="40" spans="1:23">
      <c r="A40" s="150">
        <v>42</v>
      </c>
      <c r="B40" s="540" t="str">
        <f>+VLOOKUP($A40,Master!$D$29:$G$225,4,FALSE)</f>
        <v>Transferi za socijalnu zaštitu</v>
      </c>
      <c r="C40" s="541"/>
      <c r="D40" s="541"/>
      <c r="E40" s="541"/>
      <c r="F40" s="541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7">
        <f t="shared" si="4"/>
        <v>13.347643551701072</v>
      </c>
      <c r="U40" s="242"/>
      <c r="W40" s="309"/>
    </row>
    <row r="41" spans="1:23">
      <c r="A41" s="150">
        <v>421</v>
      </c>
      <c r="B41" s="544" t="str">
        <f>+VLOOKUP($A41,Master!$D$29:$G$225,4,FALSE)</f>
        <v>Prava iz oblasti socijalne zaštite</v>
      </c>
      <c r="C41" s="545"/>
      <c r="D41" s="545"/>
      <c r="E41" s="545"/>
      <c r="F41" s="545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6">
        <f t="shared" si="4"/>
        <v>1.9227658534021408</v>
      </c>
      <c r="U41" s="242"/>
    </row>
    <row r="42" spans="1:23">
      <c r="A42" s="150">
        <v>422</v>
      </c>
      <c r="B42" s="544" t="str">
        <f>+VLOOKUP($A42,Master!$D$29:$G$225,4,FALSE)</f>
        <v>Sredstva za tehnološke viškove</v>
      </c>
      <c r="C42" s="545"/>
      <c r="D42" s="545"/>
      <c r="E42" s="545"/>
      <c r="F42" s="545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6">
        <f t="shared" si="4"/>
        <v>0.48018163704128441</v>
      </c>
      <c r="U42" s="242"/>
    </row>
    <row r="43" spans="1:23">
      <c r="A43" s="150">
        <v>423</v>
      </c>
      <c r="B43" s="544" t="str">
        <f>+VLOOKUP($A43,Master!$D$29:$G$225,4,FALSE)</f>
        <v>Prava iz oblasti penzijskog i invalidskog osiguranja</v>
      </c>
      <c r="C43" s="545"/>
      <c r="D43" s="545"/>
      <c r="E43" s="545"/>
      <c r="F43" s="545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6">
        <f t="shared" si="4"/>
        <v>10.22724545775994</v>
      </c>
      <c r="U43" s="242"/>
    </row>
    <row r="44" spans="1:23">
      <c r="A44" s="150">
        <v>424</v>
      </c>
      <c r="B44" s="544" t="str">
        <f>+VLOOKUP($A44,Master!$D$29:$G$225,4,FALSE)</f>
        <v>Ostala prava iz oblasti zdravstvene zaštite</v>
      </c>
      <c r="C44" s="545"/>
      <c r="D44" s="545"/>
      <c r="E44" s="545"/>
      <c r="F44" s="545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6">
        <f t="shared" si="4"/>
        <v>0.48311802370030571</v>
      </c>
      <c r="U44" s="242"/>
    </row>
    <row r="45" spans="1:23" s="361" customFormat="1">
      <c r="A45" s="360">
        <v>425</v>
      </c>
      <c r="B45" s="609" t="str">
        <f>+VLOOKUP($A45,Master!$D$29:$G$225,4,FALSE)</f>
        <v>Ostala prava iz zdravstvenog osiguranja</v>
      </c>
      <c r="C45" s="610"/>
      <c r="D45" s="610"/>
      <c r="E45" s="610"/>
      <c r="F45" s="610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6">
        <f t="shared" si="4"/>
        <v>0.23433257979740058</v>
      </c>
      <c r="U45" s="242"/>
    </row>
    <row r="46" spans="1:23">
      <c r="A46" s="150">
        <v>43</v>
      </c>
      <c r="B46" s="542" t="str">
        <f>+VLOOKUP($A46,Master!$D$29:$G$225,4,FALSE)</f>
        <v xml:space="preserve">Transferi institucijama, pojedincima, nevladinom i javnom sektoru </v>
      </c>
      <c r="C46" s="543"/>
      <c r="D46" s="543"/>
      <c r="E46" s="543"/>
      <c r="F46" s="543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7">
        <f t="shared" si="4"/>
        <v>6.7194405222668205</v>
      </c>
      <c r="U46" s="242"/>
    </row>
    <row r="47" spans="1:23">
      <c r="A47" s="150">
        <v>44</v>
      </c>
      <c r="B47" s="542" t="str">
        <f>+VLOOKUP($A47,Master!$D$29:$G$225,4,FALSE)</f>
        <v>Kapitalni izdaci</v>
      </c>
      <c r="C47" s="543"/>
      <c r="D47" s="543"/>
      <c r="E47" s="543"/>
      <c r="F47" s="543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7">
        <f t="shared" si="4"/>
        <v>5.4935233579415135</v>
      </c>
      <c r="U47" s="242"/>
    </row>
    <row r="48" spans="1:23">
      <c r="A48" s="150">
        <v>451</v>
      </c>
      <c r="B48" s="611" t="str">
        <f>+VLOOKUP($A48,Master!$D$29:$G$225,4,FALSE)</f>
        <v>Pozajmice i krediti</v>
      </c>
      <c r="C48" s="612"/>
      <c r="D48" s="612"/>
      <c r="E48" s="612"/>
      <c r="F48" s="612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6">
        <f t="shared" si="4"/>
        <v>3.8500262805810398E-2</v>
      </c>
      <c r="U48" s="242"/>
    </row>
    <row r="49" spans="1:22" s="361" customFormat="1">
      <c r="A49" s="360">
        <v>47</v>
      </c>
      <c r="B49" s="603" t="str">
        <f>+VLOOKUP($A49,Master!$D$29:$G$225,4,FALSE)</f>
        <v>Rezerve</v>
      </c>
      <c r="C49" s="604"/>
      <c r="D49" s="604"/>
      <c r="E49" s="604"/>
      <c r="F49" s="604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6">
        <f t="shared" si="4"/>
        <v>2.7812908352446479</v>
      </c>
      <c r="U49" s="242"/>
    </row>
    <row r="50" spans="1:22" ht="13.5" thickBot="1">
      <c r="A50" s="150">
        <v>462</v>
      </c>
      <c r="B50" s="530" t="str">
        <f>+VLOOKUP($A50,Master!$D$29:$G$225,4,FALSE)</f>
        <v>Otplata garancija</v>
      </c>
      <c r="C50" s="531"/>
      <c r="D50" s="531"/>
      <c r="E50" s="531"/>
      <c r="F50" s="531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6">
        <f t="shared" si="4"/>
        <v>0</v>
      </c>
      <c r="U50" s="242"/>
      <c r="V50" s="293"/>
    </row>
    <row r="51" spans="1:22" ht="13.5" thickBot="1">
      <c r="A51" s="144">
        <v>4630</v>
      </c>
      <c r="B51" s="605" t="str">
        <f>+VLOOKUP($A51,Master!$D$29:$G$225,4,TRUE)</f>
        <v>Otplata obaveza iz prethodnog perioda</v>
      </c>
      <c r="C51" s="606"/>
      <c r="D51" s="606"/>
      <c r="E51" s="606"/>
      <c r="F51" s="606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5">
        <f>+SUM(G51:R51)</f>
        <v>18775484.700000003</v>
      </c>
      <c r="T51" s="440">
        <f t="shared" si="4"/>
        <v>0.44857331565366981</v>
      </c>
      <c r="U51" s="242"/>
    </row>
    <row r="52" spans="1:22" ht="13.5" thickBot="1">
      <c r="A52" s="70">
        <v>1005</v>
      </c>
      <c r="B52" s="607" t="str">
        <f>+VLOOKUP($A52,Master!$D$29:$G$227,4,FALSE)</f>
        <v>Neto povećanje obaveza</v>
      </c>
      <c r="C52" s="608"/>
      <c r="D52" s="608"/>
      <c r="E52" s="608"/>
      <c r="F52" s="608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1">
        <f t="shared" si="4"/>
        <v>0</v>
      </c>
    </row>
    <row r="53" spans="1:22" ht="13.5" thickBot="1">
      <c r="A53" s="144">
        <v>1000</v>
      </c>
      <c r="B53" s="536" t="str">
        <f>+VLOOKUP($A53,Master!$D$29:$G$225,4,FALSE)</f>
        <v>Suficit / deficit</v>
      </c>
      <c r="C53" s="537"/>
      <c r="D53" s="537"/>
      <c r="E53" s="537"/>
      <c r="F53" s="537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2">
        <f t="shared" si="4"/>
        <v>-10.181390261611241</v>
      </c>
    </row>
    <row r="54" spans="1:22" ht="13.5" thickBot="1">
      <c r="A54" s="144">
        <v>1001</v>
      </c>
      <c r="B54" s="538" t="str">
        <f>+VLOOKUP($A54,Master!$D$29:$G$225,4,FALSE)</f>
        <v>Primarni suficit/deficit</v>
      </c>
      <c r="C54" s="539"/>
      <c r="D54" s="539"/>
      <c r="E54" s="539"/>
      <c r="F54" s="539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2">
        <f t="shared" si="4"/>
        <v>-7.5268387433103978</v>
      </c>
    </row>
    <row r="55" spans="1:22">
      <c r="A55" s="144">
        <v>46</v>
      </c>
      <c r="B55" s="560" t="str">
        <f>+VLOOKUP($A55,Master!$D$29:$G$225,4,FALSE)</f>
        <v>Otplata dugova</v>
      </c>
      <c r="C55" s="561"/>
      <c r="D55" s="561"/>
      <c r="E55" s="561"/>
      <c r="F55" s="561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3">
        <f t="shared" si="4"/>
        <v>15.90801867426414</v>
      </c>
      <c r="V55" s="309"/>
    </row>
    <row r="56" spans="1:22">
      <c r="A56" s="144">
        <v>4611</v>
      </c>
      <c r="B56" s="528" t="str">
        <f>+VLOOKUP($A56,Master!$D$29:$G$225,4,FALSE)</f>
        <v>Otplata hartija od vrijednosti i kredita rezidentima</v>
      </c>
      <c r="C56" s="529"/>
      <c r="D56" s="529"/>
      <c r="E56" s="529"/>
      <c r="F56" s="529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4">
        <f t="shared" si="4"/>
        <v>5.8341507953459475</v>
      </c>
      <c r="V56" s="353"/>
    </row>
    <row r="57" spans="1:22" ht="13.5" thickBot="1">
      <c r="A57" s="144">
        <v>4612</v>
      </c>
      <c r="B57" s="512" t="str">
        <f>+VLOOKUP($A57,Master!$D$29:$G$225,4,FALSE)</f>
        <v>Otplata hartija od vrijednosti i kredita nerezidentima</v>
      </c>
      <c r="C57" s="513"/>
      <c r="D57" s="513"/>
      <c r="E57" s="513"/>
      <c r="F57" s="513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4">
        <f t="shared" si="4"/>
        <v>10.073867878918195</v>
      </c>
      <c r="V57" s="318"/>
    </row>
    <row r="58" spans="1:22" ht="13.5" thickBot="1">
      <c r="A58" s="144">
        <v>4418</v>
      </c>
      <c r="B58" s="550" t="str">
        <f>+VLOOKUP($A58,Master!$D$29:$G$225,4,FALSE)</f>
        <v>Izdaci za kupovinu hartija od vrijednosti</v>
      </c>
      <c r="C58" s="551"/>
      <c r="D58" s="551"/>
      <c r="E58" s="551"/>
      <c r="F58" s="551"/>
      <c r="G58" s="460">
        <f>+INDEX(DataEx!$1:$1048576,MATCH('2020'!$A58,DataEx!$D:$D,0),MATCH('2020'!G$6,DataEx!$7:$7,0))</f>
        <v>0</v>
      </c>
      <c r="H58" s="460">
        <f>+INDEX(DataEx!$1:$1048576,MATCH('2020'!$A58,DataEx!$D:$D,0),MATCH('2020'!H$6,DataEx!$7:$7,0))</f>
        <v>0</v>
      </c>
      <c r="I58" s="460">
        <f>+INDEX(DataEx!$1:$1048576,MATCH('2020'!$A58,DataEx!$D:$D,0),MATCH('2020'!I$6,DataEx!$7:$7,0))</f>
        <v>0</v>
      </c>
      <c r="J58" s="460">
        <f>+INDEX(DataEx!$1:$1048576,MATCH('2020'!$A58,DataEx!$D:$D,0),MATCH('2020'!J$6,DataEx!$7:$7,0))</f>
        <v>0</v>
      </c>
      <c r="K58" s="460">
        <f>+INDEX(DataEx!$1:$1048576,MATCH('2020'!$A58,DataEx!$D:$D,0),MATCH('2020'!K$6,DataEx!$7:$7,0))</f>
        <v>0</v>
      </c>
      <c r="L58" s="460">
        <f>+INDEX(DataEx!$1:$1048576,MATCH('2020'!$A58,DataEx!$D:$D,0),MATCH('2020'!L$6,DataEx!$7:$7,0))</f>
        <v>0</v>
      </c>
      <c r="M58" s="460">
        <f>+INDEX(DataEx!$1:$1048576,MATCH('2020'!$A58,DataEx!$D:$D,0),MATCH('2020'!M$6,DataEx!$7:$7,0))</f>
        <v>0</v>
      </c>
      <c r="N58" s="460">
        <f>+INDEX(DataEx!$1:$1048576,MATCH('2020'!$A58,DataEx!$D:$D,0),MATCH('2020'!N$6,DataEx!$7:$7,0))</f>
        <v>0</v>
      </c>
      <c r="O58" s="460">
        <f>+INDEX(DataEx!$1:$1048576,MATCH('2020'!$A58,DataEx!$D:$D,0),MATCH('2020'!O$6,DataEx!$7:$7,0))</f>
        <v>940769.61</v>
      </c>
      <c r="P58" s="460">
        <f>+INDEX(DataEx!$1:$1048576,MATCH('2020'!$A58,DataEx!$D:$D,0),MATCH('2020'!P$6,DataEx!$7:$7,0))</f>
        <v>0</v>
      </c>
      <c r="Q58" s="460">
        <f>+INDEX(DataEx!$1:$1048576,MATCH('2020'!$A58,DataEx!$D:$D,0),MATCH('2020'!Q$6,DataEx!$7:$7,0))</f>
        <v>0</v>
      </c>
      <c r="R58" s="461">
        <f>+INDEX(DataEx!$1:$1048576,MATCH('2020'!$A58,DataEx!$D:$D,0),MATCH('2020'!R$6,DataEx!$7:$7,0))</f>
        <v>0</v>
      </c>
      <c r="S58" s="249">
        <f>SUM(G58:R58)</f>
        <v>940769.61</v>
      </c>
      <c r="T58" s="445">
        <f t="shared" si="4"/>
        <v>2.2476338159403669E-2</v>
      </c>
      <c r="V58" s="318"/>
    </row>
    <row r="59" spans="1:22" ht="13.5" thickBot="1">
      <c r="A59" s="144">
        <v>1002</v>
      </c>
      <c r="B59" s="532" t="str">
        <f>+VLOOKUP($A59,Master!$D$29:$G$225,4,FALSE)</f>
        <v>Nedostajuća sredstva</v>
      </c>
      <c r="C59" s="533"/>
      <c r="D59" s="533"/>
      <c r="E59" s="533"/>
      <c r="F59" s="533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6">
        <f t="shared" si="4"/>
        <v>-26.111885274034783</v>
      </c>
    </row>
    <row r="60" spans="1:22" ht="13.5" thickBot="1">
      <c r="A60" s="144">
        <v>1003</v>
      </c>
      <c r="B60" s="534" t="str">
        <f>+VLOOKUP($A60,Master!$D$29:$G$225,4,FALSE)</f>
        <v>Finansiranje</v>
      </c>
      <c r="C60" s="535"/>
      <c r="D60" s="535"/>
      <c r="E60" s="535"/>
      <c r="F60" s="535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7">
        <f t="shared" si="4"/>
        <v>26.111885274034783</v>
      </c>
    </row>
    <row r="61" spans="1:22">
      <c r="A61" s="144">
        <v>7511</v>
      </c>
      <c r="B61" s="528" t="str">
        <f>+VLOOKUP($A61,Master!$D$29:$G$225,4,FALSE)</f>
        <v>Pozajmice i krediti od domaćih izvora</v>
      </c>
      <c r="C61" s="529"/>
      <c r="D61" s="529"/>
      <c r="E61" s="529"/>
      <c r="F61" s="529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4">
        <f t="shared" si="4"/>
        <v>4.0025816879300455</v>
      </c>
    </row>
    <row r="62" spans="1:22">
      <c r="A62" s="144">
        <v>7512</v>
      </c>
      <c r="B62" s="512" t="str">
        <f>+VLOOKUP($A62,Master!$D$29:$G$225,4,FALSE)</f>
        <v>Pozajmice i krediti od inostranih izvora</v>
      </c>
      <c r="C62" s="513"/>
      <c r="D62" s="513"/>
      <c r="E62" s="513"/>
      <c r="F62" s="513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4">
        <f t="shared" si="4"/>
        <v>28.329148839353973</v>
      </c>
    </row>
    <row r="63" spans="1:22">
      <c r="A63" s="144">
        <v>72</v>
      </c>
      <c r="B63" s="512" t="str">
        <f>+VLOOKUP($A63,Master!$D$29:$G$225,4,FALSE)</f>
        <v>Primici od prodaje imovine</v>
      </c>
      <c r="C63" s="513"/>
      <c r="D63" s="513"/>
      <c r="E63" s="513"/>
      <c r="F63" s="513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4">
        <f t="shared" si="4"/>
        <v>0.20420611047400611</v>
      </c>
    </row>
    <row r="64" spans="1:22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8">
        <f t="shared" si="4"/>
        <v>-6.4240513637232448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92" t="str">
        <f>+Master!G252</f>
        <v>Plan ostvarenja budžeta</v>
      </c>
      <c r="C100" s="593"/>
      <c r="D100" s="593"/>
      <c r="E100" s="593"/>
      <c r="F100" s="593"/>
      <c r="G100" s="600">
        <v>2020</v>
      </c>
      <c r="H100" s="601"/>
      <c r="I100" s="601"/>
      <c r="J100" s="601"/>
      <c r="K100" s="601"/>
      <c r="L100" s="601"/>
      <c r="M100" s="601"/>
      <c r="N100" s="601"/>
      <c r="O100" s="601"/>
      <c r="P100" s="601"/>
      <c r="Q100" s="601"/>
      <c r="R100" s="602"/>
      <c r="S100" s="107" t="str">
        <f>+S7</f>
        <v>BDP</v>
      </c>
      <c r="T100" s="108">
        <v>4607300000</v>
      </c>
    </row>
    <row r="101" spans="1:21" ht="15.75" customHeight="1">
      <c r="B101" s="594"/>
      <c r="C101" s="595"/>
      <c r="D101" s="595"/>
      <c r="E101" s="595"/>
      <c r="F101" s="596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600" t="str">
        <f>+Master!G246</f>
        <v>Jan - Dec</v>
      </c>
      <c r="T101" s="602">
        <f>+T8</f>
        <v>0</v>
      </c>
    </row>
    <row r="102" spans="1:21" ht="13.5" thickBot="1">
      <c r="B102" s="597"/>
      <c r="C102" s="598"/>
      <c r="D102" s="598"/>
      <c r="E102" s="598"/>
      <c r="F102" s="599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44" si="16">+CONCATENATE(A10,"p")</f>
        <v>7p</v>
      </c>
      <c r="B103" s="588" t="str">
        <f>+VLOOKUP(LEFT($A103,LEN(A103)-1)*1,Master!$D$29:$G$225,4,FALSE)</f>
        <v>Prihodi budžeta</v>
      </c>
      <c r="C103" s="589"/>
      <c r="D103" s="589"/>
      <c r="E103" s="589"/>
      <c r="F103" s="589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3">
        <f>+SUM(G103:R103)</f>
        <v>1704989389.157774</v>
      </c>
      <c r="T103" s="454">
        <f>+S103/$T$100*100</f>
        <v>37.006259396127319</v>
      </c>
    </row>
    <row r="104" spans="1:21">
      <c r="A104" s="116" t="str">
        <f t="shared" si="16"/>
        <v>711p</v>
      </c>
      <c r="B104" s="590" t="str">
        <f>+VLOOKUP(LEFT($A104,LEN(A104)-1)*1,Master!$D$29:$G$225,4,FALSE)</f>
        <v>Porezi</v>
      </c>
      <c r="C104" s="591"/>
      <c r="D104" s="591"/>
      <c r="E104" s="591"/>
      <c r="F104" s="591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5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78" t="str">
        <f>+VLOOKUP(LEFT($A105,LEN(A105)-1)*1,Master!$D$29:$G$228,4,FALSE)</f>
        <v>Porez na dohodak fizičkih lica</v>
      </c>
      <c r="C105" s="579"/>
      <c r="D105" s="579"/>
      <c r="E105" s="579"/>
      <c r="F105" s="579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6">
        <f t="shared" si="20"/>
        <v>2.4452362067202373</v>
      </c>
    </row>
    <row r="106" spans="1:21">
      <c r="A106" s="116" t="str">
        <f t="shared" si="16"/>
        <v>7112p</v>
      </c>
      <c r="B106" s="578" t="str">
        <f>+VLOOKUP(LEFT($A106,LEN(A106)-1)*1,Master!$D$29:$G$228,4,FALSE)</f>
        <v>Porez na dobit pravnih lica</v>
      </c>
      <c r="C106" s="579"/>
      <c r="D106" s="579"/>
      <c r="E106" s="579"/>
      <c r="F106" s="579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6">
        <f t="shared" si="20"/>
        <v>1.4671745812461314</v>
      </c>
    </row>
    <row r="107" spans="1:21">
      <c r="A107" s="116" t="str">
        <f t="shared" si="16"/>
        <v>7113p</v>
      </c>
      <c r="B107" s="578" t="str">
        <f>+VLOOKUP(LEFT($A107,LEN(A107)-1)*1,Master!$D$29:$G$228,4,FALSE)</f>
        <v>Porez na promet nepokretnosti</v>
      </c>
      <c r="C107" s="579"/>
      <c r="D107" s="579"/>
      <c r="E107" s="579"/>
      <c r="F107" s="579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6">
        <f t="shared" si="20"/>
        <v>4.1303611443361622E-2</v>
      </c>
    </row>
    <row r="108" spans="1:21">
      <c r="A108" s="116" t="str">
        <f t="shared" si="16"/>
        <v>7114p</v>
      </c>
      <c r="B108" s="578" t="str">
        <f>+VLOOKUP(LEFT($A108,LEN(A108)-1)*1,Master!$D$29:$G$228,4,FALSE)</f>
        <v>Porez na dodatu vrijednost</v>
      </c>
      <c r="C108" s="579"/>
      <c r="D108" s="579"/>
      <c r="E108" s="579"/>
      <c r="F108" s="579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6">
        <f t="shared" si="20"/>
        <v>13.365384391976216</v>
      </c>
    </row>
    <row r="109" spans="1:21">
      <c r="A109" s="116" t="str">
        <f t="shared" si="16"/>
        <v>7115p</v>
      </c>
      <c r="B109" s="578" t="str">
        <f>+VLOOKUP(LEFT($A109,LEN(A109)-1)*1,Master!$D$29:$G$228,4,FALSE)</f>
        <v>Akcize</v>
      </c>
      <c r="C109" s="579"/>
      <c r="D109" s="579"/>
      <c r="E109" s="579"/>
      <c r="F109" s="579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6">
        <f t="shared" si="20"/>
        <v>4.8051517235226715</v>
      </c>
    </row>
    <row r="110" spans="1:21">
      <c r="A110" s="116" t="str">
        <f t="shared" si="16"/>
        <v>7116p</v>
      </c>
      <c r="B110" s="578" t="str">
        <f>+VLOOKUP(LEFT($A110,LEN(A110)-1)*1,Master!$D$29:$G$228,4,FALSE)</f>
        <v>Porez na međunarodnu trgovinu i transakcije</v>
      </c>
      <c r="C110" s="579"/>
      <c r="D110" s="579"/>
      <c r="E110" s="579"/>
      <c r="F110" s="579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6">
        <f t="shared" si="20"/>
        <v>0.58139087437023862</v>
      </c>
    </row>
    <row r="111" spans="1:21">
      <c r="A111" s="116" t="str">
        <f t="shared" si="16"/>
        <v>7118p</v>
      </c>
      <c r="B111" s="578" t="str">
        <f>+VLOOKUP(LEFT($A111,LEN(A111)-1)*1,Master!$D$29:$G$228,4,FALSE)</f>
        <v>Ostali državni porezi</v>
      </c>
      <c r="C111" s="579"/>
      <c r="D111" s="579"/>
      <c r="E111" s="579"/>
      <c r="F111" s="579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6">
        <f t="shared" si="20"/>
        <v>0.20229513960237019</v>
      </c>
    </row>
    <row r="112" spans="1:21">
      <c r="A112" s="116" t="str">
        <f t="shared" si="16"/>
        <v>712p</v>
      </c>
      <c r="B112" s="586" t="str">
        <f>+VLOOKUP(LEFT($A112,LEN(A112)-1)*1,Master!$D$29:$G$228,4,FALSE)</f>
        <v>Doprinosi</v>
      </c>
      <c r="C112" s="587"/>
      <c r="D112" s="587"/>
      <c r="E112" s="587"/>
      <c r="F112" s="587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7">
        <f t="shared" si="20"/>
        <v>10.68956613019113</v>
      </c>
    </row>
    <row r="113" spans="1:20">
      <c r="A113" s="116" t="str">
        <f t="shared" si="16"/>
        <v>7121p</v>
      </c>
      <c r="B113" s="578" t="str">
        <f>+VLOOKUP(LEFT($A113,LEN(A113)-1)*1,Master!$D$29:$G$228,4,FALSE)</f>
        <v>Doprinosi za penzijsko i invalidsko osiguranje</v>
      </c>
      <c r="C113" s="579"/>
      <c r="D113" s="579"/>
      <c r="E113" s="579"/>
      <c r="F113" s="579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6">
        <f t="shared" si="20"/>
        <v>6.6171744431734636</v>
      </c>
    </row>
    <row r="114" spans="1:20">
      <c r="A114" s="116" t="str">
        <f t="shared" si="16"/>
        <v>7122p</v>
      </c>
      <c r="B114" s="578" t="str">
        <f>+VLOOKUP(LEFT($A114,LEN(A114)-1)*1,Master!$D$29:$G$228,4,FALSE)</f>
        <v>Doprinosi za zdravstveno osiguranje</v>
      </c>
      <c r="C114" s="579"/>
      <c r="D114" s="579"/>
      <c r="E114" s="579"/>
      <c r="F114" s="579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6">
        <f t="shared" si="20"/>
        <v>3.4819631387690197</v>
      </c>
    </row>
    <row r="115" spans="1:20">
      <c r="A115" s="116" t="str">
        <f t="shared" si="16"/>
        <v>7123p</v>
      </c>
      <c r="B115" s="578" t="str">
        <f>+VLOOKUP(LEFT($A115,LEN(A115)-1)*1,Master!$D$29:$G$228,4,FALSE)</f>
        <v>Doprinosi za osiguranje od nezaposlenosti</v>
      </c>
      <c r="C115" s="579"/>
      <c r="D115" s="579"/>
      <c r="E115" s="579"/>
      <c r="F115" s="579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6">
        <f t="shared" si="20"/>
        <v>0.31374529664462025</v>
      </c>
    </row>
    <row r="116" spans="1:20">
      <c r="A116" s="116" t="str">
        <f t="shared" si="16"/>
        <v>7124p</v>
      </c>
      <c r="B116" s="578" t="str">
        <f>+VLOOKUP(LEFT($A116,LEN(A116)-1)*1,Master!$D$29:$G$228,4,FALSE)</f>
        <v>Ostali doprinosi</v>
      </c>
      <c r="C116" s="579"/>
      <c r="D116" s="579"/>
      <c r="E116" s="579"/>
      <c r="F116" s="579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6">
        <f t="shared" si="20"/>
        <v>0.2766832516040264</v>
      </c>
    </row>
    <row r="117" spans="1:20">
      <c r="A117" s="116" t="str">
        <f t="shared" si="16"/>
        <v>713p</v>
      </c>
      <c r="B117" s="584" t="str">
        <f>+VLOOKUP(LEFT($A117,LEN(A117)-1)*1,Master!$D$29:$G$228,4,FALSE)</f>
        <v>Takse</v>
      </c>
      <c r="C117" s="585"/>
      <c r="D117" s="585"/>
      <c r="E117" s="585"/>
      <c r="F117" s="585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7">
        <f t="shared" si="20"/>
        <v>0.26451836008573354</v>
      </c>
    </row>
    <row r="118" spans="1:20">
      <c r="A118" s="116" t="str">
        <f t="shared" si="16"/>
        <v>714p</v>
      </c>
      <c r="B118" s="584" t="str">
        <f>+VLOOKUP(LEFT($A118,LEN(A118)-1)*1,Master!$D$29:$G$228,4,FALSE)</f>
        <v>Naknade</v>
      </c>
      <c r="C118" s="585"/>
      <c r="D118" s="585"/>
      <c r="E118" s="585"/>
      <c r="F118" s="585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7">
        <f t="shared" si="20"/>
        <v>0.53882429835369972</v>
      </c>
    </row>
    <row r="119" spans="1:20">
      <c r="A119" s="116" t="str">
        <f t="shared" si="16"/>
        <v>715p</v>
      </c>
      <c r="B119" s="584" t="str">
        <f>+VLOOKUP(LEFT($A119,LEN(A119)-1)*1,Master!$D$29:$G$228,4,FALSE)</f>
        <v>Ostali prihodi</v>
      </c>
      <c r="C119" s="585"/>
      <c r="D119" s="585"/>
      <c r="E119" s="585"/>
      <c r="F119" s="585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7">
        <f t="shared" si="20"/>
        <v>1.148755088100482</v>
      </c>
    </row>
    <row r="120" spans="1:20">
      <c r="A120" s="116" t="str">
        <f t="shared" si="16"/>
        <v>73p</v>
      </c>
      <c r="B120" s="584" t="str">
        <f>+VLOOKUP(LEFT($A120,LEN(A120)-1)*1,Master!$D$29:$G$228,4,FALSE)</f>
        <v>Primici od otplate kredita i sredstva prenesena iz prethodne godine</v>
      </c>
      <c r="C120" s="585"/>
      <c r="D120" s="585"/>
      <c r="E120" s="585"/>
      <c r="F120" s="585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7">
        <f t="shared" si="20"/>
        <v>0.37142952358214143</v>
      </c>
    </row>
    <row r="121" spans="1:20" ht="13.5" thickBot="1">
      <c r="A121" s="116" t="str">
        <f t="shared" si="16"/>
        <v>74p</v>
      </c>
      <c r="B121" s="580" t="str">
        <f>+VLOOKUP(LEFT($A121,LEN(A121)-1)*1,Master!$D$29:$G$228,4,FALSE)</f>
        <v>Donacije i transferi</v>
      </c>
      <c r="C121" s="581"/>
      <c r="D121" s="581"/>
      <c r="E121" s="581"/>
      <c r="F121" s="581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8">
        <f t="shared" si="20"/>
        <v>1.0852294669329108</v>
      </c>
    </row>
    <row r="122" spans="1:20" ht="13.5" thickBot="1">
      <c r="A122" s="116" t="str">
        <f t="shared" si="16"/>
        <v>4p</v>
      </c>
      <c r="B122" s="562" t="str">
        <f>+VLOOKUP(LEFT($A122,LEN(A122)-1)*1,Master!$D$29:$G$228,4,FALSE)</f>
        <v>Izdaci budžeta</v>
      </c>
      <c r="C122" s="563"/>
      <c r="D122" s="563"/>
      <c r="E122" s="563"/>
      <c r="F122" s="563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1">
        <f>+SUM(G122:R122)</f>
        <v>2040879206.795902</v>
      </c>
      <c r="T122" s="452">
        <f t="shared" si="20"/>
        <v>44.296642432572263</v>
      </c>
    </row>
    <row r="123" spans="1:20">
      <c r="A123" s="116" t="str">
        <f t="shared" si="16"/>
        <v>41p</v>
      </c>
      <c r="B123" s="582" t="str">
        <f>+VLOOKUP(LEFT($A123,LEN(A123)-1)*1,Master!$D$29:$G$228,4,FALSE)</f>
        <v>Tekući izdaci</v>
      </c>
      <c r="C123" s="583"/>
      <c r="D123" s="583"/>
      <c r="E123" s="583"/>
      <c r="F123" s="583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5">
        <f t="shared" si="20"/>
        <v>18.234006898745513</v>
      </c>
    </row>
    <row r="124" spans="1:20">
      <c r="A124" s="116" t="str">
        <f t="shared" si="16"/>
        <v>411p</v>
      </c>
      <c r="B124" s="578" t="str">
        <f>+VLOOKUP(LEFT($A124,LEN(A124)-1)*1,Master!$D$29:$G$228,4,FALSE)</f>
        <v>Bruto zarade i doprinosi na teret poslodavca</v>
      </c>
      <c r="C124" s="579"/>
      <c r="D124" s="579"/>
      <c r="E124" s="579"/>
      <c r="F124" s="579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6">
        <f t="shared" si="20"/>
        <v>10.81917370889675</v>
      </c>
    </row>
    <row r="125" spans="1:20">
      <c r="A125" s="116" t="str">
        <f t="shared" si="16"/>
        <v>412p</v>
      </c>
      <c r="B125" s="578" t="str">
        <f>+VLOOKUP(LEFT($A125,LEN(A125)-1)*1,Master!$D$29:$G$228,4,FALSE)</f>
        <v>Ostala lična primanja</v>
      </c>
      <c r="C125" s="579"/>
      <c r="D125" s="579"/>
      <c r="E125" s="579"/>
      <c r="F125" s="579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6">
        <f t="shared" si="20"/>
        <v>0.32417865148785635</v>
      </c>
    </row>
    <row r="126" spans="1:20">
      <c r="A126" s="116" t="str">
        <f t="shared" si="16"/>
        <v>413p</v>
      </c>
      <c r="B126" s="578" t="str">
        <f>+VLOOKUP(LEFT($A126,LEN(A126)-1)*1,Master!$D$29:$G$228,4,FALSE)</f>
        <v>Rashodi za materijal</v>
      </c>
      <c r="C126" s="579"/>
      <c r="D126" s="579"/>
      <c r="E126" s="579"/>
      <c r="F126" s="579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6">
        <f t="shared" si="20"/>
        <v>0.77555155266429454</v>
      </c>
    </row>
    <row r="127" spans="1:20">
      <c r="A127" s="116" t="str">
        <f t="shared" si="16"/>
        <v>414p</v>
      </c>
      <c r="B127" s="578" t="str">
        <f>+VLOOKUP(LEFT($A127,LEN(A127)-1)*1,Master!$D$29:$G$228,4,FALSE)</f>
        <v>Rashodi za usluge</v>
      </c>
      <c r="C127" s="579"/>
      <c r="D127" s="579"/>
      <c r="E127" s="579"/>
      <c r="F127" s="579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6">
        <f t="shared" si="20"/>
        <v>1.3413157254791312</v>
      </c>
    </row>
    <row r="128" spans="1:20">
      <c r="A128" s="116" t="str">
        <f t="shared" si="16"/>
        <v>415p</v>
      </c>
      <c r="B128" s="578" t="str">
        <f>+VLOOKUP(LEFT($A128,LEN(A128)-1)*1,Master!$D$29:$G$228,4,FALSE)</f>
        <v>Rashodi za tekuće održavanje</v>
      </c>
      <c r="C128" s="579"/>
      <c r="D128" s="579"/>
      <c r="E128" s="579"/>
      <c r="F128" s="579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6">
        <f t="shared" si="20"/>
        <v>0.56486301651726611</v>
      </c>
    </row>
    <row r="129" spans="1:20">
      <c r="A129" s="116" t="str">
        <f t="shared" si="16"/>
        <v>416p</v>
      </c>
      <c r="B129" s="578" t="str">
        <f>+VLOOKUP(LEFT($A129,LEN(A129)-1)*1,Master!$D$29:$G$228,4,FALSE)</f>
        <v>Kamate</v>
      </c>
      <c r="C129" s="579"/>
      <c r="D129" s="579"/>
      <c r="E129" s="579"/>
      <c r="F129" s="579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6">
        <f t="shared" si="20"/>
        <v>2.2430494311201787</v>
      </c>
    </row>
    <row r="130" spans="1:20">
      <c r="A130" s="116" t="str">
        <f t="shared" si="16"/>
        <v>417p</v>
      </c>
      <c r="B130" s="578" t="str">
        <f>+VLOOKUP(LEFT($A130,LEN(A130)-1)*1,Master!$D$29:$G$228,4,FALSE)</f>
        <v>Renta</v>
      </c>
      <c r="C130" s="579"/>
      <c r="D130" s="579"/>
      <c r="E130" s="579"/>
      <c r="F130" s="579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6">
        <f t="shared" si="20"/>
        <v>0.24149152996331913</v>
      </c>
    </row>
    <row r="131" spans="1:20">
      <c r="A131" s="116" t="str">
        <f t="shared" si="16"/>
        <v>418p</v>
      </c>
      <c r="B131" s="578" t="str">
        <f>+VLOOKUP(LEFT($A131,LEN(A131)-1)*1,Master!$D$29:$G$228,4,FALSE)</f>
        <v>Subvencije</v>
      </c>
      <c r="C131" s="579"/>
      <c r="D131" s="579"/>
      <c r="E131" s="579"/>
      <c r="F131" s="579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6">
        <f t="shared" si="20"/>
        <v>0.84831977448831197</v>
      </c>
    </row>
    <row r="132" spans="1:20">
      <c r="A132" s="116" t="str">
        <f t="shared" si="16"/>
        <v>419p</v>
      </c>
      <c r="B132" s="578" t="str">
        <f>+VLOOKUP(LEFT($A132,LEN(A132)-1)*1,Master!$D$29:$G$228,4,FALSE)</f>
        <v>Ostali izdaci</v>
      </c>
      <c r="C132" s="579"/>
      <c r="D132" s="579"/>
      <c r="E132" s="579"/>
      <c r="F132" s="579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6">
        <f t="shared" si="20"/>
        <v>1.0760635081284049</v>
      </c>
    </row>
    <row r="133" spans="1:20">
      <c r="A133" s="116" t="str">
        <f t="shared" si="16"/>
        <v>42p</v>
      </c>
      <c r="B133" s="574" t="str">
        <f>+VLOOKUP(LEFT($A133,LEN(A133)-1)*1,Master!$D$29:$G$228,4,FALSE)</f>
        <v>Transferi za socijalnu zaštitu</v>
      </c>
      <c r="C133" s="575"/>
      <c r="D133" s="575"/>
      <c r="E133" s="575"/>
      <c r="F133" s="575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7">
        <f t="shared" si="20"/>
        <v>12.538545292470646</v>
      </c>
    </row>
    <row r="134" spans="1:20">
      <c r="A134" s="116" t="str">
        <f t="shared" si="16"/>
        <v>421p</v>
      </c>
      <c r="B134" s="578" t="str">
        <f>+VLOOKUP(LEFT($A134,LEN(A134)-1)*1,Master!$D$29:$G$228,4,FALSE)</f>
        <v>Prava iz oblasti socijalne zaštite</v>
      </c>
      <c r="C134" s="579"/>
      <c r="D134" s="579"/>
      <c r="E134" s="579"/>
      <c r="F134" s="579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6">
        <f t="shared" si="20"/>
        <v>1.8346971111062882</v>
      </c>
    </row>
    <row r="135" spans="1:20">
      <c r="A135" s="116" t="str">
        <f t="shared" si="16"/>
        <v>422p</v>
      </c>
      <c r="B135" s="578" t="str">
        <f>+VLOOKUP(LEFT($A135,LEN(A135)-1)*1,Master!$D$29:$G$228,4,FALSE)</f>
        <v>Sredstva za tehnološke viškove</v>
      </c>
      <c r="C135" s="579"/>
      <c r="D135" s="579"/>
      <c r="E135" s="579"/>
      <c r="F135" s="579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6">
        <f t="shared" si="20"/>
        <v>0.44186401406463649</v>
      </c>
    </row>
    <row r="136" spans="1:20">
      <c r="A136" s="116" t="str">
        <f t="shared" si="16"/>
        <v>423p</v>
      </c>
      <c r="B136" s="578" t="str">
        <f>+VLOOKUP(LEFT($A136,LEN(A136)-1)*1,Master!$D$29:$G$228,4,FALSE)</f>
        <v>Prava iz oblasti penzijskog i invalidskog osiguranja</v>
      </c>
      <c r="C136" s="579"/>
      <c r="D136" s="579"/>
      <c r="E136" s="579"/>
      <c r="F136" s="579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6">
        <f t="shared" si="20"/>
        <v>9.5972781138627852</v>
      </c>
    </row>
    <row r="137" spans="1:20">
      <c r="A137" s="116" t="str">
        <f t="shared" si="16"/>
        <v>424p</v>
      </c>
      <c r="B137" s="578" t="str">
        <f>+VLOOKUP(LEFT($A137,LEN(A137)-1)*1,Master!$D$29:$G$228,4,FALSE)</f>
        <v>Ostala prava iz oblasti zdravstvene zaštite</v>
      </c>
      <c r="C137" s="579"/>
      <c r="D137" s="579"/>
      <c r="E137" s="579"/>
      <c r="F137" s="579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6">
        <f t="shared" si="20"/>
        <v>0.43409374253901412</v>
      </c>
    </row>
    <row r="138" spans="1:20">
      <c r="A138" s="116" t="str">
        <f t="shared" si="16"/>
        <v>425p</v>
      </c>
      <c r="B138" s="578" t="str">
        <f>+VLOOKUP(LEFT($A138,LEN(A138)-1)*1,Master!$D$29:$G$228,4,FALSE)</f>
        <v>Ostala prava iz zdravstvenog osiguranja</v>
      </c>
      <c r="C138" s="579"/>
      <c r="D138" s="579"/>
      <c r="E138" s="579"/>
      <c r="F138" s="579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6">
        <f t="shared" si="20"/>
        <v>0.23061231089792286</v>
      </c>
    </row>
    <row r="139" spans="1:20">
      <c r="A139" s="116" t="str">
        <f t="shared" si="16"/>
        <v>43p</v>
      </c>
      <c r="B139" s="576" t="str">
        <f>+VLOOKUP(LEFT($A139,LEN(A139)-1)*1,Master!$D$29:$G$228,4,FALSE)</f>
        <v xml:space="preserve">Transferi institucijama, pojedincima, nevladinom i javnom sektoru </v>
      </c>
      <c r="C139" s="577"/>
      <c r="D139" s="577"/>
      <c r="E139" s="577"/>
      <c r="F139" s="577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7">
        <f t="shared" si="20"/>
        <v>6.0063028847698297</v>
      </c>
    </row>
    <row r="140" spans="1:20">
      <c r="A140" s="116" t="str">
        <f t="shared" si="16"/>
        <v>44p</v>
      </c>
      <c r="B140" s="576" t="str">
        <f>+VLOOKUP(LEFT($A140,LEN(A140)-1)*1,Master!$D$29:$G$228,4,FALSE)</f>
        <v>Kapitalni izdaci</v>
      </c>
      <c r="C140" s="577"/>
      <c r="D140" s="577"/>
      <c r="E140" s="577"/>
      <c r="F140" s="577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7">
        <f t="shared" si="20"/>
        <v>4.229181139713063</v>
      </c>
    </row>
    <row r="141" spans="1:20">
      <c r="A141" s="116" t="str">
        <f t="shared" si="16"/>
        <v>451p</v>
      </c>
      <c r="B141" s="568" t="str">
        <f>+VLOOKUP(LEFT($A141,LEN(A141)-1)*1,Master!$D$29:$G$228,4,FALSE)</f>
        <v>Pozajmice i krediti</v>
      </c>
      <c r="C141" s="569"/>
      <c r="D141" s="569"/>
      <c r="E141" s="569"/>
      <c r="F141" s="569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6">
        <f t="shared" si="20"/>
        <v>3.4293447355283994E-2</v>
      </c>
    </row>
    <row r="142" spans="1:20">
      <c r="A142" s="116" t="str">
        <f t="shared" si="16"/>
        <v>47p</v>
      </c>
      <c r="B142" s="568" t="str">
        <f>+VLOOKUP(LEFT($A142,LEN(A142)-1)*1,Master!$D$29:$G$228,4,FALSE)</f>
        <v>Rezerve</v>
      </c>
      <c r="C142" s="569"/>
      <c r="D142" s="569"/>
      <c r="E142" s="569"/>
      <c r="F142" s="569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6">
        <f t="shared" si="20"/>
        <v>2.9004080480975842</v>
      </c>
    </row>
    <row r="143" spans="1:20">
      <c r="A143" s="116" t="str">
        <f t="shared" si="16"/>
        <v>462p</v>
      </c>
      <c r="B143" s="568" t="str">
        <f>+VLOOKUP(LEFT($A143,LEN(A143)-1)*1,Master!$D$29:$G$228,4,FALSE)</f>
        <v>Otplata garancija</v>
      </c>
      <c r="C143" s="569"/>
      <c r="D143" s="569"/>
      <c r="E143" s="569"/>
      <c r="F143" s="569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6">
        <f t="shared" si="20"/>
        <v>0</v>
      </c>
    </row>
    <row r="144" spans="1:20">
      <c r="A144" s="117" t="str">
        <f t="shared" si="16"/>
        <v>4630p</v>
      </c>
      <c r="B144" s="568" t="str">
        <f>+VLOOKUP(LEFT($A144,LEN(A144)-1)*1,Master!$D$29:$G$228,4,FALSE)</f>
        <v>Otplata obaveza iz prethodnog perioda</v>
      </c>
      <c r="C144" s="569"/>
      <c r="D144" s="569"/>
      <c r="E144" s="569"/>
      <c r="F144" s="569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4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68" t="str">
        <f>+VLOOKUP(LEFT($A145,LEN(A145)-1)*1,Master!$D$29:$G$228,4,FALSE)</f>
        <v>Neto povećanje obaveza</v>
      </c>
      <c r="C145" s="569"/>
      <c r="D145" s="569"/>
      <c r="E145" s="569"/>
      <c r="F145" s="569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1">
        <f t="shared" si="20"/>
        <v>0</v>
      </c>
    </row>
    <row r="146" spans="1:23" ht="13.5" thickBot="1">
      <c r="A146" s="117" t="str">
        <f t="shared" si="25"/>
        <v>1000p</v>
      </c>
      <c r="B146" s="570" t="str">
        <f>+VLOOKUP(LEFT($A146,LEN(A146)-1)*1,Master!$D$29:$G$225,4,FALSE)</f>
        <v>Suficit / deficit</v>
      </c>
      <c r="C146" s="571"/>
      <c r="D146" s="571"/>
      <c r="E146" s="571"/>
      <c r="F146" s="571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2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572" t="str">
        <f>+VLOOKUP(LEFT($A147,LEN(A147)-1)*1,Master!$D$29:$G$225,4,FALSE)</f>
        <v>Primarni suficit/deficit</v>
      </c>
      <c r="C147" s="573"/>
      <c r="D147" s="573"/>
      <c r="E147" s="573"/>
      <c r="F147" s="573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2">
        <f t="shared" si="20"/>
        <v>-5.0473336053247726</v>
      </c>
    </row>
    <row r="148" spans="1:23">
      <c r="A148" s="117" t="str">
        <f t="shared" si="25"/>
        <v>46p</v>
      </c>
      <c r="B148" s="574" t="str">
        <f>+VLOOKUP(LEFT($A148,LEN(A148)-1)*1,Master!$D$29:$G$225,4,FALSE)</f>
        <v>Otplata dugova</v>
      </c>
      <c r="C148" s="575"/>
      <c r="D148" s="575"/>
      <c r="E148" s="575"/>
      <c r="F148" s="575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3">
        <f t="shared" si="20"/>
        <v>11.711631541249758</v>
      </c>
    </row>
    <row r="149" spans="1:23">
      <c r="A149" s="117" t="str">
        <f t="shared" si="25"/>
        <v>4611p</v>
      </c>
      <c r="B149" s="566" t="str">
        <f>+VLOOKUP(LEFT($A149,LEN(A149)-1)*1,Master!$D$29:$G$225,4,FALSE)</f>
        <v>Otplata hartija od vrijednosti i kredita rezidentima</v>
      </c>
      <c r="C149" s="567"/>
      <c r="D149" s="567"/>
      <c r="E149" s="567"/>
      <c r="F149" s="567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4">
        <f t="shared" si="20"/>
        <v>2.598267966053871</v>
      </c>
    </row>
    <row r="150" spans="1:23" ht="13.5" thickBot="1">
      <c r="A150" s="117" t="str">
        <f t="shared" si="25"/>
        <v>4612p</v>
      </c>
      <c r="B150" s="568" t="str">
        <f>+VLOOKUP(LEFT($A150,LEN(A150)-1)*1,Master!$D$29:$G$225,4,FALSE)</f>
        <v>Otplata hartija od vrijednosti i kredita nerezidentima</v>
      </c>
      <c r="C150" s="569"/>
      <c r="D150" s="569"/>
      <c r="E150" s="569"/>
      <c r="F150" s="569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4">
        <f t="shared" si="20"/>
        <v>9.1133635751958835</v>
      </c>
    </row>
    <row r="151" spans="1:23" ht="13.5" thickBot="1">
      <c r="A151" s="117" t="str">
        <f t="shared" si="25"/>
        <v>4418p</v>
      </c>
      <c r="B151" s="562" t="str">
        <f>+VLOOKUP(LEFT($A151,LEN(A151)-1)*1,Master!$D$29:$G$225,4,FALSE)</f>
        <v>Izdaci za kupovinu hartija od vrijednosti</v>
      </c>
      <c r="C151" s="563"/>
      <c r="D151" s="563"/>
      <c r="E151" s="563"/>
      <c r="F151" s="563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49">
        <f t="shared" si="19"/>
        <v>2010000</v>
      </c>
      <c r="T151" s="450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64" t="str">
        <f>+VLOOKUP(LEFT($A152,LEN(A152)-1)*1,Master!$D$29:$G$225,4,FALSE)</f>
        <v>Nedostajuća sredstva</v>
      </c>
      <c r="C152" s="565"/>
      <c r="D152" s="565"/>
      <c r="E152" s="565"/>
      <c r="F152" s="565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6">
        <f t="shared" si="20"/>
        <v>-19.045640996638557</v>
      </c>
    </row>
    <row r="153" spans="1:23" ht="13.5" thickBot="1">
      <c r="A153" s="117" t="str">
        <f t="shared" si="29"/>
        <v>1003p</v>
      </c>
      <c r="B153" s="562" t="str">
        <f>+VLOOKUP(LEFT($A153,LEN(A153)-1)*1,Master!$D$29:$G$225,4,FALSE)</f>
        <v>Finansiranje</v>
      </c>
      <c r="C153" s="563"/>
      <c r="D153" s="563"/>
      <c r="E153" s="563"/>
      <c r="F153" s="563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7">
        <f t="shared" si="20"/>
        <v>19.045640996638557</v>
      </c>
    </row>
    <row r="154" spans="1:23">
      <c r="A154" s="117" t="str">
        <f t="shared" si="29"/>
        <v>7511p</v>
      </c>
      <c r="B154" s="566" t="str">
        <f>+VLOOKUP(LEFT($A154,LEN(A154)-1)*1,Master!$D$29:$G$225,4,FALSE)</f>
        <v>Pozajmice i krediti od domaćih izvora</v>
      </c>
      <c r="C154" s="567"/>
      <c r="D154" s="567"/>
      <c r="E154" s="567"/>
      <c r="F154" s="567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4">
        <f t="shared" si="20"/>
        <v>0</v>
      </c>
    </row>
    <row r="155" spans="1:23">
      <c r="A155" s="117" t="str">
        <f t="shared" si="29"/>
        <v>7512p</v>
      </c>
      <c r="B155" s="568" t="str">
        <f>+VLOOKUP(LEFT($A155,LEN(A155)-1)*1,Master!$D$29:$G$225,4,FALSE)</f>
        <v>Pozajmice i krediti od inostranih izvora</v>
      </c>
      <c r="C155" s="569"/>
      <c r="D155" s="569"/>
      <c r="E155" s="569"/>
      <c r="F155" s="569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4">
        <f t="shared" si="20"/>
        <v>7.1948775823150264</v>
      </c>
    </row>
    <row r="156" spans="1:23">
      <c r="A156" s="117" t="str">
        <f t="shared" si="29"/>
        <v>72p</v>
      </c>
      <c r="B156" s="568" t="str">
        <f>+VLOOKUP(LEFT($A156,LEN(A156)-1)*1,Master!$D$29:$G$225,4,FALSE)</f>
        <v>Primici od prodaje imovine</v>
      </c>
      <c r="C156" s="569"/>
      <c r="D156" s="569"/>
      <c r="E156" s="569"/>
      <c r="F156" s="569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4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8">
        <f t="shared" si="20"/>
        <v>11.720535298073237</v>
      </c>
    </row>
  </sheetData>
  <customSheetViews>
    <customSheetView guid="{59E4E612-301A-4B15-B14A-FF0442744080}" state="hidden">
      <pane ySplit="1" topLeftCell="A38" activePane="bottomLeft" state="frozen"/>
      <selection pane="bottomLeft" activeCell="I53" sqref="I53"/>
      <pageMargins left="0" right="0" top="0" bottom="0" header="0.31496062992126" footer="0.31496062992126"/>
      <pageSetup paperSize="9" scale="75" orientation="landscape" r:id="rId1"/>
    </customSheetView>
  </customSheetViews>
  <mergeCells count="114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5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6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Y159"/>
  <sheetViews>
    <sheetView zoomScaleNormal="100" workbookViewId="0">
      <pane ySplit="1" topLeftCell="A35" activePane="bottomLeft" state="frozen"/>
      <selection pane="bottomLeft" activeCell="I53" sqref="I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500">
        <f>+SUM(G10:I10)</f>
        <v>371325583.83000004</v>
      </c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615" t="s">
        <v>554</v>
      </c>
      <c r="C7" s="515"/>
      <c r="D7" s="515"/>
      <c r="E7" s="515"/>
      <c r="F7" s="515"/>
      <c r="G7" s="523">
        <v>2019</v>
      </c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7"/>
      <c r="S7" s="235" t="s">
        <v>419</v>
      </c>
      <c r="T7" s="236">
        <v>4951000000</v>
      </c>
    </row>
    <row r="8" spans="1:20" ht="16.5" customHeight="1">
      <c r="A8" s="144"/>
      <c r="B8" s="516"/>
      <c r="C8" s="517"/>
      <c r="D8" s="517"/>
      <c r="E8" s="517"/>
      <c r="F8" s="518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23" t="s">
        <v>809</v>
      </c>
      <c r="T8" s="527"/>
    </row>
    <row r="9" spans="1:20" ht="13.5" thickBot="1">
      <c r="A9" s="144"/>
      <c r="B9" s="519"/>
      <c r="C9" s="520"/>
      <c r="D9" s="520"/>
      <c r="E9" s="520"/>
      <c r="F9" s="521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34" t="s">
        <v>681</v>
      </c>
      <c r="C10" s="535"/>
      <c r="D10" s="535"/>
      <c r="E10" s="535"/>
      <c r="F10" s="535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3">
        <f>+SUM(G10:R10)</f>
        <v>1885212618.1600001</v>
      </c>
      <c r="T10" s="368">
        <f>+S10/$T$7</f>
        <v>0.38077410990910932</v>
      </c>
    </row>
    <row r="11" spans="1:20">
      <c r="A11" s="150">
        <v>711</v>
      </c>
      <c r="B11" s="558" t="s">
        <v>21</v>
      </c>
      <c r="C11" s="559"/>
      <c r="D11" s="559"/>
      <c r="E11" s="559"/>
      <c r="F11" s="559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4">
        <f t="shared" ref="S11:S63" si="3">+SUM(G11:R11)</f>
        <v>1172748653.1199999</v>
      </c>
      <c r="T11" s="369">
        <f t="shared" ref="T11:T64" si="4">+S11/$T$7</f>
        <v>0.23687106708139768</v>
      </c>
    </row>
    <row r="12" spans="1:20">
      <c r="A12" s="150">
        <v>7111</v>
      </c>
      <c r="B12" s="544" t="s">
        <v>23</v>
      </c>
      <c r="C12" s="545"/>
      <c r="D12" s="545"/>
      <c r="E12" s="545"/>
      <c r="F12" s="545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5">
        <f t="shared" si="3"/>
        <v>125000927.16</v>
      </c>
      <c r="T12" s="370">
        <f t="shared" si="4"/>
        <v>2.5247612029892952E-2</v>
      </c>
    </row>
    <row r="13" spans="1:20">
      <c r="A13" s="150">
        <v>7112</v>
      </c>
      <c r="B13" s="544" t="s">
        <v>25</v>
      </c>
      <c r="C13" s="545"/>
      <c r="D13" s="545"/>
      <c r="E13" s="545"/>
      <c r="F13" s="545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5">
        <f t="shared" si="3"/>
        <v>72815973.079999998</v>
      </c>
      <c r="T13" s="370">
        <f t="shared" si="4"/>
        <v>1.4707326414865683E-2</v>
      </c>
    </row>
    <row r="14" spans="1:20">
      <c r="A14" s="150">
        <v>7113</v>
      </c>
      <c r="B14" s="544" t="s">
        <v>27</v>
      </c>
      <c r="C14" s="545"/>
      <c r="D14" s="545"/>
      <c r="E14" s="545"/>
      <c r="F14" s="545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5">
        <f t="shared" si="3"/>
        <v>2037253.77</v>
      </c>
      <c r="T14" s="370">
        <f t="shared" si="4"/>
        <v>4.1148329024439506E-4</v>
      </c>
    </row>
    <row r="15" spans="1:20">
      <c r="A15" s="150">
        <v>7114</v>
      </c>
      <c r="B15" s="544" t="s">
        <v>29</v>
      </c>
      <c r="C15" s="545"/>
      <c r="D15" s="545"/>
      <c r="E15" s="545"/>
      <c r="F15" s="545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5">
        <f t="shared" si="3"/>
        <v>695728953.52999997</v>
      </c>
      <c r="T15" s="370">
        <f t="shared" si="4"/>
        <v>0.14052291527570188</v>
      </c>
    </row>
    <row r="16" spans="1:20">
      <c r="A16" s="150">
        <v>7115</v>
      </c>
      <c r="B16" s="544" t="s">
        <v>31</v>
      </c>
      <c r="C16" s="545"/>
      <c r="D16" s="545"/>
      <c r="E16" s="545"/>
      <c r="F16" s="545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5">
        <f t="shared" si="3"/>
        <v>235518297.74000001</v>
      </c>
      <c r="T16" s="370">
        <f t="shared" si="4"/>
        <v>4.7569844019390024E-2</v>
      </c>
    </row>
    <row r="17" spans="1:25">
      <c r="A17" s="150">
        <v>7116</v>
      </c>
      <c r="B17" s="544" t="s">
        <v>33</v>
      </c>
      <c r="C17" s="545"/>
      <c r="D17" s="545"/>
      <c r="E17" s="545"/>
      <c r="F17" s="545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5">
        <f t="shared" si="3"/>
        <v>28526540.740000002</v>
      </c>
      <c r="T17" s="370">
        <f t="shared" si="4"/>
        <v>5.7617735285800855E-3</v>
      </c>
    </row>
    <row r="18" spans="1:25">
      <c r="A18" s="150">
        <v>7118</v>
      </c>
      <c r="B18" s="544" t="s">
        <v>722</v>
      </c>
      <c r="C18" s="545"/>
      <c r="D18" s="545"/>
      <c r="E18" s="545"/>
      <c r="F18" s="545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5">
        <f t="shared" si="3"/>
        <v>13120707.100000001</v>
      </c>
      <c r="T18" s="370">
        <f t="shared" si="4"/>
        <v>2.6501125227226825E-3</v>
      </c>
    </row>
    <row r="19" spans="1:25">
      <c r="A19" s="150">
        <v>712</v>
      </c>
      <c r="B19" s="554" t="s">
        <v>37</v>
      </c>
      <c r="C19" s="555"/>
      <c r="D19" s="555"/>
      <c r="E19" s="555"/>
      <c r="F19" s="555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6">
        <f t="shared" si="3"/>
        <v>546265768.94000006</v>
      </c>
      <c r="T19" s="371">
        <f t="shared" si="4"/>
        <v>0.11033443121389619</v>
      </c>
    </row>
    <row r="20" spans="1:25">
      <c r="A20" s="150">
        <v>7121</v>
      </c>
      <c r="B20" s="544" t="s">
        <v>39</v>
      </c>
      <c r="C20" s="545"/>
      <c r="D20" s="545"/>
      <c r="E20" s="545"/>
      <c r="F20" s="545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5">
        <f>+SUM(G20:R20)</f>
        <v>329181424.36000001</v>
      </c>
      <c r="T20" s="370">
        <f t="shared" si="4"/>
        <v>6.6487865958392248E-2</v>
      </c>
    </row>
    <row r="21" spans="1:25">
      <c r="A21" s="150">
        <v>7122</v>
      </c>
      <c r="B21" s="544" t="s">
        <v>41</v>
      </c>
      <c r="C21" s="545"/>
      <c r="D21" s="545"/>
      <c r="E21" s="545"/>
      <c r="F21" s="545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5">
        <f t="shared" si="3"/>
        <v>187748508.43000001</v>
      </c>
      <c r="T21" s="370">
        <f t="shared" si="4"/>
        <v>3.7921330727125835E-2</v>
      </c>
    </row>
    <row r="22" spans="1:25">
      <c r="A22" s="150">
        <v>7123</v>
      </c>
      <c r="B22" s="544" t="s">
        <v>43</v>
      </c>
      <c r="C22" s="545"/>
      <c r="D22" s="545"/>
      <c r="E22" s="545"/>
      <c r="F22" s="545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5">
        <f t="shared" si="3"/>
        <v>15122153.449999999</v>
      </c>
      <c r="T22" s="370">
        <f t="shared" si="4"/>
        <v>3.0543634518279132E-3</v>
      </c>
    </row>
    <row r="23" spans="1:25">
      <c r="A23" s="150">
        <v>7124</v>
      </c>
      <c r="B23" s="544" t="s">
        <v>45</v>
      </c>
      <c r="C23" s="545"/>
      <c r="D23" s="545"/>
      <c r="E23" s="545"/>
      <c r="F23" s="545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5">
        <f t="shared" si="3"/>
        <v>14213682.699999999</v>
      </c>
      <c r="T23" s="370">
        <f t="shared" si="4"/>
        <v>2.8708710765501916E-3</v>
      </c>
      <c r="Y23" s="305"/>
    </row>
    <row r="24" spans="1:25">
      <c r="A24" s="150">
        <v>713</v>
      </c>
      <c r="B24" s="546" t="s">
        <v>47</v>
      </c>
      <c r="C24" s="547"/>
      <c r="D24" s="547"/>
      <c r="E24" s="547"/>
      <c r="F24" s="547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6">
        <f t="shared" si="3"/>
        <v>15661588.439999998</v>
      </c>
      <c r="T24" s="371">
        <f t="shared" si="4"/>
        <v>3.1633182064229443E-3</v>
      </c>
      <c r="Y24" s="305"/>
    </row>
    <row r="25" spans="1:25">
      <c r="A25" s="150">
        <v>714</v>
      </c>
      <c r="B25" s="546" t="s">
        <v>61</v>
      </c>
      <c r="C25" s="547"/>
      <c r="D25" s="547"/>
      <c r="E25" s="547"/>
      <c r="F25" s="547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6">
        <f t="shared" si="3"/>
        <v>28237754.950000003</v>
      </c>
      <c r="T25" s="371">
        <f t="shared" si="4"/>
        <v>5.7034447485356504E-3</v>
      </c>
      <c r="W25" s="292"/>
    </row>
    <row r="26" spans="1:25">
      <c r="A26" s="150">
        <v>715</v>
      </c>
      <c r="B26" s="546" t="s">
        <v>81</v>
      </c>
      <c r="C26" s="547"/>
      <c r="D26" s="547"/>
      <c r="E26" s="547"/>
      <c r="F26" s="547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6">
        <f t="shared" si="3"/>
        <v>75820963.530000001</v>
      </c>
      <c r="T26" s="371">
        <f t="shared" si="4"/>
        <v>1.5314272577257121E-2</v>
      </c>
      <c r="W26" s="311"/>
    </row>
    <row r="27" spans="1:25">
      <c r="A27" s="150">
        <v>73</v>
      </c>
      <c r="B27" s="546" t="s">
        <v>99</v>
      </c>
      <c r="C27" s="547"/>
      <c r="D27" s="547"/>
      <c r="E27" s="547"/>
      <c r="F27" s="547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6">
        <f t="shared" si="3"/>
        <v>8269563.3099999996</v>
      </c>
      <c r="T27" s="371">
        <f t="shared" si="4"/>
        <v>1.6702814199151686E-3</v>
      </c>
    </row>
    <row r="28" spans="1:25" ht="13.5" thickBot="1">
      <c r="A28" s="150">
        <v>74</v>
      </c>
      <c r="B28" s="548" t="s">
        <v>105</v>
      </c>
      <c r="C28" s="549"/>
      <c r="D28" s="549"/>
      <c r="E28" s="549"/>
      <c r="F28" s="549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6">
        <f t="shared" si="3"/>
        <v>38208325.869999997</v>
      </c>
      <c r="T28" s="372">
        <f t="shared" si="4"/>
        <v>7.7172946616845079E-3</v>
      </c>
    </row>
    <row r="29" spans="1:25" ht="13.5" thickBot="1">
      <c r="A29" s="150">
        <v>4</v>
      </c>
      <c r="B29" s="534" t="s">
        <v>802</v>
      </c>
      <c r="C29" s="535"/>
      <c r="D29" s="535"/>
      <c r="E29" s="535"/>
      <c r="F29" s="535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7">
        <f t="shared" si="3"/>
        <v>2028496341.4899998</v>
      </c>
      <c r="T29" s="373">
        <f t="shared" si="4"/>
        <v>0.40971447010502926</v>
      </c>
    </row>
    <row r="30" spans="1:25" ht="13.5" thickBot="1">
      <c r="A30" s="150">
        <v>40</v>
      </c>
      <c r="B30" s="550" t="s">
        <v>120</v>
      </c>
      <c r="C30" s="551"/>
      <c r="D30" s="551"/>
      <c r="E30" s="551"/>
      <c r="F30" s="551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8">
        <f t="shared" si="3"/>
        <v>822772770.01999998</v>
      </c>
      <c r="T30" s="374">
        <f t="shared" si="4"/>
        <v>0.16618314886285598</v>
      </c>
      <c r="U30" s="242"/>
    </row>
    <row r="31" spans="1:25">
      <c r="A31" s="150">
        <v>411</v>
      </c>
      <c r="B31" s="544" t="s">
        <v>122</v>
      </c>
      <c r="C31" s="545"/>
      <c r="D31" s="545"/>
      <c r="E31" s="545"/>
      <c r="F31" s="545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5">
        <f>+SUM(G31:R31)</f>
        <v>472853876.71000004</v>
      </c>
      <c r="T31" s="370">
        <f t="shared" si="4"/>
        <v>9.5506741407796414E-2</v>
      </c>
      <c r="U31" s="457"/>
      <c r="W31" s="257"/>
    </row>
    <row r="32" spans="1:25">
      <c r="A32" s="150">
        <v>412</v>
      </c>
      <c r="B32" s="544" t="s">
        <v>133</v>
      </c>
      <c r="C32" s="545"/>
      <c r="D32" s="545"/>
      <c r="E32" s="545"/>
      <c r="F32" s="545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5">
        <f t="shared" si="3"/>
        <v>15228326.93</v>
      </c>
      <c r="T32" s="370">
        <f t="shared" si="4"/>
        <v>3.0758083074126437E-3</v>
      </c>
    </row>
    <row r="33" spans="1:23">
      <c r="A33" s="150">
        <v>413</v>
      </c>
      <c r="B33" s="544" t="s">
        <v>148</v>
      </c>
      <c r="C33" s="545"/>
      <c r="D33" s="545"/>
      <c r="E33" s="545"/>
      <c r="F33" s="545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5">
        <f t="shared" si="3"/>
        <v>33231725.990000002</v>
      </c>
      <c r="T33" s="370">
        <f t="shared" si="4"/>
        <v>6.7121240133306403E-3</v>
      </c>
      <c r="U33" s="293"/>
    </row>
    <row r="34" spans="1:23">
      <c r="A34" s="360">
        <v>414</v>
      </c>
      <c r="B34" s="544" t="s">
        <v>162</v>
      </c>
      <c r="C34" s="545"/>
      <c r="D34" s="545"/>
      <c r="E34" s="545"/>
      <c r="F34" s="545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5">
        <f t="shared" si="3"/>
        <v>77664645.890000001</v>
      </c>
      <c r="T34" s="370">
        <f t="shared" si="4"/>
        <v>1.5686658430620077E-2</v>
      </c>
      <c r="U34" s="311"/>
      <c r="V34" s="291"/>
    </row>
    <row r="35" spans="1:23" s="361" customFormat="1">
      <c r="A35" s="150">
        <v>415</v>
      </c>
      <c r="B35" s="613" t="s">
        <v>182</v>
      </c>
      <c r="C35" s="614"/>
      <c r="D35" s="614"/>
      <c r="E35" s="614"/>
      <c r="F35" s="614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5">
        <f t="shared" si="3"/>
        <v>22511706.030000001</v>
      </c>
      <c r="T35" s="370">
        <f t="shared" si="4"/>
        <v>4.5469008341749145E-3</v>
      </c>
      <c r="U35" s="311"/>
    </row>
    <row r="36" spans="1:23">
      <c r="A36" s="150">
        <v>416</v>
      </c>
      <c r="B36" s="544" t="s">
        <v>190</v>
      </c>
      <c r="C36" s="545"/>
      <c r="D36" s="545"/>
      <c r="E36" s="545"/>
      <c r="F36" s="545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5">
        <f t="shared" si="3"/>
        <v>105803340.84999999</v>
      </c>
      <c r="T36" s="370">
        <f t="shared" si="4"/>
        <v>2.1370095101999595E-2</v>
      </c>
      <c r="U36" s="311"/>
    </row>
    <row r="37" spans="1:23">
      <c r="A37" s="150">
        <v>417</v>
      </c>
      <c r="B37" s="544" t="s">
        <v>196</v>
      </c>
      <c r="C37" s="545"/>
      <c r="D37" s="545"/>
      <c r="E37" s="545"/>
      <c r="F37" s="545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5">
        <f>+SUM(G37:R37)</f>
        <v>10953661.65</v>
      </c>
      <c r="T37" s="370">
        <f t="shared" si="4"/>
        <v>2.2124139870733188E-3</v>
      </c>
      <c r="U37" s="311"/>
    </row>
    <row r="38" spans="1:23">
      <c r="A38" s="150">
        <v>418</v>
      </c>
      <c r="B38" s="544" t="s">
        <v>204</v>
      </c>
      <c r="C38" s="545"/>
      <c r="D38" s="545"/>
      <c r="E38" s="545"/>
      <c r="F38" s="545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5">
        <f t="shared" si="3"/>
        <v>34566147.960000001</v>
      </c>
      <c r="T38" s="370">
        <f t="shared" si="4"/>
        <v>6.9816497596445161E-3</v>
      </c>
      <c r="U38" s="311"/>
    </row>
    <row r="39" spans="1:23">
      <c r="A39" s="360">
        <v>419</v>
      </c>
      <c r="B39" s="544" t="s">
        <v>212</v>
      </c>
      <c r="C39" s="545"/>
      <c r="D39" s="545"/>
      <c r="E39" s="545"/>
      <c r="F39" s="545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5">
        <f t="shared" si="3"/>
        <v>49959338.009999998</v>
      </c>
      <c r="T39" s="370">
        <f t="shared" si="4"/>
        <v>1.0090757020803878E-2</v>
      </c>
      <c r="U39" s="311"/>
    </row>
    <row r="40" spans="1:23" s="361" customFormat="1">
      <c r="A40" s="150">
        <v>42</v>
      </c>
      <c r="B40" s="540" t="s">
        <v>230</v>
      </c>
      <c r="C40" s="541"/>
      <c r="D40" s="541"/>
      <c r="E40" s="541"/>
      <c r="F40" s="541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6">
        <f t="shared" si="3"/>
        <v>554348899.89999998</v>
      </c>
      <c r="T40" s="371">
        <f t="shared" si="4"/>
        <v>0.11196705713997172</v>
      </c>
      <c r="U40" s="311"/>
    </row>
    <row r="41" spans="1:23">
      <c r="A41" s="150">
        <v>421</v>
      </c>
      <c r="B41" s="544" t="s">
        <v>232</v>
      </c>
      <c r="C41" s="545"/>
      <c r="D41" s="545"/>
      <c r="E41" s="545"/>
      <c r="F41" s="545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5">
        <f t="shared" si="3"/>
        <v>79857118.899999991</v>
      </c>
      <c r="T41" s="370">
        <f t="shared" si="4"/>
        <v>1.6129492809533425E-2</v>
      </c>
      <c r="W41" s="309"/>
    </row>
    <row r="42" spans="1:23">
      <c r="A42" s="150">
        <v>422</v>
      </c>
      <c r="B42" s="544" t="s">
        <v>248</v>
      </c>
      <c r="C42" s="545"/>
      <c r="D42" s="545"/>
      <c r="E42" s="545"/>
      <c r="F42" s="545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5">
        <f t="shared" si="3"/>
        <v>20398152.109999999</v>
      </c>
      <c r="T42" s="370">
        <f t="shared" si="4"/>
        <v>4.1200064855584726E-3</v>
      </c>
    </row>
    <row r="43" spans="1:23">
      <c r="A43" s="150">
        <v>423</v>
      </c>
      <c r="B43" s="544" t="s">
        <v>259</v>
      </c>
      <c r="C43" s="545"/>
      <c r="D43" s="545"/>
      <c r="E43" s="545"/>
      <c r="F43" s="545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5">
        <f t="shared" si="3"/>
        <v>420870901.67999995</v>
      </c>
      <c r="T43" s="370">
        <f t="shared" si="4"/>
        <v>8.5007251399717224E-2</v>
      </c>
      <c r="V43" s="291"/>
    </row>
    <row r="44" spans="1:23">
      <c r="A44" s="150">
        <v>424</v>
      </c>
      <c r="B44" s="544" t="s">
        <v>274</v>
      </c>
      <c r="C44" s="545"/>
      <c r="D44" s="545"/>
      <c r="E44" s="545"/>
      <c r="F44" s="545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5">
        <f t="shared" si="3"/>
        <v>21699290.620000005</v>
      </c>
      <c r="T44" s="370">
        <f t="shared" si="4"/>
        <v>4.3828096586548178E-3</v>
      </c>
    </row>
    <row r="45" spans="1:23">
      <c r="A45" s="360">
        <v>425</v>
      </c>
      <c r="B45" s="544" t="s">
        <v>278</v>
      </c>
      <c r="C45" s="545"/>
      <c r="D45" s="545"/>
      <c r="E45" s="545"/>
      <c r="F45" s="545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5">
        <f t="shared" si="3"/>
        <v>11523436.590000002</v>
      </c>
      <c r="T45" s="370">
        <f t="shared" si="4"/>
        <v>2.3274967865077765E-3</v>
      </c>
      <c r="U45" s="353"/>
    </row>
    <row r="46" spans="1:23" s="361" customFormat="1">
      <c r="A46" s="150">
        <v>43</v>
      </c>
      <c r="B46" s="542" t="s">
        <v>286</v>
      </c>
      <c r="C46" s="543"/>
      <c r="D46" s="543"/>
      <c r="E46" s="543"/>
      <c r="F46" s="543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6">
        <f t="shared" si="3"/>
        <v>219689949.60999998</v>
      </c>
      <c r="T46" s="371">
        <f t="shared" si="4"/>
        <v>4.4372843791153298E-2</v>
      </c>
    </row>
    <row r="47" spans="1:23">
      <c r="A47" s="150">
        <v>44</v>
      </c>
      <c r="B47" s="542" t="s">
        <v>320</v>
      </c>
      <c r="C47" s="543"/>
      <c r="D47" s="543"/>
      <c r="E47" s="543"/>
      <c r="F47" s="543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6">
        <f t="shared" si="3"/>
        <v>344885621.69999993</v>
      </c>
      <c r="T47" s="371">
        <f t="shared" si="4"/>
        <v>6.965979028479094E-2</v>
      </c>
      <c r="U47" s="291"/>
    </row>
    <row r="48" spans="1:23">
      <c r="A48" s="150">
        <v>451</v>
      </c>
      <c r="B48" s="611" t="s">
        <v>113</v>
      </c>
      <c r="C48" s="612"/>
      <c r="D48" s="612"/>
      <c r="E48" s="612"/>
      <c r="F48" s="612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5">
        <f t="shared" si="3"/>
        <v>3176935.98</v>
      </c>
      <c r="T48" s="370">
        <f t="shared" si="4"/>
        <v>6.416756170470612E-4</v>
      </c>
    </row>
    <row r="49" spans="1:22" s="361" customFormat="1">
      <c r="A49" s="360">
        <v>47</v>
      </c>
      <c r="B49" s="603" t="s">
        <v>366</v>
      </c>
      <c r="C49" s="604"/>
      <c r="D49" s="604"/>
      <c r="E49" s="604"/>
      <c r="F49" s="604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5">
        <f t="shared" si="3"/>
        <v>24296455.589999996</v>
      </c>
      <c r="T49" s="370">
        <f t="shared" si="4"/>
        <v>4.9073834760654409E-3</v>
      </c>
    </row>
    <row r="50" spans="1:22" ht="13.5" thickBot="1">
      <c r="A50" s="150">
        <v>462</v>
      </c>
      <c r="B50" s="530" t="s">
        <v>359</v>
      </c>
      <c r="C50" s="531"/>
      <c r="D50" s="531"/>
      <c r="E50" s="531"/>
      <c r="F50" s="531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5">
        <f t="shared" si="3"/>
        <v>38684699.409999996</v>
      </c>
      <c r="T50" s="375">
        <f t="shared" si="4"/>
        <v>7.8135123025651378E-3</v>
      </c>
      <c r="U50" s="292"/>
      <c r="V50" s="293"/>
    </row>
    <row r="51" spans="1:22" ht="13.5" thickBot="1">
      <c r="A51" s="144">
        <v>4630</v>
      </c>
      <c r="B51" s="605" t="s">
        <v>795</v>
      </c>
      <c r="C51" s="606"/>
      <c r="D51" s="606"/>
      <c r="E51" s="606"/>
      <c r="F51" s="606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0">
        <f>+SUM(G51:R51)</f>
        <v>20641009.280000001</v>
      </c>
      <c r="T51" s="375">
        <f>+S51/$T$7</f>
        <v>4.1690586305796811E-3</v>
      </c>
    </row>
    <row r="52" spans="1:22" ht="13.5" thickBot="1">
      <c r="A52" s="70">
        <v>1005</v>
      </c>
      <c r="B52" s="607" t="s">
        <v>685</v>
      </c>
      <c r="C52" s="608"/>
      <c r="D52" s="608"/>
      <c r="E52" s="608"/>
      <c r="F52" s="608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1">
        <f>+SUM(G52:R52)</f>
        <v>0</v>
      </c>
      <c r="T52" s="376">
        <f>+S52/$T$7</f>
        <v>0</v>
      </c>
    </row>
    <row r="53" spans="1:22" ht="13.5" thickBot="1">
      <c r="A53" s="144">
        <v>1000</v>
      </c>
      <c r="B53" s="536" t="s">
        <v>545</v>
      </c>
      <c r="C53" s="537"/>
      <c r="D53" s="537"/>
      <c r="E53" s="537"/>
      <c r="F53" s="537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2">
        <f t="shared" si="3"/>
        <v>-143283723.32999992</v>
      </c>
      <c r="T53" s="377">
        <f t="shared" si="4"/>
        <v>-2.8940360195920001E-2</v>
      </c>
    </row>
    <row r="54" spans="1:22" ht="13.5" thickBot="1">
      <c r="A54" s="144">
        <v>1001</v>
      </c>
      <c r="B54" s="538" t="s">
        <v>793</v>
      </c>
      <c r="C54" s="539"/>
      <c r="D54" s="539"/>
      <c r="E54" s="539"/>
      <c r="F54" s="539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2">
        <f t="shared" si="3"/>
        <v>-37480382.479999945</v>
      </c>
      <c r="T54" s="377">
        <f t="shared" si="4"/>
        <v>-7.5702650939204093E-3</v>
      </c>
    </row>
    <row r="55" spans="1:22">
      <c r="A55" s="144">
        <v>46</v>
      </c>
      <c r="B55" s="560" t="s">
        <v>352</v>
      </c>
      <c r="C55" s="561"/>
      <c r="D55" s="561"/>
      <c r="E55" s="561"/>
      <c r="F55" s="561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3">
        <f t="shared" si="3"/>
        <v>507341253.08999997</v>
      </c>
      <c r="T55" s="378">
        <f t="shared" si="4"/>
        <v>0.10247248093112502</v>
      </c>
      <c r="V55" s="309"/>
    </row>
    <row r="56" spans="1:22">
      <c r="A56" s="144">
        <v>4611</v>
      </c>
      <c r="B56" s="528" t="s">
        <v>355</v>
      </c>
      <c r="C56" s="529"/>
      <c r="D56" s="529"/>
      <c r="E56" s="529"/>
      <c r="F56" s="529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4">
        <f t="shared" si="3"/>
        <v>178415558.27999997</v>
      </c>
      <c r="T56" s="379">
        <f t="shared" si="4"/>
        <v>3.6036267073318515E-2</v>
      </c>
      <c r="V56" s="353"/>
    </row>
    <row r="57" spans="1:22">
      <c r="A57" s="144">
        <v>4612</v>
      </c>
      <c r="B57" s="512" t="s">
        <v>357</v>
      </c>
      <c r="C57" s="513"/>
      <c r="D57" s="513"/>
      <c r="E57" s="513"/>
      <c r="F57" s="513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4">
        <f t="shared" si="3"/>
        <v>328925694.81</v>
      </c>
      <c r="T57" s="379">
        <f t="shared" si="4"/>
        <v>6.64362138578065E-2</v>
      </c>
      <c r="V57" s="318"/>
    </row>
    <row r="58" spans="1:22" ht="13.5" thickBot="1">
      <c r="A58" s="144">
        <v>4418</v>
      </c>
      <c r="B58" s="616" t="s">
        <v>336</v>
      </c>
      <c r="C58" s="617"/>
      <c r="D58" s="617"/>
      <c r="E58" s="617"/>
      <c r="F58" s="617"/>
      <c r="G58" s="497">
        <f>DataEx!FF167</f>
        <v>0</v>
      </c>
      <c r="H58" s="497">
        <f>DataEx!FG167</f>
        <v>35272.089999999997</v>
      </c>
      <c r="I58" s="497">
        <f>DataEx!FH167</f>
        <v>0</v>
      </c>
      <c r="J58" s="497">
        <f>DataEx!FI167</f>
        <v>39948396.369999997</v>
      </c>
      <c r="K58" s="497">
        <f>DataEx!FJ167</f>
        <v>0</v>
      </c>
      <c r="L58" s="497">
        <f>DataEx!FK167</f>
        <v>0</v>
      </c>
      <c r="M58" s="497">
        <f>DataEx!FL167</f>
        <v>0</v>
      </c>
      <c r="N58" s="497">
        <f>DataEx!FM167</f>
        <v>0</v>
      </c>
      <c r="O58" s="497">
        <f>DataEx!FN167</f>
        <v>0</v>
      </c>
      <c r="P58" s="497">
        <f>DataEx!FO167</f>
        <v>0</v>
      </c>
      <c r="Q58" s="497">
        <f>DataEx!FP167</f>
        <v>14495201.140000001</v>
      </c>
      <c r="R58" s="497">
        <f>DataEx!FQ167</f>
        <v>2849828.78</v>
      </c>
      <c r="S58" s="498">
        <f>SUM(G58:R58)</f>
        <v>57328698.380000003</v>
      </c>
      <c r="T58" s="499">
        <f>+S58/$T$7</f>
        <v>1.1579215992728742E-2</v>
      </c>
      <c r="V58" s="318"/>
    </row>
    <row r="59" spans="1:22" ht="13.5" thickBot="1">
      <c r="A59" s="144">
        <v>1002</v>
      </c>
      <c r="B59" s="532" t="s">
        <v>543</v>
      </c>
      <c r="C59" s="533"/>
      <c r="D59" s="533"/>
      <c r="E59" s="533"/>
      <c r="F59" s="533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5">
        <f t="shared" si="3"/>
        <v>-707953674.79999995</v>
      </c>
      <c r="T59" s="380">
        <f t="shared" si="4"/>
        <v>-0.14299205711977378</v>
      </c>
    </row>
    <row r="60" spans="1:22" ht="13.5" thickBot="1">
      <c r="A60" s="144">
        <v>1003</v>
      </c>
      <c r="B60" s="534" t="s">
        <v>544</v>
      </c>
      <c r="C60" s="535"/>
      <c r="D60" s="535"/>
      <c r="E60" s="535"/>
      <c r="F60" s="535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6">
        <f t="shared" si="3"/>
        <v>707953674.79999995</v>
      </c>
      <c r="T60" s="381">
        <f t="shared" si="4"/>
        <v>0.14299205711977378</v>
      </c>
    </row>
    <row r="61" spans="1:22">
      <c r="A61" s="144">
        <v>7511</v>
      </c>
      <c r="B61" s="528" t="s">
        <v>114</v>
      </c>
      <c r="C61" s="529"/>
      <c r="D61" s="529"/>
      <c r="E61" s="529"/>
      <c r="F61" s="529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4">
        <f t="shared" si="3"/>
        <v>363438000</v>
      </c>
      <c r="T61" s="379">
        <f t="shared" si="4"/>
        <v>7.3406988487174307E-2</v>
      </c>
    </row>
    <row r="62" spans="1:22">
      <c r="A62" s="144">
        <v>7512</v>
      </c>
      <c r="B62" s="512" t="s">
        <v>116</v>
      </c>
      <c r="C62" s="513"/>
      <c r="D62" s="513"/>
      <c r="E62" s="513"/>
      <c r="F62" s="513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4">
        <f t="shared" si="3"/>
        <v>651580293.42999995</v>
      </c>
      <c r="T62" s="379">
        <f t="shared" si="4"/>
        <v>0.13160579548172086</v>
      </c>
    </row>
    <row r="63" spans="1:22">
      <c r="A63" s="144">
        <v>72</v>
      </c>
      <c r="B63" s="512" t="s">
        <v>93</v>
      </c>
      <c r="C63" s="513"/>
      <c r="D63" s="513"/>
      <c r="E63" s="513"/>
      <c r="F63" s="513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4">
        <f t="shared" si="3"/>
        <v>4278082.92</v>
      </c>
      <c r="T63" s="379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7">
        <f>+SUM(G64:R64)</f>
        <v>-311342701.55000001</v>
      </c>
      <c r="T64" s="382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92" t="s">
        <v>552</v>
      </c>
      <c r="C100" s="593"/>
      <c r="D100" s="593"/>
      <c r="E100" s="593"/>
      <c r="F100" s="593"/>
      <c r="G100" s="600">
        <v>2019</v>
      </c>
      <c r="H100" s="601"/>
      <c r="I100" s="601"/>
      <c r="J100" s="601"/>
      <c r="K100" s="601"/>
      <c r="L100" s="601"/>
      <c r="M100" s="601"/>
      <c r="N100" s="601"/>
      <c r="O100" s="601"/>
      <c r="P100" s="601"/>
      <c r="Q100" s="601"/>
      <c r="R100" s="602"/>
      <c r="S100" s="107" t="str">
        <f>+S7</f>
        <v>BDP</v>
      </c>
      <c r="T100" s="108">
        <f>+T7</f>
        <v>4951000000</v>
      </c>
    </row>
    <row r="101" spans="1:21" ht="15.75" customHeight="1">
      <c r="B101" s="594"/>
      <c r="C101" s="595"/>
      <c r="D101" s="595"/>
      <c r="E101" s="595"/>
      <c r="F101" s="596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600" t="s">
        <v>809</v>
      </c>
      <c r="T101" s="602">
        <f>+T8</f>
        <v>0</v>
      </c>
    </row>
    <row r="102" spans="1:21" ht="13.5" thickBot="1">
      <c r="B102" s="597"/>
      <c r="C102" s="598"/>
      <c r="D102" s="598"/>
      <c r="E102" s="598"/>
      <c r="F102" s="599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88" t="s">
        <v>681</v>
      </c>
      <c r="C103" s="589"/>
      <c r="D103" s="589"/>
      <c r="E103" s="589"/>
      <c r="F103" s="589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8">
        <f>+SUM(G103:R103)</f>
        <v>1834032913.7635608</v>
      </c>
      <c r="T103" s="411">
        <f>+S103/$T$7</f>
        <v>0.37043686402010922</v>
      </c>
    </row>
    <row r="104" spans="1:21">
      <c r="A104" s="116" t="str">
        <f t="shared" si="16"/>
        <v>711p</v>
      </c>
      <c r="B104" s="590" t="s">
        <v>21</v>
      </c>
      <c r="C104" s="591"/>
      <c r="D104" s="591"/>
      <c r="E104" s="591"/>
      <c r="F104" s="591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399">
        <f t="shared" ref="S104:S159" si="19">+SUM(G104:R104)</f>
        <v>1122669950.9867301</v>
      </c>
      <c r="T104" s="412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78" t="s">
        <v>23</v>
      </c>
      <c r="C105" s="579"/>
      <c r="D105" s="579"/>
      <c r="E105" s="579"/>
      <c r="F105" s="579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0">
        <f t="shared" si="19"/>
        <v>120237518.04497004</v>
      </c>
      <c r="T105" s="413">
        <f t="shared" si="20"/>
        <v>2.4285501523928506E-2</v>
      </c>
    </row>
    <row r="106" spans="1:21">
      <c r="A106" s="116" t="str">
        <f t="shared" si="16"/>
        <v>7112p</v>
      </c>
      <c r="B106" s="578" t="s">
        <v>25</v>
      </c>
      <c r="C106" s="579"/>
      <c r="D106" s="579"/>
      <c r="E106" s="579"/>
      <c r="F106" s="579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0">
        <f t="shared" si="19"/>
        <v>71194860.131909981</v>
      </c>
      <c r="T106" s="413">
        <f t="shared" si="20"/>
        <v>1.4379894997356086E-2</v>
      </c>
    </row>
    <row r="107" spans="1:21">
      <c r="A107" s="116" t="str">
        <f t="shared" si="16"/>
        <v>7113p</v>
      </c>
      <c r="B107" s="578" t="s">
        <v>27</v>
      </c>
      <c r="C107" s="579"/>
      <c r="D107" s="579"/>
      <c r="E107" s="579"/>
      <c r="F107" s="579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0">
        <f t="shared" si="19"/>
        <v>1862816.4104000002</v>
      </c>
      <c r="T107" s="413">
        <f t="shared" si="20"/>
        <v>3.7625053734599074E-4</v>
      </c>
    </row>
    <row r="108" spans="1:21">
      <c r="A108" s="116" t="str">
        <f t="shared" si="16"/>
        <v>7114p</v>
      </c>
      <c r="B108" s="578" t="s">
        <v>29</v>
      </c>
      <c r="C108" s="579"/>
      <c r="D108" s="579"/>
      <c r="E108" s="579"/>
      <c r="F108" s="579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0">
        <f t="shared" si="19"/>
        <v>657905657.67184997</v>
      </c>
      <c r="T108" s="413">
        <f t="shared" si="20"/>
        <v>0.1328833887440618</v>
      </c>
    </row>
    <row r="109" spans="1:21">
      <c r="A109" s="116" t="str">
        <f t="shared" si="16"/>
        <v>7115p</v>
      </c>
      <c r="B109" s="578" t="s">
        <v>31</v>
      </c>
      <c r="C109" s="579"/>
      <c r="D109" s="579"/>
      <c r="E109" s="579"/>
      <c r="F109" s="579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0">
        <f t="shared" si="19"/>
        <v>234801605.29820004</v>
      </c>
      <c r="T109" s="413">
        <f t="shared" si="20"/>
        <v>4.7425086911371449E-2</v>
      </c>
    </row>
    <row r="110" spans="1:21">
      <c r="A110" s="116" t="str">
        <f t="shared" si="16"/>
        <v>7116p</v>
      </c>
      <c r="B110" s="578" t="s">
        <v>33</v>
      </c>
      <c r="C110" s="579"/>
      <c r="D110" s="579"/>
      <c r="E110" s="579"/>
      <c r="F110" s="579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0">
        <f t="shared" si="19"/>
        <v>27167589.829800002</v>
      </c>
      <c r="T110" s="413">
        <f t="shared" si="20"/>
        <v>5.4872934416885484E-3</v>
      </c>
    </row>
    <row r="111" spans="1:21">
      <c r="A111" s="116" t="str">
        <f t="shared" si="16"/>
        <v>7118p</v>
      </c>
      <c r="B111" s="578" t="s">
        <v>722</v>
      </c>
      <c r="C111" s="579"/>
      <c r="D111" s="579"/>
      <c r="E111" s="579"/>
      <c r="F111" s="579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0">
        <f t="shared" si="19"/>
        <v>9499903.5996000003</v>
      </c>
      <c r="T111" s="413">
        <f t="shared" si="20"/>
        <v>1.918784811068471E-3</v>
      </c>
    </row>
    <row r="112" spans="1:21">
      <c r="A112" s="116" t="str">
        <f t="shared" si="16"/>
        <v>712p</v>
      </c>
      <c r="B112" s="586" t="s">
        <v>37</v>
      </c>
      <c r="C112" s="587"/>
      <c r="D112" s="587"/>
      <c r="E112" s="587"/>
      <c r="F112" s="587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1">
        <f t="shared" si="19"/>
        <v>534213514.07533062</v>
      </c>
      <c r="T112" s="414">
        <f t="shared" si="20"/>
        <v>0.10790012403056566</v>
      </c>
    </row>
    <row r="113" spans="1:20">
      <c r="A113" s="116" t="str">
        <f t="shared" si="16"/>
        <v>7121p</v>
      </c>
      <c r="B113" s="578" t="s">
        <v>39</v>
      </c>
      <c r="C113" s="579"/>
      <c r="D113" s="579"/>
      <c r="E113" s="579"/>
      <c r="F113" s="579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0">
        <f t="shared" si="19"/>
        <v>327876749.17454183</v>
      </c>
      <c r="T113" s="413">
        <f t="shared" si="20"/>
        <v>6.6224348449715573E-2</v>
      </c>
    </row>
    <row r="114" spans="1:20">
      <c r="A114" s="116" t="str">
        <f t="shared" si="16"/>
        <v>7122p</v>
      </c>
      <c r="B114" s="578" t="s">
        <v>41</v>
      </c>
      <c r="C114" s="579"/>
      <c r="D114" s="579"/>
      <c r="E114" s="579"/>
      <c r="F114" s="579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0">
        <f t="shared" si="19"/>
        <v>178851341.72447601</v>
      </c>
      <c r="T114" s="413">
        <f t="shared" si="20"/>
        <v>3.6124286351136341E-2</v>
      </c>
    </row>
    <row r="115" spans="1:20">
      <c r="A115" s="116" t="str">
        <f t="shared" si="16"/>
        <v>7123p</v>
      </c>
      <c r="B115" s="578" t="s">
        <v>43</v>
      </c>
      <c r="C115" s="579"/>
      <c r="D115" s="579"/>
      <c r="E115" s="579"/>
      <c r="F115" s="579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0">
        <f t="shared" si="19"/>
        <v>14950709.439620741</v>
      </c>
      <c r="T115" s="413">
        <f t="shared" si="20"/>
        <v>3.0197352938034216E-3</v>
      </c>
    </row>
    <row r="116" spans="1:20">
      <c r="A116" s="116" t="str">
        <f t="shared" si="16"/>
        <v>7124p</v>
      </c>
      <c r="B116" s="578" t="s">
        <v>45</v>
      </c>
      <c r="C116" s="579"/>
      <c r="D116" s="579"/>
      <c r="E116" s="579"/>
      <c r="F116" s="579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0">
        <f t="shared" si="19"/>
        <v>12534713.736692008</v>
      </c>
      <c r="T116" s="413">
        <f t="shared" si="20"/>
        <v>2.5317539359103226E-3</v>
      </c>
    </row>
    <row r="117" spans="1:20">
      <c r="A117" s="116" t="str">
        <f t="shared" si="16"/>
        <v>713p</v>
      </c>
      <c r="B117" s="584" t="s">
        <v>47</v>
      </c>
      <c r="C117" s="585"/>
      <c r="D117" s="585"/>
      <c r="E117" s="585"/>
      <c r="F117" s="585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1">
        <f t="shared" si="19"/>
        <v>15318488.925500004</v>
      </c>
      <c r="T117" s="414">
        <f t="shared" si="20"/>
        <v>3.0940191729953554E-3</v>
      </c>
    </row>
    <row r="118" spans="1:20">
      <c r="A118" s="116" t="str">
        <f t="shared" si="16"/>
        <v>714p</v>
      </c>
      <c r="B118" s="584" t="s">
        <v>61</v>
      </c>
      <c r="C118" s="585"/>
      <c r="D118" s="585"/>
      <c r="E118" s="585"/>
      <c r="F118" s="585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1">
        <f t="shared" si="19"/>
        <v>31390844.861600004</v>
      </c>
      <c r="T118" s="414">
        <f t="shared" si="20"/>
        <v>6.3403039510401948E-3</v>
      </c>
    </row>
    <row r="119" spans="1:20">
      <c r="A119" s="116" t="str">
        <f t="shared" si="16"/>
        <v>715p</v>
      </c>
      <c r="B119" s="584" t="s">
        <v>81</v>
      </c>
      <c r="C119" s="585"/>
      <c r="D119" s="585"/>
      <c r="E119" s="585"/>
      <c r="F119" s="585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1">
        <f t="shared" si="19"/>
        <v>77448450.912399963</v>
      </c>
      <c r="T119" s="414">
        <f t="shared" si="20"/>
        <v>1.5642991499171876E-2</v>
      </c>
    </row>
    <row r="120" spans="1:20">
      <c r="A120" s="116" t="str">
        <f t="shared" si="16"/>
        <v>73p</v>
      </c>
      <c r="B120" s="584" t="s">
        <v>99</v>
      </c>
      <c r="C120" s="585"/>
      <c r="D120" s="585"/>
      <c r="E120" s="585"/>
      <c r="F120" s="585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1">
        <f t="shared" si="19"/>
        <v>8511664.0019999985</v>
      </c>
      <c r="T120" s="414">
        <f t="shared" si="20"/>
        <v>1.7191807719652591E-3</v>
      </c>
    </row>
    <row r="121" spans="1:20" ht="13.5" thickBot="1">
      <c r="A121" s="116" t="str">
        <f t="shared" si="16"/>
        <v>74p</v>
      </c>
      <c r="B121" s="580" t="s">
        <v>105</v>
      </c>
      <c r="C121" s="581"/>
      <c r="D121" s="581"/>
      <c r="E121" s="581"/>
      <c r="F121" s="581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2">
        <f t="shared" si="19"/>
        <v>44480000</v>
      </c>
      <c r="T121" s="415">
        <f t="shared" si="20"/>
        <v>8.98404362754999E-3</v>
      </c>
    </row>
    <row r="122" spans="1:20" ht="13.5" thickBot="1">
      <c r="A122" s="116" t="str">
        <f t="shared" si="16"/>
        <v>4p</v>
      </c>
      <c r="B122" s="562" t="s">
        <v>811</v>
      </c>
      <c r="C122" s="563"/>
      <c r="D122" s="563"/>
      <c r="E122" s="563"/>
      <c r="F122" s="563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3">
        <f>+SUM(G122:R122)</f>
        <v>1976630978.4000001</v>
      </c>
      <c r="T122" s="416">
        <f t="shared" si="20"/>
        <v>0.39923873528580089</v>
      </c>
    </row>
    <row r="123" spans="1:20" ht="13.5" thickBot="1">
      <c r="A123" s="116" t="str">
        <f t="shared" si="16"/>
        <v>40p</v>
      </c>
      <c r="B123" s="620" t="s">
        <v>774</v>
      </c>
      <c r="C123" s="621"/>
      <c r="D123" s="621"/>
      <c r="E123" s="621"/>
      <c r="F123" s="621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4">
        <f t="shared" si="19"/>
        <v>1680705978.4000001</v>
      </c>
      <c r="T123" s="417">
        <f t="shared" si="20"/>
        <v>0.33946798190264593</v>
      </c>
    </row>
    <row r="124" spans="1:20">
      <c r="A124" s="116" t="e">
        <f>+CONCATENATE(#REF!,"p")</f>
        <v>#REF!</v>
      </c>
      <c r="B124" s="582" t="e">
        <v>#REF!</v>
      </c>
      <c r="C124" s="583"/>
      <c r="D124" s="583"/>
      <c r="E124" s="583"/>
      <c r="F124" s="583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399">
        <f t="shared" si="19"/>
        <v>846670934.61000013</v>
      </c>
      <c r="T124" s="412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78" t="s">
        <v>122</v>
      </c>
      <c r="C125" s="579"/>
      <c r="D125" s="579"/>
      <c r="E125" s="579"/>
      <c r="F125" s="579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0">
        <f t="shared" si="19"/>
        <v>472054247.1500001</v>
      </c>
      <c r="T125" s="413">
        <f t="shared" si="20"/>
        <v>9.5345232710563541E-2</v>
      </c>
    </row>
    <row r="126" spans="1:20">
      <c r="A126" s="116" t="str">
        <f t="shared" si="25"/>
        <v>412p</v>
      </c>
      <c r="B126" s="578" t="s">
        <v>133</v>
      </c>
      <c r="C126" s="579"/>
      <c r="D126" s="579"/>
      <c r="E126" s="579"/>
      <c r="F126" s="579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0">
        <f t="shared" si="19"/>
        <v>15077125.449999996</v>
      </c>
      <c r="T126" s="413">
        <f t="shared" si="20"/>
        <v>3.0452687234902029E-3</v>
      </c>
    </row>
    <row r="127" spans="1:20">
      <c r="A127" s="116" t="str">
        <f t="shared" si="25"/>
        <v>413p</v>
      </c>
      <c r="B127" s="578" t="s">
        <v>148</v>
      </c>
      <c r="C127" s="579"/>
      <c r="D127" s="579"/>
      <c r="E127" s="579"/>
      <c r="F127" s="579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0">
        <f t="shared" si="19"/>
        <v>36652827.660000004</v>
      </c>
      <c r="T127" s="413">
        <f t="shared" si="20"/>
        <v>7.4031160694809136E-3</v>
      </c>
    </row>
    <row r="128" spans="1:20">
      <c r="A128" s="116" t="str">
        <f t="shared" si="25"/>
        <v>414p</v>
      </c>
      <c r="B128" s="578" t="s">
        <v>162</v>
      </c>
      <c r="C128" s="579"/>
      <c r="D128" s="579"/>
      <c r="E128" s="579"/>
      <c r="F128" s="579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0">
        <f t="shared" si="19"/>
        <v>63127045.969999991</v>
      </c>
      <c r="T128" s="413">
        <f t="shared" si="20"/>
        <v>1.2750362748939606E-2</v>
      </c>
    </row>
    <row r="129" spans="1:20">
      <c r="A129" s="116" t="str">
        <f t="shared" si="25"/>
        <v>415p</v>
      </c>
      <c r="B129" s="578" t="s">
        <v>182</v>
      </c>
      <c r="C129" s="579"/>
      <c r="D129" s="579"/>
      <c r="E129" s="579"/>
      <c r="F129" s="579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0">
        <f t="shared" si="19"/>
        <v>23117903.600000001</v>
      </c>
      <c r="T129" s="413">
        <f t="shared" si="20"/>
        <v>4.6693402544940423E-3</v>
      </c>
    </row>
    <row r="130" spans="1:20">
      <c r="A130" s="116" t="str">
        <f t="shared" si="25"/>
        <v>416p</v>
      </c>
      <c r="B130" s="578" t="s">
        <v>190</v>
      </c>
      <c r="C130" s="579"/>
      <c r="D130" s="579"/>
      <c r="E130" s="579"/>
      <c r="F130" s="579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0">
        <f t="shared" si="19"/>
        <v>95752699.999999985</v>
      </c>
      <c r="T130" s="413">
        <f t="shared" si="20"/>
        <v>1.9340072712583315E-2</v>
      </c>
    </row>
    <row r="131" spans="1:20">
      <c r="A131" s="116" t="str">
        <f t="shared" si="25"/>
        <v>417p</v>
      </c>
      <c r="B131" s="578" t="s">
        <v>196</v>
      </c>
      <c r="C131" s="579"/>
      <c r="D131" s="579"/>
      <c r="E131" s="579"/>
      <c r="F131" s="579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0">
        <f t="shared" si="19"/>
        <v>9821101.7599999998</v>
      </c>
      <c r="T131" s="413">
        <f t="shared" si="20"/>
        <v>1.9836602221773377E-3</v>
      </c>
    </row>
    <row r="132" spans="1:20">
      <c r="A132" s="116" t="str">
        <f t="shared" si="25"/>
        <v>418p</v>
      </c>
      <c r="B132" s="578" t="s">
        <v>204</v>
      </c>
      <c r="C132" s="579"/>
      <c r="D132" s="579"/>
      <c r="E132" s="579"/>
      <c r="F132" s="579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0">
        <f t="shared" si="19"/>
        <v>30814599.999999993</v>
      </c>
      <c r="T132" s="413">
        <f t="shared" si="20"/>
        <v>6.2239143607352035E-3</v>
      </c>
    </row>
    <row r="133" spans="1:20">
      <c r="A133" s="116" t="str">
        <f t="shared" si="25"/>
        <v>419p</v>
      </c>
      <c r="B133" s="578" t="s">
        <v>212</v>
      </c>
      <c r="C133" s="579"/>
      <c r="D133" s="579"/>
      <c r="E133" s="579"/>
      <c r="F133" s="579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0">
        <f t="shared" si="19"/>
        <v>41196323.400000006</v>
      </c>
      <c r="T133" s="413">
        <f t="shared" si="20"/>
        <v>8.3208086043223602E-3</v>
      </c>
    </row>
    <row r="134" spans="1:20">
      <c r="A134" s="116" t="e">
        <f>+CONCATENATE(#REF!,"p")</f>
        <v>#REF!</v>
      </c>
      <c r="B134" s="578" t="e">
        <v>#REF!</v>
      </c>
      <c r="C134" s="579"/>
      <c r="D134" s="579"/>
      <c r="E134" s="579"/>
      <c r="F134" s="579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0">
        <f t="shared" si="19"/>
        <v>59057059.620000012</v>
      </c>
      <c r="T134" s="413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74" t="s">
        <v>230</v>
      </c>
      <c r="C135" s="575"/>
      <c r="D135" s="575"/>
      <c r="E135" s="575"/>
      <c r="F135" s="575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1">
        <f t="shared" si="19"/>
        <v>557842584.41999996</v>
      </c>
      <c r="T135" s="414">
        <f t="shared" si="20"/>
        <v>0.11267270943647748</v>
      </c>
    </row>
    <row r="136" spans="1:20">
      <c r="A136" s="116" t="str">
        <f t="shared" si="26"/>
        <v>421p</v>
      </c>
      <c r="B136" s="578" t="s">
        <v>232</v>
      </c>
      <c r="C136" s="579"/>
      <c r="D136" s="579"/>
      <c r="E136" s="579"/>
      <c r="F136" s="579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0">
        <f t="shared" si="19"/>
        <v>80990000.000000015</v>
      </c>
      <c r="T136" s="413">
        <f t="shared" si="20"/>
        <v>1.6358311452231874E-2</v>
      </c>
    </row>
    <row r="137" spans="1:20">
      <c r="A137" s="116" t="str">
        <f t="shared" si="26"/>
        <v>422p</v>
      </c>
      <c r="B137" s="578" t="s">
        <v>248</v>
      </c>
      <c r="C137" s="579"/>
      <c r="D137" s="579"/>
      <c r="E137" s="579"/>
      <c r="F137" s="579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0">
        <f t="shared" si="19"/>
        <v>18202468.969999999</v>
      </c>
      <c r="T137" s="413">
        <f t="shared" si="20"/>
        <v>3.6765237265198947E-3</v>
      </c>
    </row>
    <row r="138" spans="1:20">
      <c r="A138" s="116" t="str">
        <f t="shared" si="26"/>
        <v>423p</v>
      </c>
      <c r="B138" s="578" t="s">
        <v>259</v>
      </c>
      <c r="C138" s="579"/>
      <c r="D138" s="579"/>
      <c r="E138" s="579"/>
      <c r="F138" s="579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0">
        <f t="shared" si="19"/>
        <v>429025014.44999993</v>
      </c>
      <c r="T138" s="413">
        <f t="shared" si="20"/>
        <v>8.6654214189052697E-2</v>
      </c>
    </row>
    <row r="139" spans="1:20">
      <c r="A139" s="116" t="str">
        <f t="shared" si="26"/>
        <v>424p</v>
      </c>
      <c r="B139" s="578" t="s">
        <v>274</v>
      </c>
      <c r="C139" s="579"/>
      <c r="D139" s="579"/>
      <c r="E139" s="579"/>
      <c r="F139" s="579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0">
        <f t="shared" si="19"/>
        <v>19000100</v>
      </c>
      <c r="T139" s="413">
        <f t="shared" si="20"/>
        <v>3.8376287618662897E-3</v>
      </c>
    </row>
    <row r="140" spans="1:20">
      <c r="A140" s="116" t="str">
        <f t="shared" si="26"/>
        <v>425p</v>
      </c>
      <c r="B140" s="578" t="s">
        <v>278</v>
      </c>
      <c r="C140" s="579"/>
      <c r="D140" s="579"/>
      <c r="E140" s="579"/>
      <c r="F140" s="579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0">
        <f t="shared" si="19"/>
        <v>10625001</v>
      </c>
      <c r="T140" s="413">
        <f t="shared" si="20"/>
        <v>2.1460313068067055E-3</v>
      </c>
    </row>
    <row r="141" spans="1:20">
      <c r="A141" s="116" t="str">
        <f t="shared" si="26"/>
        <v>43p</v>
      </c>
      <c r="B141" s="576" t="s">
        <v>286</v>
      </c>
      <c r="C141" s="577"/>
      <c r="D141" s="577"/>
      <c r="E141" s="577"/>
      <c r="F141" s="577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1">
        <f>+SUM(G141:R141)</f>
        <v>220947786.96000001</v>
      </c>
      <c r="T141" s="414">
        <f t="shared" si="20"/>
        <v>4.4626901022015754E-2</v>
      </c>
    </row>
    <row r="142" spans="1:20">
      <c r="A142" s="116" t="str">
        <f t="shared" si="26"/>
        <v>44p</v>
      </c>
      <c r="B142" s="576" t="s">
        <v>812</v>
      </c>
      <c r="C142" s="577"/>
      <c r="D142" s="577"/>
      <c r="E142" s="577"/>
      <c r="F142" s="577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1">
        <f t="shared" si="19"/>
        <v>295925000</v>
      </c>
      <c r="T142" s="414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68" t="s">
        <v>113</v>
      </c>
      <c r="C143" s="569"/>
      <c r="D143" s="569"/>
      <c r="E143" s="569"/>
      <c r="F143" s="569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0">
        <f t="shared" si="19"/>
        <v>2280000.9999999995</v>
      </c>
      <c r="T143" s="413">
        <f t="shared" si="20"/>
        <v>4.6051322965057553E-4</v>
      </c>
    </row>
    <row r="144" spans="1:20">
      <c r="A144" s="116" t="str">
        <f t="shared" si="28"/>
        <v>47p</v>
      </c>
      <c r="B144" s="568" t="s">
        <v>366</v>
      </c>
      <c r="C144" s="569"/>
      <c r="D144" s="569"/>
      <c r="E144" s="569"/>
      <c r="F144" s="569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0">
        <f t="shared" si="19"/>
        <v>24999999.999999996</v>
      </c>
      <c r="T144" s="413">
        <f t="shared" si="20"/>
        <v>5.0494849525348409E-3</v>
      </c>
    </row>
    <row r="145" spans="1:20">
      <c r="A145" s="116" t="str">
        <f t="shared" si="28"/>
        <v>462p</v>
      </c>
      <c r="B145" s="568" t="s">
        <v>359</v>
      </c>
      <c r="C145" s="569"/>
      <c r="D145" s="569"/>
      <c r="E145" s="569"/>
      <c r="F145" s="569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0">
        <f t="shared" si="19"/>
        <v>9434672.4100000001</v>
      </c>
      <c r="T145" s="413">
        <f t="shared" si="20"/>
        <v>1.9056094546556252E-3</v>
      </c>
    </row>
    <row r="146" spans="1:20">
      <c r="A146" s="117" t="str">
        <f>+CONCATENATE(A51,"p")</f>
        <v>4630p</v>
      </c>
      <c r="B146" s="568" t="s">
        <v>365</v>
      </c>
      <c r="C146" s="569"/>
      <c r="D146" s="569"/>
      <c r="E146" s="569"/>
      <c r="F146" s="569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5">
        <f>+SUM(G146:R146)</f>
        <v>18529999</v>
      </c>
      <c r="T146" s="418">
        <f>+S146/$T$7</f>
        <v>3.7426780448394266E-3</v>
      </c>
    </row>
    <row r="147" spans="1:20" ht="13.5" thickBot="1">
      <c r="A147" s="116"/>
      <c r="B147" s="618" t="s">
        <v>686</v>
      </c>
      <c r="C147" s="619"/>
      <c r="D147" s="619"/>
      <c r="E147" s="619"/>
      <c r="F147" s="619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1">
        <f>SUM(G147:R147)</f>
        <v>0</v>
      </c>
      <c r="T147" s="376">
        <f t="shared" si="20"/>
        <v>0</v>
      </c>
    </row>
    <row r="148" spans="1:20" ht="13.5" thickBot="1">
      <c r="A148" s="117" t="str">
        <f>+CONCATENATE(A53,"p")</f>
        <v>1000p</v>
      </c>
      <c r="B148" s="570" t="s">
        <v>545</v>
      </c>
      <c r="C148" s="571"/>
      <c r="D148" s="571"/>
      <c r="E148" s="571"/>
      <c r="F148" s="571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6">
        <f t="shared" si="19"/>
        <v>-142598064.63643947</v>
      </c>
      <c r="T148" s="419">
        <f t="shared" si="20"/>
        <v>-2.8801871265691673E-2</v>
      </c>
    </row>
    <row r="149" spans="1:20" ht="13.5" thickBot="1">
      <c r="A149" s="117" t="str">
        <f>+CONCATENATE(A54,"p")</f>
        <v>1001p</v>
      </c>
      <c r="B149" s="572" t="s">
        <v>813</v>
      </c>
      <c r="C149" s="573"/>
      <c r="D149" s="573"/>
      <c r="E149" s="573"/>
      <c r="F149" s="573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6">
        <f t="shared" si="19"/>
        <v>-46845364.63643948</v>
      </c>
      <c r="T149" s="419">
        <f t="shared" si="20"/>
        <v>-9.4617985531083582E-3</v>
      </c>
    </row>
    <row r="150" spans="1:20">
      <c r="A150" s="117" t="str">
        <f>+CONCATENATE(A55,"p")</f>
        <v>46p</v>
      </c>
      <c r="B150" s="574" t="s">
        <v>352</v>
      </c>
      <c r="C150" s="575"/>
      <c r="D150" s="575"/>
      <c r="E150" s="575"/>
      <c r="F150" s="575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7">
        <f t="shared" si="19"/>
        <v>373600000</v>
      </c>
      <c r="T150" s="420">
        <f t="shared" si="20"/>
        <v>7.5459503130680672E-2</v>
      </c>
    </row>
    <row r="151" spans="1:20">
      <c r="A151" s="117" t="str">
        <f>+CONCATENATE(A56,"p")</f>
        <v>4611p</v>
      </c>
      <c r="B151" s="566" t="s">
        <v>355</v>
      </c>
      <c r="C151" s="567"/>
      <c r="D151" s="567"/>
      <c r="E151" s="567"/>
      <c r="F151" s="567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5">
        <f t="shared" si="19"/>
        <v>44100000.039999999</v>
      </c>
      <c r="T151" s="418">
        <f t="shared" si="20"/>
        <v>8.9072914643506355E-3</v>
      </c>
    </row>
    <row r="152" spans="1:20">
      <c r="A152" s="117" t="str">
        <f>+CONCATENATE(A57,"p")</f>
        <v>4612p</v>
      </c>
      <c r="B152" s="568" t="s">
        <v>357</v>
      </c>
      <c r="C152" s="569"/>
      <c r="D152" s="569"/>
      <c r="E152" s="569"/>
      <c r="F152" s="569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5">
        <f t="shared" si="19"/>
        <v>329499999.95999998</v>
      </c>
      <c r="T152" s="418">
        <f t="shared" si="20"/>
        <v>6.6552211666330033E-2</v>
      </c>
    </row>
    <row r="153" spans="1:20" ht="13.5" thickBot="1">
      <c r="A153" s="117"/>
      <c r="B153" s="616" t="s">
        <v>336</v>
      </c>
      <c r="C153" s="617"/>
      <c r="D153" s="617"/>
      <c r="E153" s="617"/>
      <c r="F153" s="617"/>
      <c r="G153" s="494">
        <v>26666.67</v>
      </c>
      <c r="H153" s="494">
        <v>26666.67</v>
      </c>
      <c r="I153" s="494">
        <v>26666.67</v>
      </c>
      <c r="J153" s="494">
        <v>39926666.670000002</v>
      </c>
      <c r="K153" s="494">
        <v>26666.67</v>
      </c>
      <c r="L153" s="494">
        <v>26666.67</v>
      </c>
      <c r="M153" s="494">
        <v>26666.67</v>
      </c>
      <c r="N153" s="494">
        <v>26666.67</v>
      </c>
      <c r="O153" s="494">
        <v>26666.67</v>
      </c>
      <c r="P153" s="494">
        <v>26666.67</v>
      </c>
      <c r="Q153" s="494">
        <v>26666.67</v>
      </c>
      <c r="R153" s="494">
        <v>26666.63</v>
      </c>
      <c r="S153" s="495">
        <f t="shared" si="19"/>
        <v>40220000.000000015</v>
      </c>
      <c r="T153" s="496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564" t="s">
        <v>543</v>
      </c>
      <c r="C154" s="565"/>
      <c r="D154" s="565"/>
      <c r="E154" s="565"/>
      <c r="F154" s="565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8">
        <f t="shared" si="19"/>
        <v>-556418064.63643956</v>
      </c>
      <c r="T154" s="421">
        <f t="shared" si="20"/>
        <v>-0.11238498578801041</v>
      </c>
    </row>
    <row r="155" spans="1:20" ht="13.5" thickBot="1">
      <c r="A155" s="117" t="str">
        <f t="shared" si="32"/>
        <v>1003p</v>
      </c>
      <c r="B155" s="562" t="s">
        <v>544</v>
      </c>
      <c r="C155" s="563"/>
      <c r="D155" s="563"/>
      <c r="E155" s="563"/>
      <c r="F155" s="563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09">
        <f t="shared" si="19"/>
        <v>556418064.63643956</v>
      </c>
      <c r="T155" s="422">
        <f t="shared" si="20"/>
        <v>0.11238498578801041</v>
      </c>
    </row>
    <row r="156" spans="1:20">
      <c r="A156" s="117" t="str">
        <f t="shared" si="32"/>
        <v>7511p</v>
      </c>
      <c r="B156" s="566" t="s">
        <v>114</v>
      </c>
      <c r="C156" s="567"/>
      <c r="D156" s="567"/>
      <c r="E156" s="567"/>
      <c r="F156" s="567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5">
        <f t="shared" si="19"/>
        <v>190000000</v>
      </c>
      <c r="T156" s="418">
        <f t="shared" si="20"/>
        <v>3.8376085639264798E-2</v>
      </c>
    </row>
    <row r="157" spans="1:20">
      <c r="A157" s="117" t="str">
        <f t="shared" si="32"/>
        <v>7512p</v>
      </c>
      <c r="B157" s="568" t="s">
        <v>116</v>
      </c>
      <c r="C157" s="569"/>
      <c r="D157" s="569"/>
      <c r="E157" s="569"/>
      <c r="F157" s="569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5">
        <f t="shared" si="19"/>
        <v>180405268.74155378</v>
      </c>
      <c r="T157" s="418">
        <f t="shared" si="20"/>
        <v>3.6438147594739199E-2</v>
      </c>
    </row>
    <row r="158" spans="1:20">
      <c r="A158" s="117" t="str">
        <f t="shared" si="32"/>
        <v>72p</v>
      </c>
      <c r="B158" s="568" t="s">
        <v>93</v>
      </c>
      <c r="C158" s="569"/>
      <c r="D158" s="569"/>
      <c r="E158" s="569"/>
      <c r="F158" s="569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5">
        <f t="shared" si="19"/>
        <v>6000000</v>
      </c>
      <c r="T158" s="418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0">
        <f t="shared" si="19"/>
        <v>180012795.89488566</v>
      </c>
      <c r="T159" s="423">
        <f t="shared" si="20"/>
        <v>3.6358876165398034E-2</v>
      </c>
    </row>
  </sheetData>
  <customSheetViews>
    <customSheetView guid="{59E4E612-301A-4B15-B14A-FF0442744080}" state="hidden">
      <pane ySplit="1" topLeftCell="A35" activePane="bottomLeft" state="frozen"/>
      <selection pane="bottomLeft" activeCell="I53" sqref="I53"/>
      <pageMargins left="0" right="0" top="0" bottom="0" header="0.31496062992126" footer="0.31496062992126"/>
      <pageSetup paperSize="9" scale="75" orientation="landscape" r:id="rId1"/>
    </customSheetView>
  </customSheetViews>
  <mergeCells count="116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</mergeCells>
  <pageMargins left="0" right="0" top="0" bottom="0" header="0.31496062992126" footer="0.31496062992126"/>
  <pageSetup paperSize="9" scale="75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5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6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Y162"/>
  <sheetViews>
    <sheetView zoomScaleNormal="100" workbookViewId="0">
      <pane ySplit="1" topLeftCell="A29" activePane="bottomLeft" state="frozen"/>
      <selection pane="bottomLeft" activeCell="I23" sqref="I23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615" t="s">
        <v>554</v>
      </c>
      <c r="C7" s="515"/>
      <c r="D7" s="515"/>
      <c r="E7" s="515"/>
      <c r="F7" s="515"/>
      <c r="G7" s="523">
        <v>2018</v>
      </c>
      <c r="H7" s="524"/>
      <c r="I7" s="524"/>
      <c r="J7" s="524"/>
      <c r="K7" s="524"/>
      <c r="L7" s="524"/>
      <c r="M7" s="524"/>
      <c r="N7" s="524"/>
      <c r="O7" s="524"/>
      <c r="P7" s="524"/>
      <c r="Q7" s="524"/>
      <c r="R7" s="527"/>
      <c r="S7" s="235" t="s">
        <v>419</v>
      </c>
      <c r="T7" s="236">
        <v>4663130000</v>
      </c>
    </row>
    <row r="8" spans="1:20" ht="16.5" customHeight="1">
      <c r="A8" s="144"/>
      <c r="B8" s="516"/>
      <c r="C8" s="517"/>
      <c r="D8" s="517"/>
      <c r="E8" s="517"/>
      <c r="F8" s="518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23" t="s">
        <v>809</v>
      </c>
      <c r="T8" s="527"/>
    </row>
    <row r="9" spans="1:20" ht="13.5" thickBot="1">
      <c r="A9" s="144"/>
      <c r="B9" s="519"/>
      <c r="C9" s="520"/>
      <c r="D9" s="520"/>
      <c r="E9" s="520"/>
      <c r="F9" s="521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56" t="s">
        <v>681</v>
      </c>
      <c r="C10" s="557"/>
      <c r="D10" s="557"/>
      <c r="E10" s="557"/>
      <c r="F10" s="557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3">
        <f>+SUM(G10:R10)</f>
        <v>1746018287.1400003</v>
      </c>
      <c r="T10" s="368">
        <f>+S10/$T$7</f>
        <v>0.3744305406754691</v>
      </c>
    </row>
    <row r="11" spans="1:20">
      <c r="A11" s="150">
        <v>711</v>
      </c>
      <c r="B11" s="558" t="s">
        <v>21</v>
      </c>
      <c r="C11" s="559"/>
      <c r="D11" s="559"/>
      <c r="E11" s="559"/>
      <c r="F11" s="559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4">
        <f t="shared" ref="S11:S66" si="3">+SUM(G11:R11)</f>
        <v>1068947201.3</v>
      </c>
      <c r="T11" s="369">
        <f t="shared" ref="T11:T67" si="4">+S11/$T$7</f>
        <v>0.22923384106812375</v>
      </c>
    </row>
    <row r="12" spans="1:20">
      <c r="A12" s="150">
        <v>7111</v>
      </c>
      <c r="B12" s="544" t="s">
        <v>23</v>
      </c>
      <c r="C12" s="545"/>
      <c r="D12" s="545"/>
      <c r="E12" s="545"/>
      <c r="F12" s="545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5">
        <f t="shared" si="3"/>
        <v>124898382.06000002</v>
      </c>
      <c r="T12" s="370">
        <f t="shared" si="4"/>
        <v>2.6784237638667593E-2</v>
      </c>
    </row>
    <row r="13" spans="1:20">
      <c r="A13" s="150">
        <v>7112</v>
      </c>
      <c r="B13" s="544" t="s">
        <v>25</v>
      </c>
      <c r="C13" s="545"/>
      <c r="D13" s="545"/>
      <c r="E13" s="545"/>
      <c r="F13" s="545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5">
        <f t="shared" si="3"/>
        <v>68172478.429999992</v>
      </c>
      <c r="T13" s="370">
        <f t="shared" si="4"/>
        <v>1.4619467703023505E-2</v>
      </c>
    </row>
    <row r="14" spans="1:20">
      <c r="A14" s="150">
        <v>7113</v>
      </c>
      <c r="B14" s="544" t="s">
        <v>27</v>
      </c>
      <c r="C14" s="545"/>
      <c r="D14" s="545"/>
      <c r="E14" s="545"/>
      <c r="F14" s="545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5">
        <f t="shared" si="3"/>
        <v>1836094.52</v>
      </c>
      <c r="T14" s="370">
        <f t="shared" si="4"/>
        <v>3.9374722986491905E-4</v>
      </c>
    </row>
    <row r="15" spans="1:20">
      <c r="A15" s="150">
        <v>7114</v>
      </c>
      <c r="B15" s="544" t="s">
        <v>29</v>
      </c>
      <c r="C15" s="545"/>
      <c r="D15" s="545"/>
      <c r="E15" s="545"/>
      <c r="F15" s="545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5">
        <f t="shared" si="3"/>
        <v>616913678.91000009</v>
      </c>
      <c r="T15" s="370">
        <f t="shared" si="4"/>
        <v>0.13229604984420337</v>
      </c>
    </row>
    <row r="16" spans="1:20">
      <c r="A16" s="150">
        <v>7115</v>
      </c>
      <c r="B16" s="544" t="s">
        <v>31</v>
      </c>
      <c r="C16" s="545"/>
      <c r="D16" s="545"/>
      <c r="E16" s="545"/>
      <c r="F16" s="545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5">
        <f t="shared" si="3"/>
        <v>221178044.41</v>
      </c>
      <c r="T16" s="370">
        <f t="shared" si="4"/>
        <v>4.7431241335755166E-2</v>
      </c>
    </row>
    <row r="17" spans="1:25">
      <c r="A17" s="150">
        <v>7116</v>
      </c>
      <c r="B17" s="544" t="s">
        <v>33</v>
      </c>
      <c r="C17" s="545"/>
      <c r="D17" s="545"/>
      <c r="E17" s="545"/>
      <c r="F17" s="545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5">
        <f t="shared" si="3"/>
        <v>26634891.989999998</v>
      </c>
      <c r="T17" s="370">
        <f t="shared" si="4"/>
        <v>5.7118055876632214E-3</v>
      </c>
    </row>
    <row r="18" spans="1:25">
      <c r="A18" s="150">
        <v>7118</v>
      </c>
      <c r="B18" s="544" t="s">
        <v>722</v>
      </c>
      <c r="C18" s="545"/>
      <c r="D18" s="545"/>
      <c r="E18" s="545"/>
      <c r="F18" s="545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5">
        <f t="shared" si="3"/>
        <v>9313630.9799999986</v>
      </c>
      <c r="T18" s="370">
        <f t="shared" si="4"/>
        <v>1.9972917289460082E-3</v>
      </c>
    </row>
    <row r="19" spans="1:25">
      <c r="A19" s="150">
        <v>712</v>
      </c>
      <c r="B19" s="554" t="s">
        <v>37</v>
      </c>
      <c r="C19" s="555"/>
      <c r="D19" s="555"/>
      <c r="E19" s="555"/>
      <c r="F19" s="555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6">
        <f t="shared" si="3"/>
        <v>524440114.39999998</v>
      </c>
      <c r="T19" s="371">
        <f t="shared" si="4"/>
        <v>0.11246525711271184</v>
      </c>
    </row>
    <row r="20" spans="1:25">
      <c r="A20" s="150">
        <v>7121</v>
      </c>
      <c r="B20" s="544" t="s">
        <v>39</v>
      </c>
      <c r="C20" s="545"/>
      <c r="D20" s="545"/>
      <c r="E20" s="545"/>
      <c r="F20" s="545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5">
        <f t="shared" si="3"/>
        <v>316982958.28000003</v>
      </c>
      <c r="T20" s="370">
        <f t="shared" si="4"/>
        <v>6.7976436059041898E-2</v>
      </c>
    </row>
    <row r="21" spans="1:25">
      <c r="A21" s="150">
        <v>7122</v>
      </c>
      <c r="B21" s="544" t="s">
        <v>41</v>
      </c>
      <c r="C21" s="545"/>
      <c r="D21" s="545"/>
      <c r="E21" s="545"/>
      <c r="F21" s="545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5">
        <f t="shared" si="3"/>
        <v>182045765.34999999</v>
      </c>
      <c r="T21" s="370">
        <f t="shared" si="4"/>
        <v>3.9039393143661019E-2</v>
      </c>
    </row>
    <row r="22" spans="1:25">
      <c r="A22" s="150">
        <v>7123</v>
      </c>
      <c r="B22" s="544" t="s">
        <v>43</v>
      </c>
      <c r="C22" s="545"/>
      <c r="D22" s="545"/>
      <c r="E22" s="545"/>
      <c r="F22" s="545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5">
        <f t="shared" si="3"/>
        <v>13590597.370000001</v>
      </c>
      <c r="T22" s="370">
        <f t="shared" si="4"/>
        <v>2.9144796242009125E-3</v>
      </c>
    </row>
    <row r="23" spans="1:25">
      <c r="A23" s="150">
        <v>7124</v>
      </c>
      <c r="B23" s="544" t="s">
        <v>45</v>
      </c>
      <c r="C23" s="545"/>
      <c r="D23" s="545"/>
      <c r="E23" s="545"/>
      <c r="F23" s="545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5">
        <f t="shared" si="3"/>
        <v>11820793.4</v>
      </c>
      <c r="T23" s="370">
        <f t="shared" si="4"/>
        <v>2.5349482858080304E-3</v>
      </c>
      <c r="Y23" s="305"/>
    </row>
    <row r="24" spans="1:25">
      <c r="A24" s="150">
        <v>713</v>
      </c>
      <c r="B24" s="546" t="s">
        <v>47</v>
      </c>
      <c r="C24" s="547"/>
      <c r="D24" s="547"/>
      <c r="E24" s="547"/>
      <c r="F24" s="547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6">
        <f t="shared" si="3"/>
        <v>16901007.650000002</v>
      </c>
      <c r="T24" s="371">
        <f t="shared" si="4"/>
        <v>3.6243912672389582E-3</v>
      </c>
      <c r="Y24" s="305"/>
    </row>
    <row r="25" spans="1:25">
      <c r="A25" s="150">
        <v>714</v>
      </c>
      <c r="B25" s="546" t="s">
        <v>61</v>
      </c>
      <c r="C25" s="547"/>
      <c r="D25" s="547"/>
      <c r="E25" s="547"/>
      <c r="F25" s="547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6">
        <f t="shared" si="3"/>
        <v>26419539.080000002</v>
      </c>
      <c r="T25" s="371">
        <f t="shared" si="4"/>
        <v>5.6656235361227337E-3</v>
      </c>
      <c r="W25" s="292"/>
    </row>
    <row r="26" spans="1:25">
      <c r="A26" s="150">
        <v>715</v>
      </c>
      <c r="B26" s="546" t="s">
        <v>81</v>
      </c>
      <c r="C26" s="547"/>
      <c r="D26" s="547"/>
      <c r="E26" s="547"/>
      <c r="F26" s="547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6">
        <f t="shared" si="3"/>
        <v>71315064.620000005</v>
      </c>
      <c r="T26" s="371">
        <f t="shared" si="4"/>
        <v>1.529338976610131E-2</v>
      </c>
    </row>
    <row r="27" spans="1:25">
      <c r="A27" s="150">
        <v>73</v>
      </c>
      <c r="B27" s="546" t="s">
        <v>99</v>
      </c>
      <c r="C27" s="547"/>
      <c r="D27" s="547"/>
      <c r="E27" s="547"/>
      <c r="F27" s="547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6">
        <f t="shared" si="3"/>
        <v>11285945.1</v>
      </c>
      <c r="T27" s="371">
        <f t="shared" si="4"/>
        <v>2.4202510116595505E-3</v>
      </c>
    </row>
    <row r="28" spans="1:25" ht="13.5" thickBot="1">
      <c r="A28" s="150">
        <v>74</v>
      </c>
      <c r="B28" s="548" t="s">
        <v>105</v>
      </c>
      <c r="C28" s="549"/>
      <c r="D28" s="549"/>
      <c r="E28" s="549"/>
      <c r="F28" s="549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6">
        <f t="shared" si="3"/>
        <v>26709414.990000006</v>
      </c>
      <c r="T28" s="372">
        <f t="shared" si="4"/>
        <v>5.7277869135108836E-3</v>
      </c>
    </row>
    <row r="29" spans="1:25" ht="13.5" thickBot="1">
      <c r="A29" s="150">
        <v>4</v>
      </c>
      <c r="B29" s="534" t="s">
        <v>802</v>
      </c>
      <c r="C29" s="535"/>
      <c r="D29" s="535"/>
      <c r="E29" s="535"/>
      <c r="F29" s="535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7">
        <f t="shared" si="3"/>
        <v>1914918461.6599998</v>
      </c>
      <c r="T29" s="373">
        <f t="shared" si="4"/>
        <v>0.41065088506217923</v>
      </c>
    </row>
    <row r="30" spans="1:25" ht="13.5" thickBot="1">
      <c r="A30" s="150">
        <v>40</v>
      </c>
      <c r="B30" s="550" t="s">
        <v>774</v>
      </c>
      <c r="C30" s="551"/>
      <c r="D30" s="551"/>
      <c r="E30" s="551"/>
      <c r="F30" s="551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8">
        <f t="shared" si="3"/>
        <v>1671556011.4800003</v>
      </c>
      <c r="T30" s="374">
        <f t="shared" si="4"/>
        <v>0.35846223705536845</v>
      </c>
    </row>
    <row r="31" spans="1:25">
      <c r="A31" s="150">
        <v>41</v>
      </c>
      <c r="B31" s="552" t="s">
        <v>120</v>
      </c>
      <c r="C31" s="553"/>
      <c r="D31" s="553"/>
      <c r="E31" s="553"/>
      <c r="F31" s="553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89">
        <f t="shared" si="3"/>
        <v>866631492.57999992</v>
      </c>
      <c r="T31" s="369">
        <f t="shared" si="4"/>
        <v>0.185847594336851</v>
      </c>
    </row>
    <row r="32" spans="1:25">
      <c r="A32" s="150">
        <v>411</v>
      </c>
      <c r="B32" s="544" t="s">
        <v>122</v>
      </c>
      <c r="C32" s="545"/>
      <c r="D32" s="545"/>
      <c r="E32" s="545"/>
      <c r="F32" s="545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5">
        <f t="shared" si="3"/>
        <v>459796234.55000001</v>
      </c>
      <c r="T32" s="370">
        <f t="shared" si="4"/>
        <v>9.860249114864908E-2</v>
      </c>
    </row>
    <row r="33" spans="1:22">
      <c r="A33" s="150">
        <v>412</v>
      </c>
      <c r="B33" s="544" t="s">
        <v>133</v>
      </c>
      <c r="C33" s="545"/>
      <c r="D33" s="545"/>
      <c r="E33" s="545"/>
      <c r="F33" s="545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5">
        <f t="shared" si="3"/>
        <v>13212940.209999999</v>
      </c>
      <c r="T33" s="370">
        <f t="shared" si="4"/>
        <v>2.8334917126479424E-3</v>
      </c>
      <c r="U33" s="293"/>
    </row>
    <row r="34" spans="1:22">
      <c r="A34" s="150">
        <v>413</v>
      </c>
      <c r="B34" s="544" t="s">
        <v>148</v>
      </c>
      <c r="C34" s="545"/>
      <c r="D34" s="545"/>
      <c r="E34" s="545"/>
      <c r="F34" s="545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5">
        <f t="shared" si="3"/>
        <v>36731134.720000006</v>
      </c>
      <c r="T34" s="370">
        <f t="shared" si="4"/>
        <v>7.8769270254099733E-3</v>
      </c>
      <c r="U34" s="311"/>
      <c r="V34" s="291"/>
    </row>
    <row r="35" spans="1:22">
      <c r="A35" s="150">
        <v>414</v>
      </c>
      <c r="B35" s="544" t="s">
        <v>162</v>
      </c>
      <c r="C35" s="545"/>
      <c r="D35" s="545"/>
      <c r="E35" s="545"/>
      <c r="F35" s="545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5">
        <f t="shared" si="3"/>
        <v>75138922.689999998</v>
      </c>
      <c r="T35" s="370">
        <f t="shared" si="4"/>
        <v>1.6113409381681404E-2</v>
      </c>
    </row>
    <row r="36" spans="1:22">
      <c r="A36" s="150">
        <v>415</v>
      </c>
      <c r="B36" s="544" t="s">
        <v>182</v>
      </c>
      <c r="C36" s="545"/>
      <c r="D36" s="545"/>
      <c r="E36" s="545"/>
      <c r="F36" s="545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5">
        <f t="shared" si="3"/>
        <v>20973232.77</v>
      </c>
      <c r="T36" s="370">
        <f t="shared" si="4"/>
        <v>4.4976727584262076E-3</v>
      </c>
    </row>
    <row r="37" spans="1:22">
      <c r="A37" s="150">
        <v>416</v>
      </c>
      <c r="B37" s="544" t="s">
        <v>190</v>
      </c>
      <c r="C37" s="545"/>
      <c r="D37" s="545"/>
      <c r="E37" s="545"/>
      <c r="F37" s="545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5">
        <f>+SUM(G37:R37)</f>
        <v>97597309.48999998</v>
      </c>
      <c r="T37" s="370">
        <f t="shared" si="4"/>
        <v>2.0929570801157159E-2</v>
      </c>
    </row>
    <row r="38" spans="1:22">
      <c r="A38" s="150">
        <v>417</v>
      </c>
      <c r="B38" s="544" t="s">
        <v>196</v>
      </c>
      <c r="C38" s="545"/>
      <c r="D38" s="545"/>
      <c r="E38" s="545"/>
      <c r="F38" s="545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5">
        <f t="shared" si="3"/>
        <v>10693128.550000001</v>
      </c>
      <c r="T38" s="370">
        <f t="shared" si="4"/>
        <v>2.2931225485886093E-3</v>
      </c>
    </row>
    <row r="39" spans="1:22">
      <c r="A39" s="150">
        <v>418</v>
      </c>
      <c r="B39" s="544" t="s">
        <v>204</v>
      </c>
      <c r="C39" s="545"/>
      <c r="D39" s="545"/>
      <c r="E39" s="545"/>
      <c r="F39" s="545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5">
        <f t="shared" si="3"/>
        <v>30560884.969999999</v>
      </c>
      <c r="T39" s="370">
        <f t="shared" si="4"/>
        <v>6.5537278544668493E-3</v>
      </c>
    </row>
    <row r="40" spans="1:22">
      <c r="A40" s="150">
        <v>419</v>
      </c>
      <c r="B40" s="544" t="s">
        <v>212</v>
      </c>
      <c r="C40" s="545"/>
      <c r="D40" s="545"/>
      <c r="E40" s="545"/>
      <c r="F40" s="545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5">
        <f t="shared" si="3"/>
        <v>43556427.669999994</v>
      </c>
      <c r="T40" s="370">
        <f t="shared" si="4"/>
        <v>9.3405990547121773E-3</v>
      </c>
    </row>
    <row r="41" spans="1:22">
      <c r="A41" s="150">
        <v>440</v>
      </c>
      <c r="B41" s="544" t="s">
        <v>803</v>
      </c>
      <c r="C41" s="545"/>
      <c r="D41" s="545"/>
      <c r="E41" s="545"/>
      <c r="F41" s="545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5">
        <f t="shared" si="3"/>
        <v>78371276.960000008</v>
      </c>
      <c r="T41" s="370">
        <f t="shared" si="4"/>
        <v>1.6806582051111595E-2</v>
      </c>
    </row>
    <row r="42" spans="1:22">
      <c r="A42" s="150">
        <v>42</v>
      </c>
      <c r="B42" s="540" t="s">
        <v>230</v>
      </c>
      <c r="C42" s="541"/>
      <c r="D42" s="541"/>
      <c r="E42" s="541"/>
      <c r="F42" s="541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6">
        <f t="shared" si="3"/>
        <v>544485571.48000002</v>
      </c>
      <c r="T42" s="371">
        <f t="shared" si="4"/>
        <v>0.11676397001155876</v>
      </c>
    </row>
    <row r="43" spans="1:22">
      <c r="A43" s="150">
        <v>421</v>
      </c>
      <c r="B43" s="544" t="s">
        <v>232</v>
      </c>
      <c r="C43" s="545"/>
      <c r="D43" s="545"/>
      <c r="E43" s="545"/>
      <c r="F43" s="545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5">
        <f t="shared" si="3"/>
        <v>82294784.480000004</v>
      </c>
      <c r="T43" s="370">
        <f t="shared" si="4"/>
        <v>1.7647971315404031E-2</v>
      </c>
    </row>
    <row r="44" spans="1:22">
      <c r="A44" s="150">
        <v>422</v>
      </c>
      <c r="B44" s="544" t="s">
        <v>248</v>
      </c>
      <c r="C44" s="545"/>
      <c r="D44" s="545"/>
      <c r="E44" s="545"/>
      <c r="F44" s="545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5">
        <f t="shared" si="3"/>
        <v>14196791.939999998</v>
      </c>
      <c r="T44" s="370">
        <f t="shared" si="4"/>
        <v>3.0444769800541693E-3</v>
      </c>
    </row>
    <row r="45" spans="1:22">
      <c r="A45" s="150">
        <v>423</v>
      </c>
      <c r="B45" s="544" t="s">
        <v>259</v>
      </c>
      <c r="C45" s="545"/>
      <c r="D45" s="545"/>
      <c r="E45" s="545"/>
      <c r="F45" s="545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5">
        <f t="shared" si="3"/>
        <v>414750265.80000001</v>
      </c>
      <c r="T45" s="370">
        <f t="shared" si="4"/>
        <v>8.8942462637756181E-2</v>
      </c>
    </row>
    <row r="46" spans="1:22">
      <c r="A46" s="150">
        <v>424</v>
      </c>
      <c r="B46" s="544" t="s">
        <v>274</v>
      </c>
      <c r="C46" s="545"/>
      <c r="D46" s="545"/>
      <c r="E46" s="545"/>
      <c r="F46" s="545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5">
        <f t="shared" si="3"/>
        <v>20004829.280000001</v>
      </c>
      <c r="T46" s="370">
        <f t="shared" si="4"/>
        <v>4.2900003388282124E-3</v>
      </c>
    </row>
    <row r="47" spans="1:22">
      <c r="A47" s="150">
        <v>425</v>
      </c>
      <c r="B47" s="624" t="s">
        <v>278</v>
      </c>
      <c r="C47" s="625"/>
      <c r="D47" s="625"/>
      <c r="E47" s="625"/>
      <c r="F47" s="625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5">
        <f t="shared" si="3"/>
        <v>13238899.98</v>
      </c>
      <c r="T47" s="370">
        <f t="shared" si="4"/>
        <v>2.8390587395161621E-3</v>
      </c>
    </row>
    <row r="48" spans="1:22">
      <c r="A48" s="150">
        <v>43</v>
      </c>
      <c r="B48" s="542" t="s">
        <v>286</v>
      </c>
      <c r="C48" s="543"/>
      <c r="D48" s="543"/>
      <c r="E48" s="543"/>
      <c r="F48" s="543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6">
        <f t="shared" si="3"/>
        <v>208726710.33999997</v>
      </c>
      <c r="T48" s="371">
        <f t="shared" si="4"/>
        <v>4.4761074715909697E-2</v>
      </c>
    </row>
    <row r="49" spans="1:22">
      <c r="A49" s="150">
        <v>44</v>
      </c>
      <c r="B49" s="542" t="s">
        <v>320</v>
      </c>
      <c r="C49" s="543"/>
      <c r="D49" s="543"/>
      <c r="E49" s="543"/>
      <c r="F49" s="543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6">
        <f t="shared" si="3"/>
        <v>243362450.18000001</v>
      </c>
      <c r="T49" s="371">
        <f t="shared" si="4"/>
        <v>5.2188648006810875E-2</v>
      </c>
    </row>
    <row r="50" spans="1:22">
      <c r="A50" s="150">
        <v>451</v>
      </c>
      <c r="B50" s="611" t="s">
        <v>113</v>
      </c>
      <c r="C50" s="612"/>
      <c r="D50" s="612"/>
      <c r="E50" s="612"/>
      <c r="F50" s="612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5">
        <f t="shared" si="3"/>
        <v>4596369</v>
      </c>
      <c r="T50" s="370">
        <f t="shared" si="4"/>
        <v>9.8568322135561309E-4</v>
      </c>
    </row>
    <row r="51" spans="1:22">
      <c r="A51" s="150">
        <v>47</v>
      </c>
      <c r="B51" s="512" t="s">
        <v>366</v>
      </c>
      <c r="C51" s="513"/>
      <c r="D51" s="513"/>
      <c r="E51" s="513"/>
      <c r="F51" s="513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5">
        <f t="shared" si="3"/>
        <v>23887500.050000001</v>
      </c>
      <c r="T51" s="370">
        <f t="shared" si="4"/>
        <v>5.1226322341431617E-3</v>
      </c>
      <c r="U51" s="353"/>
    </row>
    <row r="52" spans="1:22" ht="13.5" thickBot="1">
      <c r="A52" s="150">
        <v>462</v>
      </c>
      <c r="B52" s="530" t="s">
        <v>359</v>
      </c>
      <c r="C52" s="531"/>
      <c r="D52" s="531"/>
      <c r="E52" s="531"/>
      <c r="F52" s="531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5">
        <f t="shared" si="3"/>
        <v>0</v>
      </c>
      <c r="T52" s="375">
        <f t="shared" si="4"/>
        <v>0</v>
      </c>
      <c r="U52" s="292"/>
    </row>
    <row r="53" spans="1:22" ht="13.5" thickBot="1">
      <c r="A53" s="144">
        <v>4630</v>
      </c>
      <c r="B53" s="605" t="s">
        <v>795</v>
      </c>
      <c r="C53" s="606"/>
      <c r="D53" s="606"/>
      <c r="E53" s="606"/>
      <c r="F53" s="606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0">
        <f>+SUM(G53:R53)</f>
        <v>23228368.030000001</v>
      </c>
      <c r="T53" s="375">
        <f>+S53/$T$7</f>
        <v>4.9812825355501564E-3</v>
      </c>
    </row>
    <row r="54" spans="1:22" ht="13.5" thickBot="1">
      <c r="A54" s="70">
        <v>1005</v>
      </c>
      <c r="B54" s="607" t="s">
        <v>685</v>
      </c>
      <c r="C54" s="608"/>
      <c r="D54" s="608"/>
      <c r="E54" s="608"/>
      <c r="F54" s="608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1">
        <f>+SUM(G54:R54)</f>
        <v>28097590.27</v>
      </c>
      <c r="T54" s="376">
        <f>+S54/$T$7</f>
        <v>6.0254786527504057E-3</v>
      </c>
    </row>
    <row r="55" spans="1:22" ht="13.5" thickBot="1">
      <c r="A55" s="144">
        <v>1000</v>
      </c>
      <c r="B55" s="536" t="s">
        <v>545</v>
      </c>
      <c r="C55" s="537"/>
      <c r="D55" s="537"/>
      <c r="E55" s="537"/>
      <c r="F55" s="537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2">
        <f t="shared" si="3"/>
        <v>-168900174.51999998</v>
      </c>
      <c r="T55" s="377">
        <f t="shared" si="4"/>
        <v>-3.6220344386710207E-2</v>
      </c>
    </row>
    <row r="56" spans="1:22" ht="13.5" thickBot="1">
      <c r="A56" s="144"/>
      <c r="B56" s="364" t="s">
        <v>804</v>
      </c>
      <c r="C56" s="365"/>
      <c r="D56" s="365"/>
      <c r="E56" s="365"/>
      <c r="F56" s="365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2">
        <f t="shared" si="3"/>
        <v>-196997764.78999999</v>
      </c>
      <c r="T56" s="377">
        <f t="shared" si="4"/>
        <v>-4.2245823039460617E-2</v>
      </c>
    </row>
    <row r="57" spans="1:22" ht="13.5" thickBot="1">
      <c r="A57" s="144">
        <v>1001</v>
      </c>
      <c r="B57" s="538" t="s">
        <v>794</v>
      </c>
      <c r="C57" s="539"/>
      <c r="D57" s="539"/>
      <c r="E57" s="539"/>
      <c r="F57" s="539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2">
        <f t="shared" si="3"/>
        <v>-99400455.299999982</v>
      </c>
      <c r="T57" s="377">
        <f t="shared" si="4"/>
        <v>-2.1316252238303454E-2</v>
      </c>
    </row>
    <row r="58" spans="1:22">
      <c r="A58" s="144">
        <v>46</v>
      </c>
      <c r="B58" s="560" t="s">
        <v>352</v>
      </c>
      <c r="C58" s="561"/>
      <c r="D58" s="561"/>
      <c r="E58" s="561"/>
      <c r="F58" s="561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3">
        <f t="shared" si="3"/>
        <v>696281459.90999997</v>
      </c>
      <c r="T58" s="378">
        <f t="shared" si="4"/>
        <v>0.14931633042827455</v>
      </c>
      <c r="V58" s="309"/>
    </row>
    <row r="59" spans="1:22">
      <c r="A59" s="144">
        <v>4611</v>
      </c>
      <c r="B59" s="528" t="s">
        <v>355</v>
      </c>
      <c r="C59" s="529"/>
      <c r="D59" s="529"/>
      <c r="E59" s="529"/>
      <c r="F59" s="529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4">
        <f t="shared" si="3"/>
        <v>234823593.10000002</v>
      </c>
      <c r="T59" s="379">
        <f t="shared" si="4"/>
        <v>5.0357505173563681E-2</v>
      </c>
    </row>
    <row r="60" spans="1:22" ht="13.5" thickBot="1">
      <c r="A60" s="144">
        <v>4612</v>
      </c>
      <c r="B60" s="512" t="s">
        <v>357</v>
      </c>
      <c r="C60" s="513"/>
      <c r="D60" s="513"/>
      <c r="E60" s="513"/>
      <c r="F60" s="513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4">
        <f t="shared" si="3"/>
        <v>461457866.81</v>
      </c>
      <c r="T60" s="379">
        <f t="shared" si="4"/>
        <v>9.8958825254710892E-2</v>
      </c>
      <c r="V60" s="318"/>
    </row>
    <row r="61" spans="1:22" ht="13.5" thickBot="1">
      <c r="A61" s="144">
        <v>4418</v>
      </c>
      <c r="B61" s="622" t="s">
        <v>336</v>
      </c>
      <c r="C61" s="623"/>
      <c r="D61" s="623"/>
      <c r="E61" s="623"/>
      <c r="F61" s="623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3">
        <f>SUM(G61:R61)</f>
        <v>69245296.659999996</v>
      </c>
      <c r="T61" s="378">
        <f>+S61/$T$7</f>
        <v>1.4849531679365575E-2</v>
      </c>
      <c r="V61" s="318"/>
    </row>
    <row r="62" spans="1:22" ht="13.5" thickBot="1">
      <c r="A62" s="144">
        <v>1002</v>
      </c>
      <c r="B62" s="532" t="s">
        <v>543</v>
      </c>
      <c r="C62" s="533"/>
      <c r="D62" s="533"/>
      <c r="E62" s="533"/>
      <c r="F62" s="533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5">
        <f t="shared" si="3"/>
        <v>-962524521.35999966</v>
      </c>
      <c r="T62" s="380">
        <f t="shared" si="4"/>
        <v>-0.2064116851471007</v>
      </c>
    </row>
    <row r="63" spans="1:22" ht="13.5" thickBot="1">
      <c r="A63" s="144">
        <v>1003</v>
      </c>
      <c r="B63" s="534" t="s">
        <v>544</v>
      </c>
      <c r="C63" s="535"/>
      <c r="D63" s="535"/>
      <c r="E63" s="535"/>
      <c r="F63" s="535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6">
        <f t="shared" si="3"/>
        <v>962524521.35999966</v>
      </c>
      <c r="T63" s="381">
        <f t="shared" si="4"/>
        <v>0.2064116851471007</v>
      </c>
    </row>
    <row r="64" spans="1:22">
      <c r="A64" s="144">
        <v>7511</v>
      </c>
      <c r="B64" s="528" t="s">
        <v>114</v>
      </c>
      <c r="C64" s="529"/>
      <c r="D64" s="529"/>
      <c r="E64" s="529"/>
      <c r="F64" s="529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4">
        <f t="shared" si="3"/>
        <v>213600000</v>
      </c>
      <c r="T64" s="379">
        <f t="shared" si="4"/>
        <v>4.5806143084151631E-2</v>
      </c>
    </row>
    <row r="65" spans="1:20">
      <c r="A65" s="144">
        <v>7512</v>
      </c>
      <c r="B65" s="512" t="s">
        <v>116</v>
      </c>
      <c r="C65" s="513"/>
      <c r="D65" s="513"/>
      <c r="E65" s="513"/>
      <c r="F65" s="513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4">
        <f t="shared" si="3"/>
        <v>909773438.82000017</v>
      </c>
      <c r="T65" s="379">
        <f t="shared" si="4"/>
        <v>0.19509930858028837</v>
      </c>
    </row>
    <row r="66" spans="1:20">
      <c r="A66" s="144">
        <v>72</v>
      </c>
      <c r="B66" s="512" t="s">
        <v>93</v>
      </c>
      <c r="C66" s="513"/>
      <c r="D66" s="513"/>
      <c r="E66" s="513"/>
      <c r="F66" s="513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4">
        <f t="shared" si="3"/>
        <v>15749081.709999999</v>
      </c>
      <c r="T66" s="379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7">
        <f>+SUM(G67:R67)</f>
        <v>-176597999.17000002</v>
      </c>
      <c r="T67" s="382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92" t="s">
        <v>552</v>
      </c>
      <c r="C103" s="593"/>
      <c r="D103" s="593"/>
      <c r="E103" s="593"/>
      <c r="F103" s="593"/>
      <c r="G103" s="600">
        <v>2018</v>
      </c>
      <c r="H103" s="601"/>
      <c r="I103" s="601"/>
      <c r="J103" s="601"/>
      <c r="K103" s="601"/>
      <c r="L103" s="601"/>
      <c r="M103" s="601"/>
      <c r="N103" s="601"/>
      <c r="O103" s="601"/>
      <c r="P103" s="601"/>
      <c r="Q103" s="601"/>
      <c r="R103" s="602"/>
      <c r="S103" s="107" t="str">
        <f>+S7</f>
        <v>BDP</v>
      </c>
      <c r="T103" s="108">
        <f>+T7</f>
        <v>4663130000</v>
      </c>
    </row>
    <row r="104" spans="1:21" ht="15.75" customHeight="1">
      <c r="B104" s="594"/>
      <c r="C104" s="595"/>
      <c r="D104" s="595"/>
      <c r="E104" s="595"/>
      <c r="F104" s="596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600" t="s">
        <v>809</v>
      </c>
      <c r="T104" s="602">
        <f>+T8</f>
        <v>0</v>
      </c>
    </row>
    <row r="105" spans="1:21" ht="13.5" thickBot="1">
      <c r="B105" s="597"/>
      <c r="C105" s="598"/>
      <c r="D105" s="598"/>
      <c r="E105" s="598"/>
      <c r="F105" s="599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88" t="s">
        <v>681</v>
      </c>
      <c r="C106" s="589"/>
      <c r="D106" s="589"/>
      <c r="E106" s="589"/>
      <c r="F106" s="589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8">
        <f>+SUM(G106:R106)</f>
        <v>1757003221.1342125</v>
      </c>
      <c r="T106" s="411">
        <f>+S106/$T$7</f>
        <v>0.37678624038665287</v>
      </c>
    </row>
    <row r="107" spans="1:21">
      <c r="A107" s="116" t="str">
        <f t="shared" si="18"/>
        <v>711p</v>
      </c>
      <c r="B107" s="590" t="s">
        <v>21</v>
      </c>
      <c r="C107" s="591"/>
      <c r="D107" s="591"/>
      <c r="E107" s="591"/>
      <c r="F107" s="591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399">
        <f t="shared" ref="S107:S162" si="21">+SUM(G107:R107)</f>
        <v>1078397189.3971882</v>
      </c>
      <c r="T107" s="412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78" t="s">
        <v>23</v>
      </c>
      <c r="C108" s="579"/>
      <c r="D108" s="579"/>
      <c r="E108" s="579"/>
      <c r="F108" s="579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0">
        <f t="shared" si="21"/>
        <v>121359662.16838756</v>
      </c>
      <c r="T108" s="413">
        <f t="shared" si="22"/>
        <v>2.60253654022915E-2</v>
      </c>
    </row>
    <row r="109" spans="1:21">
      <c r="A109" s="116" t="str">
        <f t="shared" si="18"/>
        <v>7112p</v>
      </c>
      <c r="B109" s="578" t="s">
        <v>25</v>
      </c>
      <c r="C109" s="579"/>
      <c r="D109" s="579"/>
      <c r="E109" s="579"/>
      <c r="F109" s="579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0">
        <f t="shared" si="21"/>
        <v>61678365.370406665</v>
      </c>
      <c r="T109" s="413">
        <f t="shared" si="22"/>
        <v>1.3226816616823178E-2</v>
      </c>
    </row>
    <row r="110" spans="1:21">
      <c r="A110" s="116" t="str">
        <f t="shared" si="18"/>
        <v>7113p</v>
      </c>
      <c r="B110" s="578" t="s">
        <v>27</v>
      </c>
      <c r="C110" s="579"/>
      <c r="D110" s="579"/>
      <c r="E110" s="579"/>
      <c r="F110" s="579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0">
        <f t="shared" si="21"/>
        <v>1854898.1305385595</v>
      </c>
      <c r="T110" s="413">
        <f t="shared" si="22"/>
        <v>3.9777963096430068E-4</v>
      </c>
    </row>
    <row r="111" spans="1:21">
      <c r="A111" s="116" t="str">
        <f t="shared" si="18"/>
        <v>7114p</v>
      </c>
      <c r="B111" s="578" t="s">
        <v>29</v>
      </c>
      <c r="C111" s="579"/>
      <c r="D111" s="579"/>
      <c r="E111" s="579"/>
      <c r="F111" s="579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0">
        <f t="shared" si="21"/>
        <v>624391782.02119482</v>
      </c>
      <c r="T111" s="413">
        <f t="shared" si="22"/>
        <v>0.13389971586063326</v>
      </c>
    </row>
    <row r="112" spans="1:21">
      <c r="A112" s="116" t="str">
        <f t="shared" si="18"/>
        <v>7115p</v>
      </c>
      <c r="B112" s="578" t="s">
        <v>31</v>
      </c>
      <c r="C112" s="579"/>
      <c r="D112" s="579"/>
      <c r="E112" s="579"/>
      <c r="F112" s="579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0">
        <f t="shared" si="21"/>
        <v>232697830.94442701</v>
      </c>
      <c r="T112" s="413">
        <f t="shared" si="22"/>
        <v>4.9901639230393965E-2</v>
      </c>
    </row>
    <row r="113" spans="1:20">
      <c r="A113" s="116" t="str">
        <f t="shared" si="18"/>
        <v>7116p</v>
      </c>
      <c r="B113" s="578" t="s">
        <v>33</v>
      </c>
      <c r="C113" s="579"/>
      <c r="D113" s="579"/>
      <c r="E113" s="579"/>
      <c r="F113" s="579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0">
        <f t="shared" si="21"/>
        <v>26860004.877748117</v>
      </c>
      <c r="T113" s="413">
        <f t="shared" si="22"/>
        <v>5.7600806492094613E-3</v>
      </c>
    </row>
    <row r="114" spans="1:20">
      <c r="A114" s="116" t="str">
        <f t="shared" si="18"/>
        <v>7118p</v>
      </c>
      <c r="B114" s="578" t="s">
        <v>722</v>
      </c>
      <c r="C114" s="579"/>
      <c r="D114" s="579"/>
      <c r="E114" s="579"/>
      <c r="F114" s="579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0">
        <f t="shared" si="21"/>
        <v>9554645.8844855782</v>
      </c>
      <c r="T114" s="413">
        <f t="shared" si="22"/>
        <v>2.0489769499210998E-3</v>
      </c>
    </row>
    <row r="115" spans="1:20">
      <c r="A115" s="116" t="str">
        <f t="shared" si="18"/>
        <v>712p</v>
      </c>
      <c r="B115" s="586" t="s">
        <v>37</v>
      </c>
      <c r="C115" s="587"/>
      <c r="D115" s="587"/>
      <c r="E115" s="587"/>
      <c r="F115" s="587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1">
        <f t="shared" si="21"/>
        <v>522253828.92039472</v>
      </c>
      <c r="T115" s="414">
        <f t="shared" si="22"/>
        <v>0.1119964120495021</v>
      </c>
    </row>
    <row r="116" spans="1:20">
      <c r="A116" s="116" t="str">
        <f t="shared" si="18"/>
        <v>7121p</v>
      </c>
      <c r="B116" s="578" t="s">
        <v>39</v>
      </c>
      <c r="C116" s="579"/>
      <c r="D116" s="579"/>
      <c r="E116" s="579"/>
      <c r="F116" s="579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0">
        <f t="shared" si="21"/>
        <v>314496114.9625507</v>
      </c>
      <c r="T116" s="413">
        <f t="shared" si="22"/>
        <v>6.7443136897867031E-2</v>
      </c>
    </row>
    <row r="117" spans="1:20">
      <c r="A117" s="116" t="str">
        <f t="shared" si="18"/>
        <v>7122p</v>
      </c>
      <c r="B117" s="578" t="s">
        <v>41</v>
      </c>
      <c r="C117" s="579"/>
      <c r="D117" s="579"/>
      <c r="E117" s="579"/>
      <c r="F117" s="579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0">
        <f t="shared" si="21"/>
        <v>180896074.44659218</v>
      </c>
      <c r="T117" s="413">
        <f t="shared" si="22"/>
        <v>3.8792843958155181E-2</v>
      </c>
    </row>
    <row r="118" spans="1:20">
      <c r="A118" s="116" t="str">
        <f t="shared" si="18"/>
        <v>7123p</v>
      </c>
      <c r="B118" s="578" t="s">
        <v>43</v>
      </c>
      <c r="C118" s="579"/>
      <c r="D118" s="579"/>
      <c r="E118" s="579"/>
      <c r="F118" s="579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0">
        <f t="shared" si="21"/>
        <v>14149151.623339836</v>
      </c>
      <c r="T118" s="413">
        <f t="shared" si="22"/>
        <v>3.0342605982118954E-3</v>
      </c>
    </row>
    <row r="119" spans="1:20">
      <c r="A119" s="116" t="str">
        <f t="shared" si="18"/>
        <v>7124p</v>
      </c>
      <c r="B119" s="578" t="s">
        <v>45</v>
      </c>
      <c r="C119" s="579"/>
      <c r="D119" s="579"/>
      <c r="E119" s="579"/>
      <c r="F119" s="579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0">
        <f t="shared" si="21"/>
        <v>12712487.887912013</v>
      </c>
      <c r="T119" s="413">
        <f t="shared" si="22"/>
        <v>2.7261705952679881E-3</v>
      </c>
    </row>
    <row r="120" spans="1:20">
      <c r="A120" s="116" t="str">
        <f t="shared" si="18"/>
        <v>713p</v>
      </c>
      <c r="B120" s="584" t="s">
        <v>47</v>
      </c>
      <c r="C120" s="585"/>
      <c r="D120" s="585"/>
      <c r="E120" s="585"/>
      <c r="F120" s="585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1">
        <f t="shared" si="21"/>
        <v>17700468.388223864</v>
      </c>
      <c r="T120" s="414">
        <f t="shared" si="22"/>
        <v>3.7958342118327958E-3</v>
      </c>
    </row>
    <row r="121" spans="1:20">
      <c r="A121" s="116" t="str">
        <f t="shared" si="18"/>
        <v>714p</v>
      </c>
      <c r="B121" s="584" t="s">
        <v>61</v>
      </c>
      <c r="C121" s="585"/>
      <c r="D121" s="585"/>
      <c r="E121" s="585"/>
      <c r="F121" s="585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1">
        <f t="shared" si="21"/>
        <v>28128126.097135291</v>
      </c>
      <c r="T121" s="414">
        <f t="shared" si="22"/>
        <v>6.0320270069964361E-3</v>
      </c>
    </row>
    <row r="122" spans="1:20">
      <c r="A122" s="116" t="str">
        <f t="shared" si="18"/>
        <v>715p</v>
      </c>
      <c r="B122" s="584" t="s">
        <v>81</v>
      </c>
      <c r="C122" s="585"/>
      <c r="D122" s="585"/>
      <c r="E122" s="585"/>
      <c r="F122" s="585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1">
        <f t="shared" si="21"/>
        <v>71732904.669780642</v>
      </c>
      <c r="T122" s="414">
        <f t="shared" si="22"/>
        <v>1.5382994827461522E-2</v>
      </c>
    </row>
    <row r="123" spans="1:20">
      <c r="A123" s="116" t="str">
        <f t="shared" si="18"/>
        <v>73p</v>
      </c>
      <c r="B123" s="584" t="s">
        <v>99</v>
      </c>
      <c r="C123" s="585"/>
      <c r="D123" s="585"/>
      <c r="E123" s="585"/>
      <c r="F123" s="585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1">
        <f t="shared" si="21"/>
        <v>7262314.2406375092</v>
      </c>
      <c r="T123" s="414">
        <f t="shared" si="22"/>
        <v>1.5573904739171992E-3</v>
      </c>
    </row>
    <row r="124" spans="1:20" ht="13.5" thickBot="1">
      <c r="A124" s="116" t="str">
        <f t="shared" si="18"/>
        <v>74p</v>
      </c>
      <c r="B124" s="580" t="s">
        <v>105</v>
      </c>
      <c r="C124" s="581"/>
      <c r="D124" s="581"/>
      <c r="E124" s="581"/>
      <c r="F124" s="581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2">
        <f t="shared" si="21"/>
        <v>31528389.420852099</v>
      </c>
      <c r="T124" s="415">
        <f t="shared" si="22"/>
        <v>6.7612074767060106E-3</v>
      </c>
    </row>
    <row r="125" spans="1:20" ht="13.5" thickBot="1">
      <c r="A125" s="116" t="str">
        <f t="shared" si="18"/>
        <v>4p</v>
      </c>
      <c r="B125" s="562" t="s">
        <v>811</v>
      </c>
      <c r="C125" s="563"/>
      <c r="D125" s="563"/>
      <c r="E125" s="563"/>
      <c r="F125" s="563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3">
        <f>+SUM(G125:R125)</f>
        <v>1899843074.6966665</v>
      </c>
      <c r="T125" s="416">
        <f t="shared" si="22"/>
        <v>0.40741799492972885</v>
      </c>
    </row>
    <row r="126" spans="1:20" ht="13.5" thickBot="1">
      <c r="A126" s="116" t="str">
        <f t="shared" si="18"/>
        <v>40p</v>
      </c>
      <c r="B126" s="620" t="s">
        <v>774</v>
      </c>
      <c r="C126" s="621"/>
      <c r="D126" s="621"/>
      <c r="E126" s="621"/>
      <c r="F126" s="621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4">
        <f t="shared" si="21"/>
        <v>1610768074.6999998</v>
      </c>
      <c r="T126" s="417">
        <f t="shared" si="22"/>
        <v>0.34542637127851888</v>
      </c>
    </row>
    <row r="127" spans="1:20">
      <c r="A127" s="116" t="str">
        <f t="shared" si="18"/>
        <v>41p</v>
      </c>
      <c r="B127" s="582" t="s">
        <v>120</v>
      </c>
      <c r="C127" s="583"/>
      <c r="D127" s="583"/>
      <c r="E127" s="583"/>
      <c r="F127" s="583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399">
        <f t="shared" si="21"/>
        <v>812630572.90999997</v>
      </c>
      <c r="T127" s="412">
        <f t="shared" si="22"/>
        <v>0.17426719240295679</v>
      </c>
    </row>
    <row r="128" spans="1:20">
      <c r="A128" s="116" t="str">
        <f t="shared" si="18"/>
        <v>411p</v>
      </c>
      <c r="B128" s="578" t="s">
        <v>122</v>
      </c>
      <c r="C128" s="579"/>
      <c r="D128" s="579"/>
      <c r="E128" s="579"/>
      <c r="F128" s="579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0">
        <f t="shared" si="21"/>
        <v>461973796.46999985</v>
      </c>
      <c r="T128" s="413">
        <f t="shared" si="22"/>
        <v>9.9069465459894937E-2</v>
      </c>
    </row>
    <row r="129" spans="1:20">
      <c r="A129" s="116" t="str">
        <f t="shared" si="18"/>
        <v>412p</v>
      </c>
      <c r="B129" s="578" t="s">
        <v>133</v>
      </c>
      <c r="C129" s="579"/>
      <c r="D129" s="579"/>
      <c r="E129" s="579"/>
      <c r="F129" s="579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0">
        <f t="shared" si="21"/>
        <v>13262623.179999996</v>
      </c>
      <c r="T129" s="413">
        <f t="shared" si="22"/>
        <v>2.8441461378945036E-3</v>
      </c>
    </row>
    <row r="130" spans="1:20">
      <c r="A130" s="116" t="str">
        <f t="shared" si="18"/>
        <v>413p</v>
      </c>
      <c r="B130" s="578" t="s">
        <v>148</v>
      </c>
      <c r="C130" s="579"/>
      <c r="D130" s="579"/>
      <c r="E130" s="579"/>
      <c r="F130" s="579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0">
        <f t="shared" si="21"/>
        <v>39682213.5</v>
      </c>
      <c r="T130" s="413">
        <f t="shared" si="22"/>
        <v>8.5097806623448194E-3</v>
      </c>
    </row>
    <row r="131" spans="1:20">
      <c r="A131" s="116" t="str">
        <f t="shared" si="18"/>
        <v>414p</v>
      </c>
      <c r="B131" s="578" t="s">
        <v>162</v>
      </c>
      <c r="C131" s="579"/>
      <c r="D131" s="579"/>
      <c r="E131" s="579"/>
      <c r="F131" s="579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0">
        <f t="shared" si="21"/>
        <v>58741932.939999998</v>
      </c>
      <c r="T131" s="413">
        <f t="shared" si="22"/>
        <v>1.2597103863713857E-2</v>
      </c>
    </row>
    <row r="132" spans="1:20">
      <c r="A132" s="116" t="str">
        <f t="shared" si="18"/>
        <v>415p</v>
      </c>
      <c r="B132" s="578" t="s">
        <v>182</v>
      </c>
      <c r="C132" s="579"/>
      <c r="D132" s="579"/>
      <c r="E132" s="579"/>
      <c r="F132" s="579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0">
        <f t="shared" si="21"/>
        <v>22285486.810000002</v>
      </c>
      <c r="T132" s="413">
        <f t="shared" si="22"/>
        <v>4.7790833217173879E-3</v>
      </c>
    </row>
    <row r="133" spans="1:20">
      <c r="A133" s="116" t="str">
        <f t="shared" si="18"/>
        <v>416p</v>
      </c>
      <c r="B133" s="578" t="s">
        <v>190</v>
      </c>
      <c r="C133" s="579"/>
      <c r="D133" s="579"/>
      <c r="E133" s="579"/>
      <c r="F133" s="579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0">
        <f t="shared" si="21"/>
        <v>87442700</v>
      </c>
      <c r="T133" s="413">
        <f t="shared" si="22"/>
        <v>1.8751932714721656E-2</v>
      </c>
    </row>
    <row r="134" spans="1:20">
      <c r="A134" s="116" t="str">
        <f t="shared" si="18"/>
        <v>417p</v>
      </c>
      <c r="B134" s="578" t="s">
        <v>196</v>
      </c>
      <c r="C134" s="579"/>
      <c r="D134" s="579"/>
      <c r="E134" s="579"/>
      <c r="F134" s="579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0">
        <f t="shared" si="21"/>
        <v>10344524.66</v>
      </c>
      <c r="T134" s="413">
        <f t="shared" si="22"/>
        <v>2.2183650595201079E-3</v>
      </c>
    </row>
    <row r="135" spans="1:20">
      <c r="A135" s="116" t="str">
        <f t="shared" si="18"/>
        <v>418p</v>
      </c>
      <c r="B135" s="578" t="s">
        <v>204</v>
      </c>
      <c r="C135" s="579"/>
      <c r="D135" s="579"/>
      <c r="E135" s="579"/>
      <c r="F135" s="579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0">
        <f t="shared" si="21"/>
        <v>26731800.000000011</v>
      </c>
      <c r="T135" s="413">
        <f t="shared" si="22"/>
        <v>5.7325873394050804E-3</v>
      </c>
    </row>
    <row r="136" spans="1:20">
      <c r="A136" s="116" t="str">
        <f t="shared" si="18"/>
        <v>419p</v>
      </c>
      <c r="B136" s="578" t="s">
        <v>212</v>
      </c>
      <c r="C136" s="579"/>
      <c r="D136" s="579"/>
      <c r="E136" s="579"/>
      <c r="F136" s="579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0">
        <f t="shared" si="21"/>
        <v>39317929.93</v>
      </c>
      <c r="T136" s="413">
        <f t="shared" si="22"/>
        <v>8.4316606935684827E-3</v>
      </c>
    </row>
    <row r="137" spans="1:20">
      <c r="A137" s="116" t="str">
        <f t="shared" si="18"/>
        <v>440p</v>
      </c>
      <c r="B137" s="578" t="s">
        <v>803</v>
      </c>
      <c r="C137" s="579"/>
      <c r="D137" s="579"/>
      <c r="E137" s="579"/>
      <c r="F137" s="579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0">
        <f t="shared" si="21"/>
        <v>52847565.419999987</v>
      </c>
      <c r="T137" s="413">
        <f t="shared" si="22"/>
        <v>1.1333067150175952E-2</v>
      </c>
    </row>
    <row r="138" spans="1:20">
      <c r="A138" s="116" t="str">
        <f t="shared" si="18"/>
        <v>42p</v>
      </c>
      <c r="B138" s="574" t="s">
        <v>230</v>
      </c>
      <c r="C138" s="575"/>
      <c r="D138" s="575"/>
      <c r="E138" s="575"/>
      <c r="F138" s="575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1">
        <f t="shared" si="21"/>
        <v>558932773.86000013</v>
      </c>
      <c r="T138" s="414">
        <f t="shared" si="22"/>
        <v>0.11986214706859988</v>
      </c>
    </row>
    <row r="139" spans="1:20">
      <c r="A139" s="116" t="str">
        <f t="shared" si="18"/>
        <v>421p</v>
      </c>
      <c r="B139" s="578" t="s">
        <v>232</v>
      </c>
      <c r="C139" s="579"/>
      <c r="D139" s="579"/>
      <c r="E139" s="579"/>
      <c r="F139" s="579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0">
        <f t="shared" si="21"/>
        <v>82786083.909999996</v>
      </c>
      <c r="T139" s="413">
        <f t="shared" si="22"/>
        <v>1.7753329611226793E-2</v>
      </c>
    </row>
    <row r="140" spans="1:20">
      <c r="A140" s="116" t="str">
        <f t="shared" si="18"/>
        <v>422p</v>
      </c>
      <c r="B140" s="578" t="s">
        <v>248</v>
      </c>
      <c r="C140" s="579"/>
      <c r="D140" s="579"/>
      <c r="E140" s="579"/>
      <c r="F140" s="579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0">
        <f t="shared" si="21"/>
        <v>17298799.519999992</v>
      </c>
      <c r="T140" s="413">
        <f t="shared" si="22"/>
        <v>3.7096970318219718E-3</v>
      </c>
    </row>
    <row r="141" spans="1:20">
      <c r="A141" s="116" t="str">
        <f t="shared" si="18"/>
        <v>423p</v>
      </c>
      <c r="B141" s="578" t="s">
        <v>259</v>
      </c>
      <c r="C141" s="579"/>
      <c r="D141" s="579"/>
      <c r="E141" s="579"/>
      <c r="F141" s="579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0">
        <f t="shared" si="21"/>
        <v>425672790.43000013</v>
      </c>
      <c r="T141" s="413">
        <f t="shared" si="22"/>
        <v>9.1284778770911415E-2</v>
      </c>
    </row>
    <row r="142" spans="1:20">
      <c r="A142" s="116" t="str">
        <f t="shared" si="18"/>
        <v>424p</v>
      </c>
      <c r="B142" s="578" t="s">
        <v>274</v>
      </c>
      <c r="C142" s="579"/>
      <c r="D142" s="579"/>
      <c r="E142" s="579"/>
      <c r="F142" s="579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0">
        <f t="shared" si="21"/>
        <v>19000099.999999996</v>
      </c>
      <c r="T142" s="413">
        <f t="shared" si="22"/>
        <v>4.0745379176647433E-3</v>
      </c>
    </row>
    <row r="143" spans="1:20">
      <c r="A143" s="116" t="str">
        <f t="shared" si="18"/>
        <v>425p</v>
      </c>
      <c r="B143" s="578" t="s">
        <v>278</v>
      </c>
      <c r="C143" s="579"/>
      <c r="D143" s="579"/>
      <c r="E143" s="579"/>
      <c r="F143" s="579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0">
        <f t="shared" si="21"/>
        <v>14175000.000000002</v>
      </c>
      <c r="T143" s="413">
        <f t="shared" si="22"/>
        <v>3.0398037369749509E-3</v>
      </c>
    </row>
    <row r="144" spans="1:20">
      <c r="A144" s="116" t="str">
        <f t="shared" si="18"/>
        <v>43p</v>
      </c>
      <c r="B144" s="576" t="s">
        <v>286</v>
      </c>
      <c r="C144" s="577"/>
      <c r="D144" s="577"/>
      <c r="E144" s="577"/>
      <c r="F144" s="577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1">
        <f>+SUM(G144:R144)</f>
        <v>206684238.69</v>
      </c>
      <c r="T144" s="414">
        <f t="shared" si="22"/>
        <v>4.4323070274686745E-2</v>
      </c>
    </row>
    <row r="145" spans="1:20">
      <c r="A145" s="116" t="str">
        <f t="shared" si="18"/>
        <v>44p</v>
      </c>
      <c r="B145" s="576" t="s">
        <v>812</v>
      </c>
      <c r="C145" s="577"/>
      <c r="D145" s="577"/>
      <c r="E145" s="577"/>
      <c r="F145" s="577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1">
        <f t="shared" si="21"/>
        <v>289074999.99666673</v>
      </c>
      <c r="T145" s="414">
        <f t="shared" si="22"/>
        <v>6.1991623651209964E-2</v>
      </c>
    </row>
    <row r="146" spans="1:20">
      <c r="A146" s="116" t="str">
        <f t="shared" si="18"/>
        <v>451p</v>
      </c>
      <c r="B146" s="568" t="s">
        <v>113</v>
      </c>
      <c r="C146" s="569"/>
      <c r="D146" s="569"/>
      <c r="E146" s="569"/>
      <c r="F146" s="569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0">
        <f t="shared" si="21"/>
        <v>2875000.9999999995</v>
      </c>
      <c r="T146" s="413">
        <f t="shared" si="22"/>
        <v>6.1653889125973314E-4</v>
      </c>
    </row>
    <row r="147" spans="1:20">
      <c r="A147" s="116" t="str">
        <f t="shared" si="18"/>
        <v>47p</v>
      </c>
      <c r="B147" s="568" t="s">
        <v>366</v>
      </c>
      <c r="C147" s="569"/>
      <c r="D147" s="569"/>
      <c r="E147" s="569"/>
      <c r="F147" s="569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0">
        <f t="shared" si="21"/>
        <v>29645488.240000002</v>
      </c>
      <c r="T147" s="413">
        <f t="shared" si="22"/>
        <v>6.3574226410157992E-3</v>
      </c>
    </row>
    <row r="148" spans="1:20">
      <c r="A148" s="116" t="str">
        <f t="shared" si="18"/>
        <v>462p</v>
      </c>
      <c r="B148" s="568" t="s">
        <v>359</v>
      </c>
      <c r="C148" s="569"/>
      <c r="D148" s="569"/>
      <c r="E148" s="569"/>
      <c r="F148" s="569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0">
        <f t="shared" si="21"/>
        <v>0</v>
      </c>
      <c r="T148" s="413">
        <f t="shared" si="22"/>
        <v>0</v>
      </c>
    </row>
    <row r="149" spans="1:20" ht="13.5" thickBot="1">
      <c r="A149" s="116"/>
      <c r="B149" s="366" t="s">
        <v>686</v>
      </c>
      <c r="C149" s="367"/>
      <c r="D149" s="367"/>
      <c r="E149" s="367"/>
      <c r="F149" s="367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1">
        <f>SUM(G149:R149)</f>
        <v>0</v>
      </c>
      <c r="T149" s="376">
        <f t="shared" si="22"/>
        <v>0</v>
      </c>
    </row>
    <row r="150" spans="1:20" ht="13.5" thickBot="1">
      <c r="A150" s="117" t="str">
        <f>+CONCATENATE(A55,"p")</f>
        <v>1000p</v>
      </c>
      <c r="B150" s="570" t="s">
        <v>545</v>
      </c>
      <c r="C150" s="571"/>
      <c r="D150" s="571"/>
      <c r="E150" s="571"/>
      <c r="F150" s="571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6">
        <f t="shared" si="21"/>
        <v>-142839853.56245428</v>
      </c>
      <c r="T150" s="419">
        <f t="shared" si="22"/>
        <v>-3.0631754543076064E-2</v>
      </c>
    </row>
    <row r="151" spans="1:20" ht="13.5" thickBot="1">
      <c r="A151" s="117" t="str">
        <f>+CONCATENATE(A57,"p")</f>
        <v>1001p</v>
      </c>
      <c r="B151" s="572" t="s">
        <v>813</v>
      </c>
      <c r="C151" s="573"/>
      <c r="D151" s="573"/>
      <c r="E151" s="573"/>
      <c r="F151" s="573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6">
        <f t="shared" si="21"/>
        <v>-55397153.562454268</v>
      </c>
      <c r="T151" s="419">
        <f t="shared" si="22"/>
        <v>-1.1879821828354403E-2</v>
      </c>
    </row>
    <row r="152" spans="1:20">
      <c r="A152" s="117" t="str">
        <f>+CONCATENATE(A58,"p")</f>
        <v>46p</v>
      </c>
      <c r="B152" s="574" t="s">
        <v>352</v>
      </c>
      <c r="C152" s="575"/>
      <c r="D152" s="575"/>
      <c r="E152" s="575"/>
      <c r="F152" s="575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7">
        <f t="shared" si="21"/>
        <v>542432774.80999994</v>
      </c>
      <c r="T152" s="420">
        <f t="shared" si="22"/>
        <v>0.11632375138801619</v>
      </c>
    </row>
    <row r="153" spans="1:20">
      <c r="A153" s="117" t="str">
        <f>+CONCATENATE(A59,"p")</f>
        <v>4611p</v>
      </c>
      <c r="B153" s="566" t="s">
        <v>355</v>
      </c>
      <c r="C153" s="567"/>
      <c r="D153" s="567"/>
      <c r="E153" s="567"/>
      <c r="F153" s="567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5">
        <f t="shared" si="21"/>
        <v>50688279.809999995</v>
      </c>
      <c r="T153" s="418">
        <f t="shared" si="22"/>
        <v>1.0870012161359429E-2</v>
      </c>
    </row>
    <row r="154" spans="1:20">
      <c r="A154" s="117" t="str">
        <f>+CONCATENATE(A60,"p")</f>
        <v>4612p</v>
      </c>
      <c r="B154" s="568" t="s">
        <v>357</v>
      </c>
      <c r="C154" s="569"/>
      <c r="D154" s="569"/>
      <c r="E154" s="569"/>
      <c r="F154" s="569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5">
        <f t="shared" si="21"/>
        <v>461500000</v>
      </c>
      <c r="T154" s="418">
        <f t="shared" si="22"/>
        <v>9.8967860642958705E-2</v>
      </c>
    </row>
    <row r="155" spans="1:20">
      <c r="A155" s="117" t="str">
        <f>+CONCATENATE(A53,"p")</f>
        <v>4630p</v>
      </c>
      <c r="B155" s="568" t="s">
        <v>365</v>
      </c>
      <c r="C155" s="569"/>
      <c r="D155" s="569"/>
      <c r="E155" s="569"/>
      <c r="F155" s="569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5">
        <f t="shared" si="21"/>
        <v>30244495.000000015</v>
      </c>
      <c r="T155" s="418">
        <f t="shared" si="22"/>
        <v>6.4858785836980773E-3</v>
      </c>
    </row>
    <row r="156" spans="1:20" ht="13.5" thickBot="1">
      <c r="A156" s="117"/>
      <c r="B156" s="366" t="s">
        <v>770</v>
      </c>
      <c r="C156" s="367"/>
      <c r="D156" s="367"/>
      <c r="E156" s="367"/>
      <c r="F156" s="367"/>
      <c r="G156" s="338">
        <v>0</v>
      </c>
      <c r="H156" s="338">
        <v>0</v>
      </c>
      <c r="I156" s="338">
        <v>0</v>
      </c>
      <c r="J156" s="338">
        <v>0</v>
      </c>
      <c r="K156" s="338">
        <v>70000000</v>
      </c>
      <c r="L156" s="338">
        <v>0</v>
      </c>
      <c r="M156" s="338">
        <v>0</v>
      </c>
      <c r="N156" s="338">
        <v>0</v>
      </c>
      <c r="O156" s="338">
        <v>0</v>
      </c>
      <c r="P156" s="338">
        <v>0</v>
      </c>
      <c r="Q156" s="338">
        <v>0</v>
      </c>
      <c r="R156" s="338">
        <v>0</v>
      </c>
      <c r="S156" s="405">
        <f t="shared" si="21"/>
        <v>70000000</v>
      </c>
      <c r="T156" s="418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64" t="s">
        <v>543</v>
      </c>
      <c r="C157" s="565"/>
      <c r="D157" s="565"/>
      <c r="E157" s="565"/>
      <c r="F157" s="565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8">
        <f t="shared" si="21"/>
        <v>-755272628.37245417</v>
      </c>
      <c r="T157" s="421">
        <f t="shared" si="22"/>
        <v>-0.16196688240998089</v>
      </c>
    </row>
    <row r="158" spans="1:20" ht="13.5" thickBot="1">
      <c r="A158" s="117" t="str">
        <f t="shared" si="31"/>
        <v>1003p</v>
      </c>
      <c r="B158" s="562" t="s">
        <v>544</v>
      </c>
      <c r="C158" s="563"/>
      <c r="D158" s="563"/>
      <c r="E158" s="563"/>
      <c r="F158" s="563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09">
        <f t="shared" si="21"/>
        <v>755272628.37245417</v>
      </c>
      <c r="T158" s="422">
        <f t="shared" si="22"/>
        <v>0.16196688240998089</v>
      </c>
    </row>
    <row r="159" spans="1:20">
      <c r="A159" s="117" t="str">
        <f t="shared" si="31"/>
        <v>7511p</v>
      </c>
      <c r="B159" s="566" t="s">
        <v>114</v>
      </c>
      <c r="C159" s="567"/>
      <c r="D159" s="567"/>
      <c r="E159" s="567"/>
      <c r="F159" s="567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5">
        <f t="shared" si="21"/>
        <v>0</v>
      </c>
      <c r="T159" s="418">
        <f t="shared" si="22"/>
        <v>0</v>
      </c>
    </row>
    <row r="160" spans="1:20">
      <c r="A160" s="117" t="str">
        <f t="shared" si="31"/>
        <v>7512p</v>
      </c>
      <c r="B160" s="568" t="s">
        <v>116</v>
      </c>
      <c r="C160" s="569"/>
      <c r="D160" s="569"/>
      <c r="E160" s="569"/>
      <c r="F160" s="569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5">
        <f t="shared" si="21"/>
        <v>739264348.56578732</v>
      </c>
      <c r="T160" s="418">
        <f t="shared" si="22"/>
        <v>0.15853393505344851</v>
      </c>
    </row>
    <row r="161" spans="1:20">
      <c r="A161" s="117" t="str">
        <f t="shared" si="31"/>
        <v>72p</v>
      </c>
      <c r="B161" s="568" t="s">
        <v>93</v>
      </c>
      <c r="C161" s="569"/>
      <c r="D161" s="569"/>
      <c r="E161" s="569"/>
      <c r="F161" s="569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5">
        <f t="shared" si="21"/>
        <v>16000000</v>
      </c>
      <c r="T161" s="418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0">
        <f t="shared" si="21"/>
        <v>8279.8066668957472</v>
      </c>
      <c r="T162" s="423">
        <f t="shared" si="22"/>
        <v>1.77558992927406E-6</v>
      </c>
    </row>
  </sheetData>
  <customSheetViews>
    <customSheetView guid="{59E4E612-301A-4B15-B14A-FF0442744080}" state="hidden">
      <pane ySplit="1" topLeftCell="A29" activePane="bottomLeft" state="frozen"/>
      <selection pane="bottomLeft" activeCell="I23" sqref="I23"/>
      <pageMargins left="0" right="0" top="0" bottom="0" header="0.31496062992126" footer="0.31496062992126"/>
      <pageSetup paperSize="9" scale="75" orientation="landscape" r:id="rId1"/>
    </customSheetView>
  </customSheetViews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5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6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173" ySplit="7" topLeftCell="FZ51" activePane="bottomRight" state="frozen"/>
      <selection pane="topRight" activeCell="FR1" sqref="FR1"/>
      <selection pane="bottomLeft" activeCell="A8" sqref="A8"/>
      <selection pane="bottomRight" activeCell="GA58" sqref="GA58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1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29" t="s">
        <v>555</v>
      </c>
      <c r="F6" s="626">
        <v>2006</v>
      </c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8"/>
      <c r="R6" s="626">
        <v>2007</v>
      </c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8"/>
      <c r="AD6" s="626">
        <v>2008</v>
      </c>
      <c r="AE6" s="627"/>
      <c r="AF6" s="627"/>
      <c r="AG6" s="627"/>
      <c r="AH6" s="627"/>
      <c r="AI6" s="627"/>
      <c r="AJ6" s="627"/>
      <c r="AK6" s="627"/>
      <c r="AL6" s="627"/>
      <c r="AM6" s="627"/>
      <c r="AN6" s="627"/>
      <c r="AO6" s="628"/>
      <c r="AP6" s="626">
        <v>2009</v>
      </c>
      <c r="AQ6" s="627"/>
      <c r="AR6" s="627"/>
      <c r="AS6" s="627"/>
      <c r="AT6" s="627"/>
      <c r="AU6" s="627"/>
      <c r="AV6" s="627"/>
      <c r="AW6" s="627"/>
      <c r="AX6" s="627"/>
      <c r="AY6" s="627"/>
      <c r="AZ6" s="627"/>
      <c r="BA6" s="628"/>
      <c r="BB6" s="626">
        <v>2010</v>
      </c>
      <c r="BC6" s="627"/>
      <c r="BD6" s="627"/>
      <c r="BE6" s="627"/>
      <c r="BF6" s="627"/>
      <c r="BG6" s="627"/>
      <c r="BH6" s="627"/>
      <c r="BI6" s="627"/>
      <c r="BJ6" s="627"/>
      <c r="BK6" s="627"/>
      <c r="BL6" s="627"/>
      <c r="BM6" s="628"/>
      <c r="BN6" s="626">
        <v>2011</v>
      </c>
      <c r="BO6" s="627"/>
      <c r="BP6" s="627"/>
      <c r="BQ6" s="627"/>
      <c r="BR6" s="627"/>
      <c r="BS6" s="627"/>
      <c r="BT6" s="627"/>
      <c r="BU6" s="627"/>
      <c r="BV6" s="627"/>
      <c r="BW6" s="627"/>
      <c r="BX6" s="627"/>
      <c r="BY6" s="628"/>
      <c r="BZ6" s="627">
        <v>2012</v>
      </c>
      <c r="CA6" s="627"/>
      <c r="CB6" s="627"/>
      <c r="CC6" s="627"/>
      <c r="CD6" s="627"/>
      <c r="CE6" s="627"/>
      <c r="CF6" s="627"/>
      <c r="CG6" s="627"/>
      <c r="CH6" s="627"/>
      <c r="CI6" s="627"/>
      <c r="CJ6" s="627"/>
      <c r="CK6" s="627"/>
      <c r="CL6" s="626">
        <v>2013</v>
      </c>
      <c r="CM6" s="627"/>
      <c r="CN6" s="627"/>
      <c r="CO6" s="627"/>
      <c r="CP6" s="627"/>
      <c r="CQ6" s="627"/>
      <c r="CR6" s="627"/>
      <c r="CS6" s="627"/>
      <c r="CT6" s="627"/>
      <c r="CU6" s="627"/>
      <c r="CV6" s="627"/>
      <c r="CW6" s="628"/>
      <c r="CX6" s="626">
        <v>2014</v>
      </c>
      <c r="CY6" s="627"/>
      <c r="CZ6" s="627"/>
      <c r="DA6" s="627"/>
      <c r="DB6" s="627"/>
      <c r="DC6" s="627"/>
      <c r="DD6" s="627"/>
      <c r="DE6" s="627"/>
      <c r="DF6" s="627"/>
      <c r="DG6" s="627"/>
      <c r="DH6" s="627"/>
      <c r="DI6" s="628"/>
      <c r="DJ6" s="626">
        <v>2015</v>
      </c>
      <c r="DK6" s="627"/>
      <c r="DL6" s="627"/>
      <c r="DM6" s="627"/>
      <c r="DN6" s="627"/>
      <c r="DO6" s="627"/>
      <c r="DP6" s="627"/>
      <c r="DQ6" s="627"/>
      <c r="DR6" s="627"/>
      <c r="DS6" s="627"/>
      <c r="DT6" s="627"/>
      <c r="DU6" s="628"/>
    </row>
    <row r="7" spans="1:321">
      <c r="E7" s="629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6" t="s">
        <v>742</v>
      </c>
      <c r="EU7" s="316" t="s">
        <v>743</v>
      </c>
      <c r="EV7" s="316" t="s">
        <v>744</v>
      </c>
      <c r="EW7" s="316" t="s">
        <v>745</v>
      </c>
      <c r="EX7" s="316" t="s">
        <v>746</v>
      </c>
      <c r="EY7" s="316" t="s">
        <v>747</v>
      </c>
      <c r="EZ7" s="316" t="s">
        <v>748</v>
      </c>
      <c r="FA7" s="316" t="s">
        <v>749</v>
      </c>
      <c r="FB7" s="316" t="s">
        <v>750</v>
      </c>
      <c r="FC7" s="316" t="s">
        <v>751</v>
      </c>
      <c r="FD7" s="316" t="s">
        <v>752</v>
      </c>
      <c r="FE7" s="316" t="s">
        <v>753</v>
      </c>
      <c r="FF7" s="316" t="s">
        <v>758</v>
      </c>
      <c r="FG7" s="316" t="s">
        <v>759</v>
      </c>
      <c r="FH7" s="316" t="s">
        <v>760</v>
      </c>
      <c r="FI7" s="316" t="s">
        <v>761</v>
      </c>
      <c r="FJ7" s="316" t="s">
        <v>762</v>
      </c>
      <c r="FK7" s="316" t="s">
        <v>763</v>
      </c>
      <c r="FL7" s="316" t="s">
        <v>764</v>
      </c>
      <c r="FM7" s="316" t="s">
        <v>765</v>
      </c>
      <c r="FN7" s="316" t="s">
        <v>766</v>
      </c>
      <c r="FO7" s="316" t="s">
        <v>767</v>
      </c>
      <c r="FP7" s="316" t="s">
        <v>768</v>
      </c>
      <c r="FQ7" s="316" t="s">
        <v>769</v>
      </c>
      <c r="FR7" s="316" t="s">
        <v>777</v>
      </c>
      <c r="FS7" s="316" t="s">
        <v>778</v>
      </c>
      <c r="FT7" s="316" t="s">
        <v>779</v>
      </c>
      <c r="FU7" s="316" t="s">
        <v>780</v>
      </c>
      <c r="FV7" s="316" t="s">
        <v>781</v>
      </c>
      <c r="FW7" s="316" t="s">
        <v>782</v>
      </c>
      <c r="FX7" s="316" t="s">
        <v>783</v>
      </c>
      <c r="FY7" s="316" t="s">
        <v>784</v>
      </c>
      <c r="FZ7" s="316" t="s">
        <v>785</v>
      </c>
      <c r="GA7" s="316" t="s">
        <v>786</v>
      </c>
      <c r="GB7" s="316" t="s">
        <v>787</v>
      </c>
      <c r="GC7" s="316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1">
        <v>79855347.849999994</v>
      </c>
      <c r="EU9" s="351">
        <v>106190042</v>
      </c>
      <c r="EV9" s="351">
        <v>137417391.37</v>
      </c>
      <c r="EW9" s="351">
        <v>147833434.00999999</v>
      </c>
      <c r="EX9" s="351">
        <v>135934065.38</v>
      </c>
      <c r="EY9" s="334"/>
      <c r="EZ9" s="334"/>
      <c r="FA9" s="334"/>
      <c r="FB9" s="334"/>
      <c r="FC9" s="334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2">
        <v>60295851.509999998</v>
      </c>
      <c r="EU10" s="352">
        <v>64797597.329999998</v>
      </c>
      <c r="EV10" s="352">
        <v>89261850.609999999</v>
      </c>
      <c r="EW10" s="352">
        <v>97799793.079999998</v>
      </c>
      <c r="EX10" s="352">
        <v>90553351.069999993</v>
      </c>
      <c r="EY10" s="352">
        <v>87503254.430000007</v>
      </c>
      <c r="EZ10" s="352">
        <v>105015545.47</v>
      </c>
      <c r="FA10" s="352">
        <v>107951400.73999999</v>
      </c>
      <c r="FB10" s="352">
        <v>102839740.52</v>
      </c>
      <c r="FC10" s="352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2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2">
        <f t="shared" ref="FR10:GC10" si="2">SUM(FR11:FR17)</f>
        <v>73320205.209999993</v>
      </c>
      <c r="FS10" s="352">
        <f t="shared" si="2"/>
        <v>69683087.399999991</v>
      </c>
      <c r="FT10" s="352">
        <f t="shared" si="2"/>
        <v>105613736.66000001</v>
      </c>
      <c r="FU10" s="352">
        <f t="shared" si="2"/>
        <v>83521974.920000002</v>
      </c>
      <c r="FV10" s="352">
        <f t="shared" si="2"/>
        <v>69752758.120000005</v>
      </c>
      <c r="FW10" s="352">
        <f t="shared" si="2"/>
        <v>79960950.920000002</v>
      </c>
      <c r="FX10" s="352">
        <f t="shared" si="2"/>
        <v>80621752.299999997</v>
      </c>
      <c r="FY10" s="352">
        <f t="shared" si="2"/>
        <v>79984790.799999997</v>
      </c>
      <c r="FZ10" s="304">
        <f t="shared" si="2"/>
        <v>80764606.50999999</v>
      </c>
      <c r="GA10" s="352">
        <f t="shared" si="2"/>
        <v>81734836.820000008</v>
      </c>
      <c r="GB10" s="352">
        <f t="shared" si="2"/>
        <v>72792310.129999995</v>
      </c>
      <c r="GC10" s="352">
        <f t="shared" si="2"/>
        <v>88352824.489999995</v>
      </c>
      <c r="GD10" s="304"/>
      <c r="GE10" s="352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1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1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1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1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1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1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1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1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1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1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1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1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1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1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2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2">
        <f t="shared" ref="FR18:GC18" si="3">SUM(FR19:FR22)</f>
        <v>15749286.220000001</v>
      </c>
      <c r="FS18" s="352">
        <f t="shared" si="3"/>
        <v>42574769.890000001</v>
      </c>
      <c r="FT18" s="352">
        <f t="shared" si="3"/>
        <v>44888756.57</v>
      </c>
      <c r="FU18" s="352">
        <f t="shared" si="3"/>
        <v>33882602.5</v>
      </c>
      <c r="FV18" s="352">
        <f t="shared" si="3"/>
        <v>40418289.450000003</v>
      </c>
      <c r="FW18" s="352">
        <f t="shared" si="3"/>
        <v>42892419.090000004</v>
      </c>
      <c r="FX18" s="352">
        <f t="shared" si="3"/>
        <v>45009811.700000003</v>
      </c>
      <c r="FY18" s="352">
        <f t="shared" si="3"/>
        <v>51984938.960000001</v>
      </c>
      <c r="FZ18" s="304">
        <f t="shared" si="3"/>
        <v>42439853.439999998</v>
      </c>
      <c r="GA18" s="352">
        <f t="shared" si="3"/>
        <v>46766265.019999996</v>
      </c>
      <c r="GB18" s="352">
        <f t="shared" si="3"/>
        <v>43869251.589999996</v>
      </c>
      <c r="GC18" s="352">
        <f t="shared" si="3"/>
        <v>80544326.960000008</v>
      </c>
      <c r="GD18" s="304"/>
      <c r="GE18" s="352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1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1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1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1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1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1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1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1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2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2">
        <f t="shared" ref="FR23:GC23" si="5">SUM(FR24:FR27)</f>
        <v>711811.51</v>
      </c>
      <c r="FS23" s="352">
        <f t="shared" si="5"/>
        <v>845756.92</v>
      </c>
      <c r="FT23" s="352">
        <f t="shared" si="5"/>
        <v>815406.19</v>
      </c>
      <c r="FU23" s="352">
        <f t="shared" si="5"/>
        <v>318936.3</v>
      </c>
      <c r="FV23" s="352">
        <f t="shared" si="5"/>
        <v>469045.42</v>
      </c>
      <c r="FW23" s="352">
        <f t="shared" si="5"/>
        <v>1094710.17</v>
      </c>
      <c r="FX23" s="352">
        <f t="shared" si="5"/>
        <v>962946.75000000012</v>
      </c>
      <c r="FY23" s="352">
        <f t="shared" si="5"/>
        <v>1016910.3699999999</v>
      </c>
      <c r="FZ23" s="304">
        <f t="shared" si="5"/>
        <v>1210136.0899999999</v>
      </c>
      <c r="GA23" s="352">
        <f t="shared" si="5"/>
        <v>1020237.03</v>
      </c>
      <c r="GB23" s="352">
        <f t="shared" si="5"/>
        <v>955177.11</v>
      </c>
      <c r="GC23" s="352">
        <f t="shared" si="5"/>
        <v>1215368.99</v>
      </c>
      <c r="GD23" s="304"/>
      <c r="GE23" s="352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1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1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1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1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1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1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1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1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2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2">
        <f t="shared" ref="FR28:GC28" si="7">SUM(FR29:FR34)</f>
        <v>2226726.9299999997</v>
      </c>
      <c r="FS28" s="352">
        <f t="shared" si="7"/>
        <v>2200614.79</v>
      </c>
      <c r="FT28" s="352">
        <f t="shared" si="7"/>
        <v>1317967.9100000001</v>
      </c>
      <c r="FU28" s="352">
        <f t="shared" si="7"/>
        <v>1597851.3599999999</v>
      </c>
      <c r="FV28" s="352">
        <f t="shared" si="7"/>
        <v>1673853.74</v>
      </c>
      <c r="FW28" s="352">
        <f t="shared" si="7"/>
        <v>2752546.6799999997</v>
      </c>
      <c r="FX28" s="352">
        <f t="shared" si="7"/>
        <v>2600399.9099999997</v>
      </c>
      <c r="FY28" s="352">
        <f t="shared" si="7"/>
        <v>2411610.62</v>
      </c>
      <c r="FZ28" s="304">
        <f t="shared" si="7"/>
        <v>2242559.5</v>
      </c>
      <c r="GA28" s="352">
        <f t="shared" si="7"/>
        <v>3223177.49</v>
      </c>
      <c r="GB28" s="352">
        <f t="shared" si="7"/>
        <v>2393815.35</v>
      </c>
      <c r="GC28" s="352">
        <f t="shared" si="7"/>
        <v>3177660.7800000003</v>
      </c>
      <c r="GD28" s="304"/>
      <c r="GE28" s="352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1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1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1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1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1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1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1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1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1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1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1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1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2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2">
        <f t="shared" ref="FR35:GC35" si="9">SUM(FR36:FR39)</f>
        <v>1483663.6700000002</v>
      </c>
      <c r="FS35" s="352">
        <f t="shared" si="9"/>
        <v>2100277.88</v>
      </c>
      <c r="FT35" s="352">
        <f t="shared" si="9"/>
        <v>4243202.3499999996</v>
      </c>
      <c r="FU35" s="352">
        <f t="shared" si="9"/>
        <v>2093585.81</v>
      </c>
      <c r="FV35" s="352">
        <f t="shared" si="9"/>
        <v>1279434.9099999999</v>
      </c>
      <c r="FW35" s="352">
        <f t="shared" si="9"/>
        <v>1931121.2500000002</v>
      </c>
      <c r="FX35" s="352">
        <f t="shared" si="9"/>
        <v>2459062.7400000002</v>
      </c>
      <c r="FY35" s="352">
        <f t="shared" si="9"/>
        <v>3216715.11</v>
      </c>
      <c r="FZ35" s="304">
        <f t="shared" si="9"/>
        <v>11550447.479999999</v>
      </c>
      <c r="GA35" s="352">
        <f t="shared" si="9"/>
        <v>2887676.87</v>
      </c>
      <c r="GB35" s="352">
        <f t="shared" si="9"/>
        <v>1756272.85</v>
      </c>
      <c r="GC35" s="352">
        <f t="shared" si="9"/>
        <v>2614148.87</v>
      </c>
      <c r="GD35" s="304"/>
      <c r="GE35" s="352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1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1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1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1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1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1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1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1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2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2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2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4"/>
      <c r="EU41" s="334"/>
      <c r="EV41" s="334"/>
      <c r="EW41" s="334"/>
      <c r="EX41" s="334"/>
      <c r="EY41" s="334"/>
      <c r="EZ41" s="334"/>
      <c r="FA41" s="334"/>
      <c r="FB41" s="334"/>
      <c r="FC41" s="334"/>
      <c r="FD41" s="302"/>
      <c r="FE41" s="302"/>
      <c r="FF41" s="302"/>
      <c r="FG41" s="302"/>
      <c r="FH41" s="302"/>
      <c r="FI41" s="302"/>
      <c r="FJ41" s="302"/>
      <c r="FK41" s="302"/>
      <c r="FL41" s="351"/>
      <c r="FM41" s="302"/>
      <c r="FN41" s="302"/>
      <c r="FO41" s="302"/>
      <c r="FP41" s="302"/>
      <c r="FQ41" s="302"/>
      <c r="FR41" s="302"/>
      <c r="FS41" s="351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4"/>
      <c r="EU42" s="334"/>
      <c r="EV42" s="334"/>
      <c r="EW42" s="334"/>
      <c r="EX42" s="334"/>
      <c r="EY42" s="334"/>
      <c r="EZ42" s="334"/>
      <c r="FA42" s="334"/>
      <c r="FB42" s="334"/>
      <c r="FC42" s="334"/>
      <c r="FD42" s="302"/>
      <c r="FE42" s="302"/>
      <c r="FF42" s="302"/>
      <c r="FG42" s="302"/>
      <c r="FH42" s="302"/>
      <c r="FI42" s="302"/>
      <c r="FJ42" s="302"/>
      <c r="FK42" s="302"/>
      <c r="FL42" s="351"/>
      <c r="FM42" s="302"/>
      <c r="FN42" s="302"/>
      <c r="FO42" s="302"/>
      <c r="FP42" s="302"/>
      <c r="FQ42" s="302"/>
      <c r="FR42" s="302"/>
      <c r="FS42" s="351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2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2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2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4"/>
      <c r="EU44" s="334"/>
      <c r="EV44" s="334"/>
      <c r="EW44" s="334"/>
      <c r="EX44" s="334"/>
      <c r="EY44" s="334"/>
      <c r="EZ44" s="334"/>
      <c r="FA44" s="334"/>
      <c r="FB44" s="334"/>
      <c r="FC44" s="334"/>
      <c r="FD44" s="302"/>
      <c r="FE44" s="302"/>
      <c r="FF44" s="302"/>
      <c r="FG44" s="302"/>
      <c r="FH44" s="302"/>
      <c r="FI44" s="302"/>
      <c r="FJ44" s="302"/>
      <c r="FK44" s="302"/>
      <c r="FL44" s="351"/>
      <c r="FM44" s="302"/>
      <c r="FN44" s="302"/>
      <c r="FO44" s="302"/>
      <c r="FP44" s="302"/>
      <c r="FQ44" s="302"/>
      <c r="FR44" s="302"/>
      <c r="FS44" s="351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4"/>
      <c r="EU45" s="334"/>
      <c r="EV45" s="334"/>
      <c r="EW45" s="334"/>
      <c r="EX45" s="334"/>
      <c r="EY45" s="334"/>
      <c r="EZ45" s="334"/>
      <c r="FA45" s="334"/>
      <c r="FB45" s="334"/>
      <c r="FC45" s="334"/>
      <c r="FD45" s="302"/>
      <c r="FE45" s="302"/>
      <c r="FF45" s="302"/>
      <c r="FG45" s="302"/>
      <c r="FH45" s="302"/>
      <c r="FI45" s="302"/>
      <c r="FJ45" s="302"/>
      <c r="FK45" s="302"/>
      <c r="FL45" s="351"/>
      <c r="FM45" s="302"/>
      <c r="FN45" s="302"/>
      <c r="FO45" s="302"/>
      <c r="FP45" s="302"/>
      <c r="FQ45" s="302"/>
      <c r="FR45" s="302"/>
      <c r="FS45" s="351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2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2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2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4"/>
      <c r="EU47" s="334"/>
      <c r="EV47" s="334"/>
      <c r="EW47" s="334"/>
      <c r="EX47" s="334"/>
      <c r="EY47" s="334"/>
      <c r="EZ47" s="334"/>
      <c r="FA47" s="334"/>
      <c r="FB47" s="334"/>
      <c r="FC47" s="334"/>
      <c r="FD47" s="302"/>
      <c r="FE47" s="302"/>
      <c r="FF47" s="302"/>
      <c r="FG47" s="302"/>
      <c r="FH47" s="302"/>
      <c r="FI47" s="302"/>
      <c r="FJ47" s="302"/>
      <c r="FK47" s="302"/>
      <c r="FL47" s="351"/>
      <c r="FM47" s="302"/>
      <c r="FN47" s="302"/>
      <c r="FO47" s="302"/>
      <c r="FP47" s="302"/>
      <c r="FQ47" s="302"/>
      <c r="FR47" s="302"/>
      <c r="FS47" s="351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4"/>
      <c r="EU48" s="334"/>
      <c r="EV48" s="334"/>
      <c r="EW48" s="334"/>
      <c r="EX48" s="334"/>
      <c r="EY48" s="334"/>
      <c r="EZ48" s="334"/>
      <c r="FA48" s="334"/>
      <c r="FB48" s="334"/>
      <c r="FC48" s="334"/>
      <c r="FD48" s="302"/>
      <c r="FE48" s="302"/>
      <c r="FF48" s="302"/>
      <c r="FG48" s="302"/>
      <c r="FH48" s="302"/>
      <c r="FI48" s="302"/>
      <c r="FJ48" s="302"/>
      <c r="FK48" s="302"/>
      <c r="FL48" s="351"/>
      <c r="FM48" s="302"/>
      <c r="FN48" s="302"/>
      <c r="FO48" s="302"/>
      <c r="FP48" s="302"/>
      <c r="FQ48" s="302"/>
      <c r="FR48" s="302"/>
      <c r="FS48" s="351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2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2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2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4"/>
      <c r="EU50" s="334"/>
      <c r="EV50" s="334"/>
      <c r="EW50" s="334"/>
      <c r="EX50" s="334"/>
      <c r="EY50" s="334"/>
      <c r="EZ50" s="334"/>
      <c r="FA50" s="334"/>
      <c r="FB50" s="334"/>
      <c r="FC50" s="334"/>
      <c r="FD50" s="302"/>
      <c r="FE50" s="302"/>
      <c r="FF50" s="302"/>
      <c r="FG50" s="302"/>
      <c r="FH50" s="302"/>
      <c r="FI50" s="302"/>
      <c r="FJ50" s="302"/>
      <c r="FK50" s="302"/>
      <c r="FL50" s="351"/>
      <c r="FM50" s="302"/>
      <c r="FN50" s="302"/>
      <c r="FO50" s="302"/>
      <c r="FP50" s="302"/>
      <c r="FQ50" s="302"/>
      <c r="FR50" s="302"/>
      <c r="FS50" s="351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1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1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1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1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1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1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1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1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1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1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1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1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1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0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1">
        <v>3987318.08</v>
      </c>
      <c r="FR61" s="351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4"/>
      <c r="EU62" s="334"/>
      <c r="EV62" s="334"/>
      <c r="EW62" s="334"/>
      <c r="EX62" s="334"/>
      <c r="EY62" s="334"/>
      <c r="EZ62" s="334"/>
      <c r="FA62" s="334"/>
      <c r="FB62" s="334"/>
      <c r="FC62" s="334"/>
      <c r="FD62" s="302"/>
      <c r="FE62" s="302"/>
      <c r="FF62" s="302"/>
      <c r="FG62" s="302"/>
      <c r="FH62" s="302"/>
      <c r="FI62" s="302"/>
      <c r="FJ62" s="302"/>
      <c r="FK62" s="302"/>
      <c r="FL62" s="351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4"/>
      <c r="EU63" s="334"/>
      <c r="EV63" s="334"/>
      <c r="EW63" s="334"/>
      <c r="EX63" s="334"/>
      <c r="EY63" s="334"/>
      <c r="EZ63" s="334"/>
      <c r="FA63" s="334"/>
      <c r="FB63" s="334"/>
      <c r="FC63" s="334"/>
      <c r="FD63" s="302"/>
      <c r="FE63" s="302"/>
      <c r="FF63" s="302"/>
      <c r="FG63" s="302"/>
      <c r="FH63" s="302"/>
      <c r="FI63" s="302"/>
      <c r="FJ63" s="302"/>
      <c r="FK63" s="302"/>
      <c r="FL63" s="351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4"/>
      <c r="EU64" s="334"/>
      <c r="EV64" s="334"/>
      <c r="EW64" s="334"/>
      <c r="EX64" s="334"/>
      <c r="EY64" s="334"/>
      <c r="EZ64" s="334"/>
      <c r="FA64" s="334"/>
      <c r="FB64" s="334"/>
      <c r="FC64" s="334"/>
      <c r="FD64" s="302"/>
      <c r="FE64" s="302"/>
      <c r="FF64" s="302"/>
      <c r="FG64" s="302"/>
      <c r="FH64" s="302"/>
      <c r="FI64" s="302"/>
      <c r="FJ64" s="302"/>
      <c r="FK64" s="302"/>
      <c r="FL64" s="351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4"/>
      <c r="EU65" s="334"/>
      <c r="EV65" s="334"/>
      <c r="EW65" s="334"/>
      <c r="EX65" s="334"/>
      <c r="EY65" s="334"/>
      <c r="EZ65" s="334"/>
      <c r="FA65" s="334"/>
      <c r="FB65" s="334"/>
      <c r="FC65" s="334"/>
      <c r="FD65" s="302"/>
      <c r="FE65" s="302"/>
      <c r="FF65" s="302"/>
      <c r="FG65" s="302"/>
      <c r="FH65" s="302"/>
      <c r="FI65" s="302"/>
      <c r="FJ65" s="302"/>
      <c r="FK65" s="302"/>
      <c r="FL65" s="351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4"/>
      <c r="EU66" s="334"/>
      <c r="EV66" s="334"/>
      <c r="EW66" s="334"/>
      <c r="EX66" s="334"/>
      <c r="EY66" s="334"/>
      <c r="EZ66" s="334"/>
      <c r="FA66" s="334"/>
      <c r="FB66" s="334"/>
      <c r="FC66" s="334"/>
      <c r="FD66" s="302"/>
      <c r="FE66" s="302"/>
      <c r="FF66" s="302"/>
      <c r="FG66" s="302"/>
      <c r="FH66" s="302"/>
      <c r="FI66" s="302"/>
      <c r="FJ66" s="302"/>
      <c r="FK66" s="302"/>
      <c r="FL66" s="351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4"/>
      <c r="EU67" s="334"/>
      <c r="EV67" s="334"/>
      <c r="EW67" s="334"/>
      <c r="EX67" s="334"/>
      <c r="EY67" s="334"/>
      <c r="EZ67" s="334"/>
      <c r="FA67" s="334"/>
      <c r="FB67" s="334"/>
      <c r="FC67" s="334"/>
      <c r="FD67" s="302"/>
      <c r="FE67" s="302"/>
      <c r="FF67" s="302"/>
      <c r="FG67" s="302"/>
      <c r="FH67" s="302"/>
      <c r="FI67" s="302"/>
      <c r="FJ67" s="302"/>
      <c r="FK67" s="302"/>
      <c r="FL67" s="351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4"/>
      <c r="EU68" s="334"/>
      <c r="EV68" s="334"/>
      <c r="EW68" s="334"/>
      <c r="EX68" s="334"/>
      <c r="EY68" s="334"/>
      <c r="EZ68" s="334"/>
      <c r="FA68" s="334"/>
      <c r="FB68" s="334"/>
      <c r="FC68" s="334"/>
      <c r="FD68" s="302"/>
      <c r="FE68" s="302"/>
      <c r="FF68" s="302"/>
      <c r="FG68" s="302"/>
      <c r="FH68" s="302"/>
      <c r="FI68" s="302"/>
      <c r="FJ68" s="302"/>
      <c r="FK68" s="302"/>
      <c r="FL68" s="351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0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1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1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1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1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1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1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0">
        <v>8566117.3599999994</v>
      </c>
      <c r="FM76" s="302">
        <v>3294436.46</v>
      </c>
      <c r="FN76" s="302">
        <v>5819051.2000000002</v>
      </c>
      <c r="FO76" s="302">
        <v>7942946.5700000003</v>
      </c>
      <c r="FP76" s="351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1"/>
      <c r="FM77" s="302"/>
      <c r="FN77" s="302"/>
      <c r="FO77" s="302"/>
      <c r="FP77" s="302"/>
      <c r="FQ77" s="351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1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1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1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1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1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1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1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1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0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1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1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1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0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1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1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0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1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1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1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0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1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1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1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0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1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1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1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1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1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1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1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1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1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1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0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1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4"/>
      <c r="EU114" s="334"/>
      <c r="EV114" s="334"/>
      <c r="EW114" s="334"/>
      <c r="EX114" s="334"/>
      <c r="EY114" s="334"/>
      <c r="EZ114" s="334"/>
      <c r="FA114" s="334"/>
      <c r="FB114" s="334"/>
      <c r="FC114" s="334"/>
      <c r="FD114" s="302"/>
      <c r="FE114" s="302"/>
      <c r="FF114" s="302"/>
      <c r="FG114" s="302"/>
      <c r="FH114" s="302"/>
      <c r="FI114" s="302"/>
      <c r="FJ114" s="302"/>
      <c r="FK114" s="302"/>
      <c r="FL114" s="351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4"/>
      <c r="EU115" s="334"/>
      <c r="EV115" s="334"/>
      <c r="EW115" s="334"/>
      <c r="EX115" s="334"/>
      <c r="EY115" s="334"/>
      <c r="EZ115" s="334"/>
      <c r="FA115" s="334"/>
      <c r="FB115" s="334"/>
      <c r="FC115" s="334"/>
      <c r="FD115" s="302"/>
      <c r="FE115" s="302"/>
      <c r="FF115" s="302"/>
      <c r="FG115" s="302"/>
      <c r="FH115" s="302"/>
      <c r="FI115" s="302"/>
      <c r="FJ115" s="302"/>
      <c r="FK115" s="302"/>
      <c r="FL115" s="351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4"/>
      <c r="EU116" s="334"/>
      <c r="EV116" s="334"/>
      <c r="EW116" s="334"/>
      <c r="EX116" s="334"/>
      <c r="EY116" s="334"/>
      <c r="EZ116" s="334"/>
      <c r="FA116" s="334"/>
      <c r="FB116" s="334"/>
      <c r="FC116" s="334"/>
      <c r="FD116" s="302"/>
      <c r="FE116" s="302"/>
      <c r="FF116" s="302"/>
      <c r="FG116" s="302"/>
      <c r="FH116" s="302"/>
      <c r="FI116" s="302"/>
      <c r="FJ116" s="302"/>
      <c r="FK116" s="302"/>
      <c r="FL116" s="351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4"/>
      <c r="EU117" s="334"/>
      <c r="EV117" s="334"/>
      <c r="EW117" s="334"/>
      <c r="EX117" s="334"/>
      <c r="EY117" s="334"/>
      <c r="EZ117" s="334"/>
      <c r="FA117" s="334"/>
      <c r="FB117" s="334"/>
      <c r="FC117" s="334"/>
      <c r="FD117" s="302"/>
      <c r="FE117" s="302"/>
      <c r="FF117" s="302"/>
      <c r="FG117" s="302"/>
      <c r="FH117" s="302"/>
      <c r="FI117" s="302"/>
      <c r="FJ117" s="302"/>
      <c r="FK117" s="302"/>
      <c r="FL117" s="351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4"/>
      <c r="EU118" s="334"/>
      <c r="EV118" s="334"/>
      <c r="EW118" s="334"/>
      <c r="EX118" s="334"/>
      <c r="EY118" s="334"/>
      <c r="EZ118" s="334"/>
      <c r="FA118" s="334"/>
      <c r="FB118" s="334"/>
      <c r="FC118" s="334"/>
      <c r="FD118" s="302"/>
      <c r="FE118" s="302"/>
      <c r="FF118" s="302"/>
      <c r="FG118" s="302"/>
      <c r="FH118" s="302"/>
      <c r="FI118" s="302"/>
      <c r="FJ118" s="302"/>
      <c r="FK118" s="302"/>
      <c r="FL118" s="351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4"/>
      <c r="EU119" s="334"/>
      <c r="EV119" s="334"/>
      <c r="EW119" s="334"/>
      <c r="EX119" s="334"/>
      <c r="EY119" s="334"/>
      <c r="EZ119" s="334"/>
      <c r="FA119" s="334"/>
      <c r="FB119" s="334"/>
      <c r="FC119" s="334"/>
      <c r="FD119" s="302"/>
      <c r="FE119" s="302"/>
      <c r="FF119" s="302"/>
      <c r="FG119" s="302"/>
      <c r="FH119" s="302"/>
      <c r="FI119" s="302"/>
      <c r="FJ119" s="302"/>
      <c r="FK119" s="302"/>
      <c r="FL119" s="351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4"/>
      <c r="EU120" s="334"/>
      <c r="EV120" s="334"/>
      <c r="EW120" s="334"/>
      <c r="EX120" s="334"/>
      <c r="EY120" s="334"/>
      <c r="EZ120" s="334"/>
      <c r="FA120" s="334"/>
      <c r="FB120" s="334"/>
      <c r="FC120" s="334"/>
      <c r="FD120" s="302"/>
      <c r="FE120" s="302"/>
      <c r="FF120" s="302"/>
      <c r="FG120" s="302"/>
      <c r="FH120" s="302"/>
      <c r="FI120" s="302"/>
      <c r="FJ120" s="302"/>
      <c r="FK120" s="302"/>
      <c r="FL120" s="351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0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1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1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1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1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1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1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1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1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1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1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1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1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1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1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0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1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0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1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1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1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0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1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1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1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1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1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1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1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1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1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1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1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1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1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1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1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1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1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1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1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0"/>
      <c r="FF160" s="302"/>
      <c r="FG160" s="302"/>
      <c r="FH160" s="302"/>
      <c r="FI160" s="302"/>
      <c r="FJ160" s="302"/>
      <c r="FK160" s="302"/>
      <c r="FL160" s="351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1"/>
      <c r="FM161" s="302"/>
      <c r="FN161" s="302"/>
      <c r="FO161" s="302"/>
      <c r="FP161" s="302"/>
      <c r="FQ161" s="340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4"/>
      <c r="FE162" s="302"/>
      <c r="FF162" s="302"/>
      <c r="FG162" s="302"/>
      <c r="FH162" s="351"/>
      <c r="FI162" s="302"/>
      <c r="FJ162" s="302"/>
      <c r="FK162" s="302"/>
      <c r="FL162" s="351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1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1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1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1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1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1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1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0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1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1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1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1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1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1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1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0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0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1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1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1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0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0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39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4"/>
      <c r="EZ188" s="302"/>
      <c r="FA188" s="302"/>
      <c r="FB188" s="302"/>
      <c r="FC188" s="302"/>
      <c r="FD188" s="302"/>
      <c r="FE188" s="351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0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1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29" t="s">
        <v>676</v>
      </c>
      <c r="F214" s="626">
        <v>2006</v>
      </c>
      <c r="G214" s="627"/>
      <c r="H214" s="627"/>
      <c r="I214" s="627"/>
      <c r="J214" s="627"/>
      <c r="K214" s="627"/>
      <c r="L214" s="627"/>
      <c r="M214" s="627"/>
      <c r="N214" s="627"/>
      <c r="O214" s="627"/>
      <c r="P214" s="627"/>
      <c r="Q214" s="628"/>
      <c r="R214" s="626">
        <v>2007</v>
      </c>
      <c r="S214" s="627"/>
      <c r="T214" s="627"/>
      <c r="U214" s="627"/>
      <c r="V214" s="627"/>
      <c r="W214" s="627"/>
      <c r="X214" s="627"/>
      <c r="Y214" s="627"/>
      <c r="Z214" s="627"/>
      <c r="AA214" s="627"/>
      <c r="AB214" s="627"/>
      <c r="AC214" s="628"/>
      <c r="AD214" s="626">
        <v>2008</v>
      </c>
      <c r="AE214" s="627"/>
      <c r="AF214" s="627"/>
      <c r="AG214" s="627"/>
      <c r="AH214" s="627"/>
      <c r="AI214" s="627"/>
      <c r="AJ214" s="627"/>
      <c r="AK214" s="627"/>
      <c r="AL214" s="627"/>
      <c r="AM214" s="627"/>
      <c r="AN214" s="627"/>
      <c r="AO214" s="628"/>
      <c r="AP214" s="626">
        <v>2009</v>
      </c>
      <c r="AQ214" s="627"/>
      <c r="AR214" s="627"/>
      <c r="AS214" s="627"/>
      <c r="AT214" s="627"/>
      <c r="AU214" s="627"/>
      <c r="AV214" s="627"/>
      <c r="AW214" s="627"/>
      <c r="AX214" s="627"/>
      <c r="AY214" s="627"/>
      <c r="AZ214" s="627"/>
      <c r="BA214" s="628"/>
      <c r="BB214" s="626">
        <v>2010</v>
      </c>
      <c r="BC214" s="627"/>
      <c r="BD214" s="627"/>
      <c r="BE214" s="627"/>
      <c r="BF214" s="627"/>
      <c r="BG214" s="627"/>
      <c r="BH214" s="627"/>
      <c r="BI214" s="627"/>
      <c r="BJ214" s="627"/>
      <c r="BK214" s="627"/>
      <c r="BL214" s="627"/>
      <c r="BM214" s="628"/>
      <c r="BN214" s="626">
        <v>2011</v>
      </c>
      <c r="BO214" s="627"/>
      <c r="BP214" s="627"/>
      <c r="BQ214" s="627"/>
      <c r="BR214" s="627"/>
      <c r="BS214" s="627"/>
      <c r="BT214" s="627"/>
      <c r="BU214" s="627"/>
      <c r="BV214" s="627"/>
      <c r="BW214" s="627"/>
      <c r="BX214" s="627"/>
      <c r="BY214" s="628"/>
      <c r="BZ214" s="627">
        <v>2012</v>
      </c>
      <c r="CA214" s="627"/>
      <c r="CB214" s="627"/>
      <c r="CC214" s="627"/>
      <c r="CD214" s="627"/>
      <c r="CE214" s="627"/>
      <c r="CF214" s="627"/>
      <c r="CG214" s="627"/>
      <c r="CH214" s="627"/>
      <c r="CI214" s="627"/>
      <c r="CJ214" s="627"/>
      <c r="CK214" s="627"/>
      <c r="CL214" s="626">
        <v>2013</v>
      </c>
      <c r="CM214" s="627"/>
      <c r="CN214" s="627"/>
      <c r="CO214" s="627"/>
      <c r="CP214" s="627"/>
      <c r="CQ214" s="627"/>
      <c r="CR214" s="627"/>
      <c r="CS214" s="627"/>
      <c r="CT214" s="627"/>
      <c r="CU214" s="627"/>
      <c r="CV214" s="627"/>
      <c r="CW214" s="628"/>
      <c r="CX214" s="626">
        <v>2014</v>
      </c>
      <c r="CY214" s="627"/>
      <c r="CZ214" s="627"/>
      <c r="DA214" s="627"/>
      <c r="DB214" s="627"/>
      <c r="DC214" s="627"/>
      <c r="DD214" s="627"/>
      <c r="DE214" s="627"/>
      <c r="DF214" s="627"/>
      <c r="DG214" s="627"/>
      <c r="DH214" s="627"/>
      <c r="DI214" s="628"/>
      <c r="DJ214" s="626">
        <v>2015</v>
      </c>
      <c r="DK214" s="627"/>
      <c r="DL214" s="627"/>
      <c r="DM214" s="627"/>
      <c r="DN214" s="627"/>
      <c r="DO214" s="627"/>
      <c r="DP214" s="627"/>
      <c r="DQ214" s="627"/>
      <c r="DR214" s="627"/>
      <c r="DS214" s="627"/>
      <c r="DT214" s="627"/>
      <c r="DU214" s="628"/>
    </row>
    <row r="215" spans="1:187">
      <c r="E215" s="629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6" t="s">
        <v>724</v>
      </c>
      <c r="EI215" s="316" t="s">
        <v>725</v>
      </c>
      <c r="EJ215" s="316" t="s">
        <v>726</v>
      </c>
      <c r="EK215" s="316" t="s">
        <v>727</v>
      </c>
      <c r="EL215" s="316" t="s">
        <v>728</v>
      </c>
      <c r="EM215" s="316" t="s">
        <v>729</v>
      </c>
      <c r="EN215" s="316" t="s">
        <v>730</v>
      </c>
      <c r="EO215" s="316" t="s">
        <v>731</v>
      </c>
      <c r="EP215" s="316" t="s">
        <v>732</v>
      </c>
      <c r="EQ215" s="316" t="s">
        <v>733</v>
      </c>
      <c r="ER215" s="316" t="s">
        <v>734</v>
      </c>
      <c r="ES215" s="316" t="s">
        <v>735</v>
      </c>
      <c r="ET215" s="316" t="s">
        <v>742</v>
      </c>
      <c r="EU215" s="316" t="s">
        <v>743</v>
      </c>
      <c r="EV215" s="316" t="s">
        <v>744</v>
      </c>
      <c r="EW215" s="316" t="s">
        <v>745</v>
      </c>
      <c r="EX215" s="316" t="s">
        <v>746</v>
      </c>
      <c r="EY215" s="316" t="s">
        <v>747</v>
      </c>
      <c r="EZ215" s="316" t="s">
        <v>748</v>
      </c>
      <c r="FA215" s="316" t="s">
        <v>749</v>
      </c>
      <c r="FB215" s="316" t="s">
        <v>750</v>
      </c>
      <c r="FC215" s="316" t="s">
        <v>751</v>
      </c>
      <c r="FD215" s="316" t="s">
        <v>752</v>
      </c>
      <c r="FE215" s="316" t="s">
        <v>753</v>
      </c>
      <c r="FF215" s="316" t="s">
        <v>758</v>
      </c>
      <c r="FG215" s="316" t="s">
        <v>759</v>
      </c>
      <c r="FH215" s="316" t="s">
        <v>760</v>
      </c>
      <c r="FI215" s="316" t="s">
        <v>761</v>
      </c>
      <c r="FJ215" s="316" t="s">
        <v>762</v>
      </c>
      <c r="FK215" s="316" t="s">
        <v>763</v>
      </c>
      <c r="FL215" s="316" t="s">
        <v>764</v>
      </c>
      <c r="FM215" s="316" t="s">
        <v>765</v>
      </c>
      <c r="FN215" s="316" t="s">
        <v>766</v>
      </c>
      <c r="FO215" s="316" t="s">
        <v>767</v>
      </c>
      <c r="FP215" s="316" t="s">
        <v>768</v>
      </c>
      <c r="FQ215" s="316" t="s">
        <v>769</v>
      </c>
      <c r="FR215" s="41" t="s">
        <v>777</v>
      </c>
      <c r="FS215" s="346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5">
        <v>60295851.510000005</v>
      </c>
      <c r="EU218" s="325">
        <v>64797597.330000006</v>
      </c>
      <c r="EV218" s="325">
        <v>89261850.609999985</v>
      </c>
      <c r="EW218" s="325">
        <v>97799793.080000013</v>
      </c>
      <c r="EX218" s="325">
        <v>90553351.069999993</v>
      </c>
      <c r="EY218" s="325">
        <v>87503254.430000007</v>
      </c>
      <c r="EZ218" s="325">
        <v>99397799.482830197</v>
      </c>
      <c r="FA218" s="325">
        <v>110357770.3498607</v>
      </c>
      <c r="FB218" s="325">
        <v>102093047.15872496</v>
      </c>
      <c r="FC218" s="325">
        <v>95698512.829288453</v>
      </c>
      <c r="FD218" s="325">
        <v>82424829.046484277</v>
      </c>
      <c r="FE218" s="325">
        <v>98213532.499999791</v>
      </c>
      <c r="FF218" s="347">
        <v>72429730.420000002</v>
      </c>
      <c r="FG218" s="347">
        <v>68470908.439999998</v>
      </c>
      <c r="FH218" s="347">
        <v>98709545.510000005</v>
      </c>
      <c r="FI218" s="347">
        <v>106791818.52</v>
      </c>
      <c r="FJ218" s="347">
        <v>94372185.030000001</v>
      </c>
      <c r="FK218" s="347">
        <v>89389439.689999998</v>
      </c>
      <c r="FL218" s="347">
        <v>106366803.00672032</v>
      </c>
      <c r="FM218" s="347">
        <v>110847613.63774106</v>
      </c>
      <c r="FN218" s="347">
        <f>105712748.66474-4000000</f>
        <v>101712748.66474</v>
      </c>
      <c r="FO218" s="347">
        <f>92295636.2285859+4000000</f>
        <v>96295636.228585899</v>
      </c>
      <c r="FP218" s="347">
        <v>84393107.743797168</v>
      </c>
      <c r="FQ218" s="347">
        <v>92890414.095145509</v>
      </c>
      <c r="FR218" s="433">
        <f>SUM(FR219:FR226)</f>
        <v>73320205.209999993</v>
      </c>
      <c r="FS218" s="433">
        <f t="shared" ref="FS218:FW218" si="24">SUM(FS219:FS226)</f>
        <v>69683087.399999991</v>
      </c>
      <c r="FT218" s="433">
        <f t="shared" si="24"/>
        <v>105613736.66000001</v>
      </c>
      <c r="FU218" s="433">
        <f t="shared" si="24"/>
        <v>83521974.920000002</v>
      </c>
      <c r="FV218" s="433">
        <f t="shared" si="24"/>
        <v>69752758.120000005</v>
      </c>
      <c r="FW218" s="433">
        <f t="shared" si="24"/>
        <v>82125472.672907159</v>
      </c>
      <c r="FX218" s="433">
        <f>SUM(FX219:FX226)</f>
        <v>97440527.99295114</v>
      </c>
      <c r="FY218" s="433">
        <f t="shared" ref="FY218" si="25">SUM(FY219:FY226)</f>
        <v>102835982.17822319</v>
      </c>
      <c r="FZ218" s="433">
        <f t="shared" ref="FZ218" si="26">SUM(FZ219:FZ226)</f>
        <v>99861898.573637322</v>
      </c>
      <c r="GA218" s="433">
        <f t="shared" ref="GA218" si="27">SUM(GA219:GA226)</f>
        <v>96098494.299763739</v>
      </c>
      <c r="GB218" s="433">
        <f t="shared" ref="GB218" si="28">SUM(GB219:GB226)</f>
        <v>81549422.466298312</v>
      </c>
      <c r="GC218" s="433">
        <f t="shared" ref="GC218" si="29">SUM(GC219:GC226)</f>
        <v>93633799.201363876</v>
      </c>
      <c r="GE218" s="426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7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7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7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7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7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7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7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7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5">
        <v>14572676.99</v>
      </c>
      <c r="EU227" s="325">
        <v>36938118.07</v>
      </c>
      <c r="EV227" s="325">
        <v>43053255.970000006</v>
      </c>
      <c r="EW227" s="325">
        <v>41029948.000000007</v>
      </c>
      <c r="EX227" s="325">
        <v>40388291.549999997</v>
      </c>
      <c r="EY227" s="325">
        <v>42077356.240000002</v>
      </c>
      <c r="EZ227" s="325">
        <v>46362054.926801726</v>
      </c>
      <c r="FA227" s="325">
        <v>45724084.253699668</v>
      </c>
      <c r="FB227" s="325">
        <v>41947258.969554022</v>
      </c>
      <c r="FC227" s="325">
        <v>44433442.802094914</v>
      </c>
      <c r="FD227" s="325">
        <v>45788790.684398532</v>
      </c>
      <c r="FE227" s="325">
        <v>79938550.463845864</v>
      </c>
      <c r="FF227" s="347">
        <v>16498881.48</v>
      </c>
      <c r="FG227" s="347">
        <v>41912269.38000001</v>
      </c>
      <c r="FH227" s="347">
        <v>41047599.18</v>
      </c>
      <c r="FI227" s="347">
        <v>50290988.940000005</v>
      </c>
      <c r="FJ227" s="347">
        <v>37496285.130000003</v>
      </c>
      <c r="FK227" s="347">
        <v>45280786.510000005</v>
      </c>
      <c r="FL227" s="347">
        <v>46250891.035691187</v>
      </c>
      <c r="FM227" s="347">
        <v>44632014.674295112</v>
      </c>
      <c r="FN227" s="347">
        <v>41120271.333377153</v>
      </c>
      <c r="FO227" s="347">
        <v>46928850.635902815</v>
      </c>
      <c r="FP227" s="347">
        <v>44128259.697538294</v>
      </c>
      <c r="FQ227" s="347">
        <v>78626416.07852602</v>
      </c>
      <c r="FR227" s="433">
        <f>SUM(FR228:FR231)</f>
        <v>15749286.220000001</v>
      </c>
      <c r="FS227" s="433">
        <f t="shared" ref="FS227:GC227" si="36">SUM(FS228:FS231)</f>
        <v>42574769.890000001</v>
      </c>
      <c r="FT227" s="433">
        <f t="shared" si="36"/>
        <v>44888756.57</v>
      </c>
      <c r="FU227" s="433">
        <f t="shared" si="36"/>
        <v>33882602.5</v>
      </c>
      <c r="FV227" s="433">
        <f t="shared" si="36"/>
        <v>40418289.450000003</v>
      </c>
      <c r="FW227" s="433">
        <f t="shared" si="36"/>
        <v>39209561.537363522</v>
      </c>
      <c r="FX227" s="433">
        <f t="shared" si="36"/>
        <v>39824401.286702745</v>
      </c>
      <c r="FY227" s="433">
        <f t="shared" si="36"/>
        <v>37466342.331191912</v>
      </c>
      <c r="FZ227" s="433">
        <f t="shared" si="36"/>
        <v>35714950.117071614</v>
      </c>
      <c r="GA227" s="433">
        <f t="shared" si="36"/>
        <v>56930028.965902433</v>
      </c>
      <c r="GB227" s="433">
        <f t="shared" si="36"/>
        <v>36060885.689019322</v>
      </c>
      <c r="GC227" s="433">
        <f t="shared" si="36"/>
        <v>69780505.759044364</v>
      </c>
      <c r="GE227" s="426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7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7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7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7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5">
        <v>785627.23999999987</v>
      </c>
      <c r="EU232" s="325">
        <v>993423.94</v>
      </c>
      <c r="EV232" s="325">
        <v>1089343.29</v>
      </c>
      <c r="EW232" s="325">
        <v>1198538.77</v>
      </c>
      <c r="EX232" s="325">
        <v>1382138.7799999998</v>
      </c>
      <c r="EY232" s="325">
        <v>1539773.02</v>
      </c>
      <c r="EZ232" s="325">
        <v>1993333.2050530105</v>
      </c>
      <c r="FA232" s="325">
        <v>2094009.8411112905</v>
      </c>
      <c r="FB232" s="325">
        <v>1758705.3100069393</v>
      </c>
      <c r="FC232" s="325">
        <v>1756312.8353634721</v>
      </c>
      <c r="FD232" s="325">
        <v>1538063.0039378535</v>
      </c>
      <c r="FE232" s="325">
        <v>1571199.152751297</v>
      </c>
      <c r="FF232" s="347">
        <v>851162.27</v>
      </c>
      <c r="FG232" s="347">
        <v>1041125.3899999999</v>
      </c>
      <c r="FH232" s="347">
        <v>1066481.8799999999</v>
      </c>
      <c r="FI232" s="347">
        <v>1290371.49</v>
      </c>
      <c r="FJ232" s="347">
        <v>1208813.17</v>
      </c>
      <c r="FK232" s="347">
        <v>1252534.6599999999</v>
      </c>
      <c r="FL232" s="347">
        <v>1795731.4641523927</v>
      </c>
      <c r="FM232" s="347">
        <v>1701456.5372229549</v>
      </c>
      <c r="FN232" s="347">
        <v>1388736.0694359436</v>
      </c>
      <c r="FO232" s="347">
        <v>1341528.8515351652</v>
      </c>
      <c r="FP232" s="347">
        <v>1134405.6022195939</v>
      </c>
      <c r="FQ232" s="347">
        <v>1246141.5409339513</v>
      </c>
      <c r="FR232" s="433">
        <f>SUM(FR233:FR236)</f>
        <v>669819.01</v>
      </c>
      <c r="FS232" s="433">
        <f t="shared" ref="FS232:GC232" si="39">SUM(FS233:FS236)</f>
        <v>845756.92</v>
      </c>
      <c r="FT232" s="433">
        <f t="shared" si="39"/>
        <v>720374.53</v>
      </c>
      <c r="FU232" s="433">
        <f t="shared" si="39"/>
        <v>316937.24</v>
      </c>
      <c r="FV232" s="433">
        <f t="shared" si="39"/>
        <v>469045.42</v>
      </c>
      <c r="FW232" s="433">
        <f t="shared" si="39"/>
        <v>1161870.8532355535</v>
      </c>
      <c r="FX232" s="433">
        <f t="shared" si="39"/>
        <v>1673430.2546007757</v>
      </c>
      <c r="FY232" s="433">
        <f t="shared" si="39"/>
        <v>1388372.9389781314</v>
      </c>
      <c r="FZ232" s="433">
        <f t="shared" si="39"/>
        <v>1416214.8034873675</v>
      </c>
      <c r="GA232" s="433">
        <f t="shared" si="39"/>
        <v>1276386.1061063381</v>
      </c>
      <c r="GB232" s="433">
        <f t="shared" si="39"/>
        <v>963348.80250703567</v>
      </c>
      <c r="GC232" s="433">
        <f t="shared" si="39"/>
        <v>1285597.5253147981</v>
      </c>
      <c r="GE232" s="426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7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7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7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7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5">
        <v>1774503.5699999998</v>
      </c>
      <c r="EU237" s="325">
        <v>1885893.46</v>
      </c>
      <c r="EV237" s="325">
        <v>2001213.06</v>
      </c>
      <c r="EW237" s="325">
        <v>2389766.7799999998</v>
      </c>
      <c r="EX237" s="325">
        <v>1530724.52</v>
      </c>
      <c r="EY237" s="325">
        <v>2860047.35</v>
      </c>
      <c r="EZ237" s="325">
        <v>2768982.89609381</v>
      </c>
      <c r="FA237" s="325">
        <v>1878964.846878767</v>
      </c>
      <c r="FB237" s="325">
        <v>2453431.0919642458</v>
      </c>
      <c r="FC237" s="325">
        <v>3062621.0292725526</v>
      </c>
      <c r="FD237" s="325">
        <v>2157522.0205821833</v>
      </c>
      <c r="FE237" s="325">
        <v>3364455.4723437326</v>
      </c>
      <c r="FF237" s="347">
        <v>2315003.25</v>
      </c>
      <c r="FG237" s="347">
        <v>1541397.86</v>
      </c>
      <c r="FH237" s="347">
        <v>2408517.5</v>
      </c>
      <c r="FI237" s="347">
        <v>3310133.38</v>
      </c>
      <c r="FJ237" s="347">
        <v>1792591.2</v>
      </c>
      <c r="FK237" s="347">
        <v>2081141.31</v>
      </c>
      <c r="FL237" s="347">
        <v>3811615.3822946725</v>
      </c>
      <c r="FM237" s="347">
        <v>2369139.8885664819</v>
      </c>
      <c r="FN237" s="347">
        <v>2509036.584840606</v>
      </c>
      <c r="FO237" s="347">
        <v>3286740.3746407013</v>
      </c>
      <c r="FP237" s="347">
        <v>2611990.4957672656</v>
      </c>
      <c r="FQ237" s="347">
        <v>3353537.6354902741</v>
      </c>
      <c r="FR237" s="433">
        <f>SUM(FR238:FR243)</f>
        <v>2226726.9299999997</v>
      </c>
      <c r="FS237" s="433">
        <f t="shared" ref="FS237:GC237" si="42">SUM(FS238:FS243)</f>
        <v>2200614.79</v>
      </c>
      <c r="FT237" s="433">
        <f t="shared" si="42"/>
        <v>1317967.9100000001</v>
      </c>
      <c r="FU237" s="433">
        <f t="shared" si="42"/>
        <v>1597851.3599999999</v>
      </c>
      <c r="FV237" s="433">
        <f t="shared" si="42"/>
        <v>1673853.74</v>
      </c>
      <c r="FW237" s="433">
        <f t="shared" si="42"/>
        <v>2179490.8743573632</v>
      </c>
      <c r="FX237" s="433">
        <f t="shared" si="42"/>
        <v>2571108.8359225746</v>
      </c>
      <c r="FY237" s="433">
        <f t="shared" si="42"/>
        <v>1825380.5890086682</v>
      </c>
      <c r="FZ237" s="433">
        <f t="shared" si="42"/>
        <v>2163813.0387331629</v>
      </c>
      <c r="GA237" s="433">
        <f t="shared" si="42"/>
        <v>1995229.2228867295</v>
      </c>
      <c r="GB237" s="433">
        <f t="shared" si="42"/>
        <v>1517691.0449207788</v>
      </c>
      <c r="GC237" s="433">
        <f t="shared" si="42"/>
        <v>3555523.5622207262</v>
      </c>
      <c r="GE237" s="426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7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7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7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7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7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7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5">
        <v>2425520.8099999996</v>
      </c>
      <c r="EU244" s="325">
        <v>1609741.96</v>
      </c>
      <c r="EV244" s="325">
        <v>2046839.3099999998</v>
      </c>
      <c r="EW244" s="325">
        <v>5482431.4299999997</v>
      </c>
      <c r="EX244" s="325">
        <v>2151437.83</v>
      </c>
      <c r="EY244" s="325">
        <v>2740294.16</v>
      </c>
      <c r="EZ244" s="325">
        <v>3610099.6149461018</v>
      </c>
      <c r="FA244" s="325">
        <v>2856432.7673175023</v>
      </c>
      <c r="FB244" s="325">
        <v>38693622.019299239</v>
      </c>
      <c r="FC244" s="325">
        <v>3080614.3453884441</v>
      </c>
      <c r="FD244" s="325">
        <v>2054798.3756645597</v>
      </c>
      <c r="FE244" s="325">
        <v>4981072.0471647922</v>
      </c>
      <c r="FF244" s="347">
        <v>1567288.04</v>
      </c>
      <c r="FG244" s="347">
        <v>2199531.1</v>
      </c>
      <c r="FH244" s="347">
        <v>3194097.81</v>
      </c>
      <c r="FI244" s="347">
        <v>2385711.15</v>
      </c>
      <c r="FJ244" s="347">
        <v>7159438.3900000006</v>
      </c>
      <c r="FK244" s="347">
        <v>3263135.44</v>
      </c>
      <c r="FL244" s="347">
        <v>3782335.0282840966</v>
      </c>
      <c r="FM244" s="347">
        <v>3340173.0404689522</v>
      </c>
      <c r="FN244" s="347">
        <f>37689732.0664406-35000000</f>
        <v>2689732.0664405972</v>
      </c>
      <c r="FO244" s="347">
        <f>2215962.80977053+35000000</f>
        <v>37215962.809770532</v>
      </c>
      <c r="FP244" s="347">
        <v>3512092.3071244648</v>
      </c>
      <c r="FQ244" s="347">
        <v>7138953.7303113183</v>
      </c>
      <c r="FR244" s="433">
        <f>SUM(FR245:FR248)</f>
        <v>1484714.27</v>
      </c>
      <c r="FS244" s="433">
        <f t="shared" ref="FS244:GC244" si="46">SUM(FS245:FS248)</f>
        <v>2100277.88</v>
      </c>
      <c r="FT244" s="433">
        <f t="shared" si="46"/>
        <v>4248499.3600000003</v>
      </c>
      <c r="FU244" s="433">
        <f t="shared" si="46"/>
        <v>1617752.3800000001</v>
      </c>
      <c r="FV244" s="433">
        <f t="shared" si="46"/>
        <v>1237245.3599999999</v>
      </c>
      <c r="FW244" s="433">
        <f t="shared" si="46"/>
        <v>2257816.068284105</v>
      </c>
      <c r="FX244" s="433">
        <f t="shared" si="46"/>
        <v>5692253.8149066633</v>
      </c>
      <c r="FY244" s="433">
        <f t="shared" si="46"/>
        <v>4621203.3620386366</v>
      </c>
      <c r="FZ244" s="433">
        <f t="shared" si="46"/>
        <v>17537126.915220708</v>
      </c>
      <c r="GA244" s="433">
        <f t="shared" si="46"/>
        <v>3831817.5735939299</v>
      </c>
      <c r="GB244" s="433">
        <f t="shared" si="46"/>
        <v>3619302.6260553906</v>
      </c>
      <c r="GC244" s="433">
        <f t="shared" si="46"/>
        <v>4678583.5639540665</v>
      </c>
      <c r="GE244" s="426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7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7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7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7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3">
        <v>62782.51</v>
      </c>
      <c r="FS249" s="433">
        <v>437988.22</v>
      </c>
      <c r="FT249" s="433">
        <v>603218.21</v>
      </c>
      <c r="FU249" s="433">
        <v>198578.39</v>
      </c>
      <c r="FV249" s="433">
        <v>270349.07</v>
      </c>
      <c r="FW249" s="433">
        <v>632440.5</v>
      </c>
      <c r="FX249" s="433">
        <v>632440.5</v>
      </c>
      <c r="FY249" s="433">
        <v>632440.5</v>
      </c>
      <c r="FZ249" s="433">
        <v>632440.5</v>
      </c>
      <c r="GA249" s="433">
        <v>632440.5</v>
      </c>
      <c r="GB249" s="433">
        <v>632440.5</v>
      </c>
      <c r="GC249" s="433">
        <v>632440.6</v>
      </c>
      <c r="GD249" s="349"/>
      <c r="GE249" s="426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3">
        <v>80819.179999999993</v>
      </c>
      <c r="FS252" s="433">
        <v>813727.89</v>
      </c>
      <c r="FT252" s="433">
        <v>794561.22</v>
      </c>
      <c r="FU252" s="433">
        <v>561040.23</v>
      </c>
      <c r="FV252" s="433">
        <v>218800.94</v>
      </c>
      <c r="FW252" s="433">
        <v>172752.84814830567</v>
      </c>
      <c r="FX252" s="433">
        <v>621585.63801238476</v>
      </c>
      <c r="FY252" s="433">
        <v>1170088.8491047423</v>
      </c>
      <c r="FZ252" s="433">
        <v>665799.08079606481</v>
      </c>
      <c r="GA252" s="433">
        <v>9201611.3215604126</v>
      </c>
      <c r="GB252" s="433">
        <v>1305018.6190754015</v>
      </c>
      <c r="GC252" s="433">
        <v>1507066.6233026888</v>
      </c>
      <c r="GE252" s="426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7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3">
        <v>754264.83</v>
      </c>
      <c r="FS255" s="433">
        <v>1636489.54</v>
      </c>
      <c r="FT255" s="433">
        <v>3512551.56</v>
      </c>
      <c r="FU255" s="433">
        <v>2957605.59</v>
      </c>
      <c r="FV255" s="433">
        <v>1856477.6183333334</v>
      </c>
      <c r="FW255" s="433">
        <v>2156477.6183333299</v>
      </c>
      <c r="FX255" s="433">
        <v>1856477.6183333334</v>
      </c>
      <c r="FY255" s="433">
        <v>1856477.6183333334</v>
      </c>
      <c r="FZ255" s="433">
        <v>25000000</v>
      </c>
      <c r="GA255" s="433">
        <v>1856477.6183333334</v>
      </c>
      <c r="GB255" s="433">
        <v>1856477.6183333334</v>
      </c>
      <c r="GC255" s="433">
        <v>4700000</v>
      </c>
      <c r="GE255" s="426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4">
        <f t="shared" si="48"/>
        <v>0</v>
      </c>
      <c r="CO259" s="324">
        <f t="shared" si="48"/>
        <v>200000000</v>
      </c>
      <c r="CP259" s="324">
        <f t="shared" si="48"/>
        <v>0</v>
      </c>
      <c r="CQ259" s="324">
        <f t="shared" si="48"/>
        <v>0</v>
      </c>
      <c r="CR259" s="324">
        <f t="shared" si="48"/>
        <v>0</v>
      </c>
      <c r="CS259" s="324">
        <f t="shared" si="48"/>
        <v>0</v>
      </c>
      <c r="CT259" s="324">
        <f t="shared" si="48"/>
        <v>0</v>
      </c>
      <c r="CU259" s="324">
        <f t="shared" si="48"/>
        <v>50000000</v>
      </c>
      <c r="CV259" s="324">
        <f t="shared" si="48"/>
        <v>0</v>
      </c>
      <c r="CW259" s="324">
        <f t="shared" si="48"/>
        <v>0</v>
      </c>
      <c r="CX259" s="324">
        <f t="shared" si="48"/>
        <v>18997964.655235786</v>
      </c>
      <c r="CY259" s="324">
        <f t="shared" ref="CY259:DI259" si="49">+SUM(CY260:CY261)</f>
        <v>18997964.655235786</v>
      </c>
      <c r="CZ259" s="324">
        <f t="shared" si="49"/>
        <v>18997964.655235786</v>
      </c>
      <c r="DA259" s="324">
        <f t="shared" si="49"/>
        <v>18997964.655235786</v>
      </c>
      <c r="DB259" s="324">
        <f t="shared" si="49"/>
        <v>18997964.655235786</v>
      </c>
      <c r="DC259" s="324">
        <f t="shared" si="49"/>
        <v>18997964.655235786</v>
      </c>
      <c r="DD259" s="324">
        <f t="shared" si="49"/>
        <v>18997964.655235786</v>
      </c>
      <c r="DE259" s="324">
        <f t="shared" si="49"/>
        <v>18997964.655235786</v>
      </c>
      <c r="DF259" s="324">
        <f t="shared" si="49"/>
        <v>18997964.655235786</v>
      </c>
      <c r="DG259" s="324">
        <f t="shared" si="49"/>
        <v>18997964.655235786</v>
      </c>
      <c r="DH259" s="324">
        <f t="shared" si="49"/>
        <v>18997964.655235786</v>
      </c>
      <c r="DI259" s="324">
        <f t="shared" si="49"/>
        <v>18997964.655235786</v>
      </c>
      <c r="DJ259" s="324">
        <f>+SUM(DJ260:DJ261)</f>
        <v>52840136.569718093</v>
      </c>
      <c r="DK259" s="324">
        <f t="shared" ref="DK259:DU259" si="50">+SUM(DK260:DK261)</f>
        <v>52840136.569718093</v>
      </c>
      <c r="DL259" s="324">
        <f t="shared" si="50"/>
        <v>52840136.569718093</v>
      </c>
      <c r="DM259" s="324">
        <f t="shared" si="50"/>
        <v>52840136.569718093</v>
      </c>
      <c r="DN259" s="324">
        <f t="shared" si="50"/>
        <v>52840136.569718093</v>
      </c>
      <c r="DO259" s="324">
        <f t="shared" si="50"/>
        <v>52840136.569718093</v>
      </c>
      <c r="DP259" s="324">
        <f t="shared" si="50"/>
        <v>52840136.569718093</v>
      </c>
      <c r="DQ259" s="324">
        <f t="shared" si="50"/>
        <v>52840136.569718093</v>
      </c>
      <c r="DR259" s="324">
        <f t="shared" si="50"/>
        <v>52840136.569718093</v>
      </c>
      <c r="DS259" s="324">
        <f t="shared" si="50"/>
        <v>52840136.569718093</v>
      </c>
      <c r="DT259" s="324">
        <f t="shared" si="50"/>
        <v>52840136.569718093</v>
      </c>
      <c r="DU259" s="324">
        <f t="shared" si="50"/>
        <v>52840136.569718093</v>
      </c>
      <c r="DV259" s="324">
        <f>SUM(DV260:DV261)</f>
        <v>55595756.08804667</v>
      </c>
      <c r="DW259" s="324">
        <f t="shared" ref="DW259:EF259" si="51">SUM(DW260:DW261)</f>
        <v>55595756.08804667</v>
      </c>
      <c r="DX259" s="324">
        <f t="shared" si="51"/>
        <v>55595756.08804667</v>
      </c>
      <c r="DY259" s="324">
        <f t="shared" si="51"/>
        <v>55595756.08804667</v>
      </c>
      <c r="DZ259" s="324">
        <f t="shared" si="51"/>
        <v>55595756.08804667</v>
      </c>
      <c r="EA259" s="324">
        <f t="shared" si="51"/>
        <v>55595756.08804667</v>
      </c>
      <c r="EB259" s="324">
        <f t="shared" si="51"/>
        <v>55595756.08804667</v>
      </c>
      <c r="EC259" s="324">
        <f t="shared" si="51"/>
        <v>55595756.08804667</v>
      </c>
      <c r="ED259" s="324">
        <f t="shared" si="51"/>
        <v>55595756.08804667</v>
      </c>
      <c r="EE259" s="324">
        <f t="shared" si="51"/>
        <v>55595756.08804667</v>
      </c>
      <c r="EF259" s="324">
        <f t="shared" si="51"/>
        <v>55595756.08804667</v>
      </c>
      <c r="EG259" s="324">
        <f>SUM(EG260:EG261)</f>
        <v>55595756.08804667</v>
      </c>
      <c r="EH259" s="324">
        <f t="shared" ref="EH259:ES259" si="52">SUM(EH260:EH261)</f>
        <v>37847818.636239164</v>
      </c>
      <c r="EI259" s="324">
        <f t="shared" si="52"/>
        <v>37847818.636239164</v>
      </c>
      <c r="EJ259" s="324">
        <f t="shared" si="52"/>
        <v>37847818.636239164</v>
      </c>
      <c r="EK259" s="324">
        <f t="shared" si="52"/>
        <v>37847818.636239164</v>
      </c>
      <c r="EL259" s="324">
        <f t="shared" si="52"/>
        <v>37847818.636239164</v>
      </c>
      <c r="EM259" s="324">
        <f t="shared" si="52"/>
        <v>37847818.636239164</v>
      </c>
      <c r="EN259" s="324">
        <f t="shared" si="52"/>
        <v>37847818.636239164</v>
      </c>
      <c r="EO259" s="324">
        <f t="shared" si="52"/>
        <v>37847818.636239164</v>
      </c>
      <c r="EP259" s="324">
        <f t="shared" si="52"/>
        <v>37847818.636239164</v>
      </c>
      <c r="EQ259" s="324">
        <f t="shared" si="52"/>
        <v>37847818.636239164</v>
      </c>
      <c r="ER259" s="324">
        <f t="shared" si="52"/>
        <v>37847818.636239164</v>
      </c>
      <c r="ES259" s="324">
        <f t="shared" si="52"/>
        <v>37847818.636239164</v>
      </c>
      <c r="ET259" s="324"/>
      <c r="EU259" s="324"/>
      <c r="EV259" s="324"/>
      <c r="EW259" s="324"/>
      <c r="EX259" s="324"/>
      <c r="EY259" s="324"/>
      <c r="EZ259" s="324"/>
      <c r="FA259" s="324"/>
      <c r="FB259" s="324"/>
      <c r="FC259" s="324"/>
      <c r="FD259" s="324"/>
      <c r="FE259" s="324"/>
      <c r="FF259" s="324">
        <v>24022843.850000001</v>
      </c>
      <c r="FG259" s="324">
        <v>0</v>
      </c>
      <c r="FH259" s="324">
        <v>107399337.39</v>
      </c>
      <c r="FI259" s="324">
        <v>15000000</v>
      </c>
      <c r="FJ259" s="324">
        <v>112000000</v>
      </c>
      <c r="FK259" s="324">
        <v>17000000</v>
      </c>
      <c r="FL259" s="324">
        <v>17000000</v>
      </c>
      <c r="FM259" s="324">
        <v>15000000</v>
      </c>
      <c r="FN259" s="324">
        <v>17000000</v>
      </c>
      <c r="FO259" s="324">
        <v>17000000</v>
      </c>
      <c r="FP259" s="324">
        <v>15000000</v>
      </c>
      <c r="FQ259" s="324">
        <v>13983087.501553783</v>
      </c>
      <c r="FR259" s="324">
        <f>SUM(FR260:FR261)</f>
        <v>316564.84000000003</v>
      </c>
      <c r="FS259" s="324">
        <f t="shared" ref="FS259:GC259" si="53">SUM(FS260:FS261)</f>
        <v>1511136.76</v>
      </c>
      <c r="FT259" s="324">
        <f t="shared" si="53"/>
        <v>3834054.75</v>
      </c>
      <c r="FU259" s="324">
        <f t="shared" si="53"/>
        <v>4493810.3600000003</v>
      </c>
      <c r="FV259" s="324">
        <f t="shared" si="53"/>
        <v>250307576.15000001</v>
      </c>
      <c r="FW259" s="324">
        <f t="shared" si="53"/>
        <v>10146635.998571429</v>
      </c>
      <c r="FX259" s="324">
        <f t="shared" si="53"/>
        <v>10146635.998571429</v>
      </c>
      <c r="FY259" s="324">
        <f t="shared" si="53"/>
        <v>10146635.998571429</v>
      </c>
      <c r="FZ259" s="324">
        <f t="shared" si="53"/>
        <v>10146635.998571429</v>
      </c>
      <c r="GA259" s="324">
        <f t="shared" si="53"/>
        <v>10146635.998571429</v>
      </c>
      <c r="GB259" s="324">
        <f t="shared" si="53"/>
        <v>10146635.998571429</v>
      </c>
      <c r="GC259" s="324">
        <f t="shared" si="53"/>
        <v>10146635.998571429</v>
      </c>
      <c r="GE259" s="426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6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4">
        <v>36581480.009166665</v>
      </c>
      <c r="EU264" s="324">
        <v>36581480.009166665</v>
      </c>
      <c r="EV264" s="324">
        <v>36581480.009166665</v>
      </c>
      <c r="EW264" s="324">
        <v>36581480.009166665</v>
      </c>
      <c r="EX264" s="324">
        <v>36581480.009166665</v>
      </c>
      <c r="EY264" s="324">
        <v>36581480.009166665</v>
      </c>
      <c r="EZ264" s="324">
        <v>36581480.009166665</v>
      </c>
      <c r="FA264" s="324">
        <v>36581480.009166665</v>
      </c>
      <c r="FB264" s="324">
        <v>42330489.099166654</v>
      </c>
      <c r="FC264" s="324">
        <v>42330489.099166654</v>
      </c>
      <c r="FD264" s="324">
        <v>42330489.099166654</v>
      </c>
      <c r="FE264" s="324">
        <v>42330489.099166654</v>
      </c>
      <c r="FF264" s="324">
        <v>39362332.101666681</v>
      </c>
      <c r="FG264" s="324">
        <v>39125646.701666676</v>
      </c>
      <c r="FH264" s="324">
        <v>39113380.221666679</v>
      </c>
      <c r="FI264" s="324">
        <v>39105431.161666669</v>
      </c>
      <c r="FJ264" s="324">
        <v>39107573.981666677</v>
      </c>
      <c r="FK264" s="324">
        <v>41935580.18166668</v>
      </c>
      <c r="FL264" s="324">
        <v>39107470.111666672</v>
      </c>
      <c r="FM264" s="324">
        <v>39093383.891666673</v>
      </c>
      <c r="FN264" s="324">
        <v>39030288.911666676</v>
      </c>
      <c r="FO264" s="324">
        <v>39107584.94166667</v>
      </c>
      <c r="FP264" s="324">
        <v>39107395.941666678</v>
      </c>
      <c r="FQ264" s="324">
        <v>38858179.001666702</v>
      </c>
      <c r="FR264" s="324">
        <v>40884882.280000001</v>
      </c>
      <c r="FS264" s="324">
        <v>41362850.270000003</v>
      </c>
      <c r="FT264" s="324">
        <v>41444412.079999998</v>
      </c>
      <c r="FU264" s="324">
        <v>41745440.189999998</v>
      </c>
      <c r="FV264" s="324">
        <v>40757623.899999999</v>
      </c>
      <c r="FW264" s="324">
        <v>41753797.367142849</v>
      </c>
      <c r="FX264" s="324">
        <v>41753797.367142849</v>
      </c>
      <c r="FY264" s="324">
        <v>41753797.367142849</v>
      </c>
      <c r="FZ264" s="324">
        <v>41753797.367142849</v>
      </c>
      <c r="GA264" s="324">
        <v>41753797.367142849</v>
      </c>
      <c r="GB264" s="324">
        <v>41753797.367142849</v>
      </c>
      <c r="GC264" s="324">
        <v>41753797.367142849</v>
      </c>
      <c r="GE264" s="426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7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7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7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7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7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4">
        <v>1045765.8483333333</v>
      </c>
      <c r="EU270" s="324">
        <v>1045765.8483333333</v>
      </c>
      <c r="EV270" s="324">
        <v>1045765.8483333333</v>
      </c>
      <c r="EW270" s="324">
        <v>1064654.7372222226</v>
      </c>
      <c r="EX270" s="324">
        <v>1064654.7372222226</v>
      </c>
      <c r="EY270" s="324">
        <v>1064654.7372222226</v>
      </c>
      <c r="EZ270" s="324">
        <v>1064654.7372222226</v>
      </c>
      <c r="FA270" s="324">
        <v>1064654.7372222226</v>
      </c>
      <c r="FB270" s="324">
        <v>1064654.7372222201</v>
      </c>
      <c r="FC270" s="324">
        <v>1064654.7372222201</v>
      </c>
      <c r="FD270" s="324">
        <v>1064654.7372222226</v>
      </c>
      <c r="FE270" s="324">
        <v>1608087.7372222189</v>
      </c>
      <c r="FF270" s="324">
        <v>1281057.9508333332</v>
      </c>
      <c r="FG270" s="324">
        <v>1323983.3608333331</v>
      </c>
      <c r="FH270" s="324">
        <v>1260740.2808333333</v>
      </c>
      <c r="FI270" s="324">
        <v>1247473.6108333331</v>
      </c>
      <c r="FJ270" s="324">
        <v>1248015.2908333333</v>
      </c>
      <c r="FK270" s="324">
        <v>1249948.9408333332</v>
      </c>
      <c r="FL270" s="324">
        <v>1249158.6208333333</v>
      </c>
      <c r="FM270" s="324">
        <v>1249158.6208333333</v>
      </c>
      <c r="FN270" s="324">
        <v>1249658.6108333331</v>
      </c>
      <c r="FO270" s="324">
        <v>1239658.6108333331</v>
      </c>
      <c r="FP270" s="324">
        <v>1238097.2408333332</v>
      </c>
      <c r="FQ270" s="324">
        <v>1240174.31083333</v>
      </c>
      <c r="FR270" s="324">
        <v>476603.42</v>
      </c>
      <c r="FS270" s="324">
        <v>1082169.6499999999</v>
      </c>
      <c r="FT270" s="324">
        <v>1109472.33</v>
      </c>
      <c r="FU270" s="324">
        <v>652598.81999999995</v>
      </c>
      <c r="FV270" s="324">
        <v>376000.24</v>
      </c>
      <c r="FW270" s="324">
        <v>1605574.7457142856</v>
      </c>
      <c r="FX270" s="324">
        <v>1605574.7457142856</v>
      </c>
      <c r="FY270" s="324">
        <v>1605574.7457142856</v>
      </c>
      <c r="FZ270" s="324">
        <v>1605574.7457142856</v>
      </c>
      <c r="GA270" s="324">
        <v>1605574.7457142856</v>
      </c>
      <c r="GB270" s="324">
        <v>1605574.7457142856</v>
      </c>
      <c r="GC270" s="324">
        <v>1605590.0757142901</v>
      </c>
      <c r="GE270" s="426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29"/>
      <c r="FS271" s="429"/>
      <c r="FT271" s="429"/>
      <c r="FU271" s="429"/>
      <c r="FV271" s="429"/>
      <c r="FW271" s="429"/>
      <c r="FX271" s="429"/>
      <c r="FY271" s="429"/>
      <c r="FZ271" s="429"/>
      <c r="GA271" s="429"/>
      <c r="GB271" s="429"/>
      <c r="GC271" s="429"/>
      <c r="GD271" s="42"/>
      <c r="GE271" s="427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29"/>
      <c r="FS272" s="429"/>
      <c r="FT272" s="429"/>
      <c r="FU272" s="429"/>
      <c r="FV272" s="429"/>
      <c r="FW272" s="429"/>
      <c r="FX272" s="429"/>
      <c r="FY272" s="429"/>
      <c r="FZ272" s="429"/>
      <c r="GA272" s="429"/>
      <c r="GB272" s="429"/>
      <c r="GC272" s="429"/>
      <c r="GD272" s="42"/>
      <c r="GE272" s="427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29"/>
      <c r="FS273" s="429"/>
      <c r="FT273" s="429"/>
      <c r="FU273" s="429"/>
      <c r="FV273" s="429"/>
      <c r="FW273" s="429"/>
      <c r="FX273" s="429"/>
      <c r="FY273" s="429"/>
      <c r="FZ273" s="429"/>
      <c r="GA273" s="429"/>
      <c r="GB273" s="429"/>
      <c r="GC273" s="429"/>
      <c r="GD273" s="42"/>
      <c r="GE273" s="427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29"/>
      <c r="FS274" s="429"/>
      <c r="FT274" s="429"/>
      <c r="FU274" s="429"/>
      <c r="FV274" s="429"/>
      <c r="FW274" s="429"/>
      <c r="FX274" s="429"/>
      <c r="FY274" s="429"/>
      <c r="FZ274" s="429"/>
      <c r="GA274" s="429"/>
      <c r="GB274" s="429"/>
      <c r="GC274" s="429"/>
      <c r="GD274" s="42"/>
      <c r="GE274" s="427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29"/>
      <c r="FS275" s="429"/>
      <c r="FT275" s="429"/>
      <c r="FU275" s="429"/>
      <c r="FV275" s="429"/>
      <c r="FW275" s="429"/>
      <c r="FX275" s="429"/>
      <c r="FY275" s="429"/>
      <c r="FZ275" s="429"/>
      <c r="GA275" s="429"/>
      <c r="GB275" s="429"/>
      <c r="GC275" s="429"/>
      <c r="GD275" s="42"/>
      <c r="GE275" s="427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7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29"/>
      <c r="FS277" s="429"/>
      <c r="FT277" s="429"/>
      <c r="FU277" s="429"/>
      <c r="FV277" s="429"/>
      <c r="FW277" s="429"/>
      <c r="FX277" s="429"/>
      <c r="FY277" s="429"/>
      <c r="FZ277" s="429"/>
      <c r="GA277" s="429"/>
      <c r="GB277" s="429"/>
      <c r="GC277" s="429"/>
      <c r="GD277" s="42"/>
      <c r="GE277" s="427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4">
        <v>2429373.3213333334</v>
      </c>
      <c r="EU278" s="324">
        <v>2429373.3213333334</v>
      </c>
      <c r="EV278" s="324">
        <v>2429373.3213333334</v>
      </c>
      <c r="EW278" s="324">
        <v>2429373.3213333334</v>
      </c>
      <c r="EX278" s="324">
        <v>2429373.3213333334</v>
      </c>
      <c r="EY278" s="324">
        <v>2429373.3213333334</v>
      </c>
      <c r="EZ278" s="324">
        <v>3644059.9819999994</v>
      </c>
      <c r="FA278" s="324">
        <v>3644059.9819999994</v>
      </c>
      <c r="FB278" s="324">
        <v>4454463.4019999988</v>
      </c>
      <c r="FC278" s="324">
        <v>4454463.4019999988</v>
      </c>
      <c r="FD278" s="324">
        <v>4454463.4019999988</v>
      </c>
      <c r="FE278" s="324">
        <v>4454463.4019999988</v>
      </c>
      <c r="FF278" s="324">
        <v>3067786.435833334</v>
      </c>
      <c r="FG278" s="324">
        <v>3019826.0658333339</v>
      </c>
      <c r="FH278" s="324">
        <v>3058309.8858333337</v>
      </c>
      <c r="FI278" s="324">
        <v>3046755.8058333341</v>
      </c>
      <c r="FJ278" s="324">
        <v>3057105.8058333341</v>
      </c>
      <c r="FK278" s="324">
        <v>3056755.8058333341</v>
      </c>
      <c r="FL278" s="324">
        <v>3059180.8058333341</v>
      </c>
      <c r="FM278" s="324">
        <v>3059180.8058333341</v>
      </c>
      <c r="FN278" s="324">
        <v>3059040.8058333341</v>
      </c>
      <c r="FO278" s="324">
        <v>3063161.8058333341</v>
      </c>
      <c r="FP278" s="324">
        <v>3060771.8058333341</v>
      </c>
      <c r="FQ278" s="324">
        <v>3044951.8258333337</v>
      </c>
      <c r="FR278" s="324">
        <v>845574.4</v>
      </c>
      <c r="FS278" s="324">
        <v>4271561.3099999996</v>
      </c>
      <c r="FT278" s="324">
        <v>2456800.5</v>
      </c>
      <c r="FU278" s="324">
        <v>3001224.56</v>
      </c>
      <c r="FV278" s="324">
        <v>1835726.56</v>
      </c>
      <c r="FW278" s="324">
        <v>3331584.2171428567</v>
      </c>
      <c r="FX278" s="324">
        <v>3331584.2171428567</v>
      </c>
      <c r="FY278" s="324">
        <v>2665267.3737142859</v>
      </c>
      <c r="FZ278" s="324">
        <v>3331584.2171428567</v>
      </c>
      <c r="GA278" s="324">
        <v>3331584.2171428567</v>
      </c>
      <c r="GB278" s="324">
        <v>3331584.2171428567</v>
      </c>
      <c r="GC278" s="324">
        <v>3997910.8964734701</v>
      </c>
      <c r="GE278" s="426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7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7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7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7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7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7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4">
        <v>3986420.5893333331</v>
      </c>
      <c r="EU285" s="324">
        <v>3986420.5893333331</v>
      </c>
      <c r="EV285" s="324">
        <v>3986420.5893333331</v>
      </c>
      <c r="EW285" s="324">
        <v>4097531.7004444432</v>
      </c>
      <c r="EX285" s="324">
        <v>4097531.7004444432</v>
      </c>
      <c r="EY285" s="324">
        <v>4097531.7004444432</v>
      </c>
      <c r="EZ285" s="324">
        <v>6090741.9951111097</v>
      </c>
      <c r="FA285" s="324">
        <v>6090741.9951111097</v>
      </c>
      <c r="FB285" s="324">
        <v>5577148.0201111175</v>
      </c>
      <c r="FC285" s="324">
        <v>5577148.0201111175</v>
      </c>
      <c r="FD285" s="324">
        <v>5577148.0201111175</v>
      </c>
      <c r="FE285" s="324">
        <v>5577148.0201111175</v>
      </c>
      <c r="FF285" s="324">
        <v>6120514.5875000004</v>
      </c>
      <c r="FG285" s="324">
        <v>5971668.0075000003</v>
      </c>
      <c r="FH285" s="324">
        <v>5177760.0175000001</v>
      </c>
      <c r="FI285" s="324">
        <v>5087042.1275000004</v>
      </c>
      <c r="FJ285" s="324">
        <v>5141875.5275000008</v>
      </c>
      <c r="FK285" s="324">
        <v>5197534.4975000005</v>
      </c>
      <c r="FL285" s="324">
        <v>5059087.2374999989</v>
      </c>
      <c r="FM285" s="324">
        <v>5071091.2374999989</v>
      </c>
      <c r="FN285" s="324">
        <v>5175886.7374999989</v>
      </c>
      <c r="FO285" s="324">
        <v>5062253.3274999987</v>
      </c>
      <c r="FP285" s="324">
        <v>5061881.6574999988</v>
      </c>
      <c r="FQ285" s="324">
        <v>5000451.0074999994</v>
      </c>
      <c r="FR285" s="324">
        <v>1526609.67</v>
      </c>
      <c r="FS285" s="324">
        <v>5800030.7699999996</v>
      </c>
      <c r="FT285" s="324">
        <v>6227024.2599999998</v>
      </c>
      <c r="FU285" s="324">
        <v>3735755.56</v>
      </c>
      <c r="FV285" s="324">
        <v>13077926.789999999</v>
      </c>
      <c r="FW285" s="324">
        <v>4490161.0014285715</v>
      </c>
      <c r="FX285" s="324">
        <v>4490161.0014285715</v>
      </c>
      <c r="FY285" s="324">
        <v>3592128.8011428574</v>
      </c>
      <c r="FZ285" s="324">
        <v>4490161.0014285715</v>
      </c>
      <c r="GA285" s="324">
        <v>4490161.0014285715</v>
      </c>
      <c r="GB285" s="324">
        <v>4490161.0014285715</v>
      </c>
      <c r="GC285" s="324">
        <v>5388158.5617142906</v>
      </c>
      <c r="GE285" s="426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7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7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7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7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7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7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7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7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7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4">
        <v>1860319.3983333334</v>
      </c>
      <c r="EU295" s="324">
        <v>1860319.3983333334</v>
      </c>
      <c r="EV295" s="324">
        <v>1860319.3983333334</v>
      </c>
      <c r="EW295" s="324">
        <v>1860319.3983333334</v>
      </c>
      <c r="EX295" s="324">
        <v>1860319.3983333334</v>
      </c>
      <c r="EY295" s="324">
        <v>1860319.3983333334</v>
      </c>
      <c r="EZ295" s="324">
        <v>1860319.3983333334</v>
      </c>
      <c r="FA295" s="324">
        <v>1860319.3983333334</v>
      </c>
      <c r="FB295" s="324">
        <v>1850732.9058333328</v>
      </c>
      <c r="FC295" s="324">
        <v>1850732.9058333328</v>
      </c>
      <c r="FD295" s="324">
        <v>1850732.9058333328</v>
      </c>
      <c r="FE295" s="324">
        <v>1850732.9058333328</v>
      </c>
      <c r="FF295" s="324">
        <v>1931829.4616666667</v>
      </c>
      <c r="FG295" s="324">
        <v>1929704.3816666668</v>
      </c>
      <c r="FH295" s="324">
        <v>1921162.7116666667</v>
      </c>
      <c r="FI295" s="324">
        <v>1920662.7116666667</v>
      </c>
      <c r="FJ295" s="324">
        <v>1927678.7016666669</v>
      </c>
      <c r="FK295" s="324">
        <v>1927612.7316666667</v>
      </c>
      <c r="FL295" s="324">
        <v>1934953.7116666667</v>
      </c>
      <c r="FM295" s="324">
        <v>1934887.7116666667</v>
      </c>
      <c r="FN295" s="324">
        <v>1926953.7016666669</v>
      </c>
      <c r="FO295" s="324">
        <v>1926887.7016666669</v>
      </c>
      <c r="FP295" s="324">
        <v>1926953.7016666669</v>
      </c>
      <c r="FQ295" s="324">
        <v>1908616.3716666668</v>
      </c>
      <c r="FR295" s="324">
        <v>108691.98</v>
      </c>
      <c r="FS295" s="324">
        <v>2265483.7400000002</v>
      </c>
      <c r="FT295" s="324">
        <v>1016574.39</v>
      </c>
      <c r="FU295" s="324">
        <v>2804355.68</v>
      </c>
      <c r="FV295" s="324">
        <v>1877727.17</v>
      </c>
      <c r="FW295" s="324">
        <v>2564587.1557142856</v>
      </c>
      <c r="FX295" s="324">
        <v>2564587.1557142856</v>
      </c>
      <c r="FY295" s="324">
        <v>2051669.7245714283</v>
      </c>
      <c r="FZ295" s="324">
        <v>2564587.1557142856</v>
      </c>
      <c r="GA295" s="324">
        <v>2564587.1557142856</v>
      </c>
      <c r="GB295" s="324">
        <v>2564587.1557142856</v>
      </c>
      <c r="GC295" s="324">
        <v>3077495.2968571493</v>
      </c>
      <c r="GE295" s="426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7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7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7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4">
        <v>7122725</v>
      </c>
      <c r="EU299" s="324">
        <v>7122725</v>
      </c>
      <c r="EV299" s="324">
        <v>7122725</v>
      </c>
      <c r="EW299" s="324">
        <v>7122725</v>
      </c>
      <c r="EX299" s="324">
        <v>7122725</v>
      </c>
      <c r="EY299" s="324">
        <v>7122725</v>
      </c>
      <c r="EZ299" s="324">
        <v>7122725</v>
      </c>
      <c r="FA299" s="324">
        <v>7122725</v>
      </c>
      <c r="FB299" s="324">
        <v>7615225</v>
      </c>
      <c r="FC299" s="324">
        <v>7615225</v>
      </c>
      <c r="FD299" s="324">
        <v>7615225</v>
      </c>
      <c r="FE299" s="324">
        <v>7615225</v>
      </c>
      <c r="FF299" s="324">
        <v>7980725.0000000009</v>
      </c>
      <c r="FG299" s="324">
        <v>986719.96000000054</v>
      </c>
      <c r="FH299" s="324">
        <v>28101499.100000001</v>
      </c>
      <c r="FI299" s="324">
        <v>18499732.100000001</v>
      </c>
      <c r="FJ299" s="324">
        <v>14045836.270000001</v>
      </c>
      <c r="FK299" s="324">
        <v>1973802.6600000008</v>
      </c>
      <c r="FL299" s="324">
        <v>8764475.7899999991</v>
      </c>
      <c r="FM299" s="324">
        <v>1297206.1400000008</v>
      </c>
      <c r="FN299" s="324">
        <v>3140325.8000000007</v>
      </c>
      <c r="FO299" s="324">
        <v>1321292.0800000008</v>
      </c>
      <c r="FP299" s="324">
        <v>7803737.330000001</v>
      </c>
      <c r="FQ299" s="324">
        <v>1837347.7700000007</v>
      </c>
      <c r="FR299" s="324">
        <v>7654845.3899999997</v>
      </c>
      <c r="FS299" s="324">
        <v>1839801.88</v>
      </c>
      <c r="FT299" s="324">
        <v>27475960.399999999</v>
      </c>
      <c r="FU299" s="324">
        <v>22559197.739999998</v>
      </c>
      <c r="FV299" s="324">
        <v>1656916.58</v>
      </c>
      <c r="FW299" s="324">
        <v>5198232.47</v>
      </c>
      <c r="FX299" s="324">
        <v>7583026.2800000003</v>
      </c>
      <c r="FY299" s="324">
        <v>786949.86</v>
      </c>
      <c r="FZ299" s="324">
        <v>2190986</v>
      </c>
      <c r="GA299" s="324">
        <v>17371477.57</v>
      </c>
      <c r="GB299" s="324">
        <v>3971191.03</v>
      </c>
      <c r="GC299" s="324">
        <v>5055431.2400000077</v>
      </c>
      <c r="GE299" s="426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7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7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4">
        <v>800010.93333333347</v>
      </c>
      <c r="EU302" s="324">
        <v>800010.93333333347</v>
      </c>
      <c r="EV302" s="324">
        <v>800010.93333333347</v>
      </c>
      <c r="EW302" s="324">
        <v>800010.93333333347</v>
      </c>
      <c r="EX302" s="324">
        <v>800010.93333333347</v>
      </c>
      <c r="EY302" s="324">
        <v>800010.93333333347</v>
      </c>
      <c r="EZ302" s="324">
        <v>800010.93333333347</v>
      </c>
      <c r="FA302" s="324">
        <v>800010.93333333347</v>
      </c>
      <c r="FB302" s="324">
        <v>986109.29833333322</v>
      </c>
      <c r="FC302" s="324">
        <v>986109.29833333322</v>
      </c>
      <c r="FD302" s="324">
        <v>986109.29833333322</v>
      </c>
      <c r="FE302" s="324">
        <v>986109.29833333322</v>
      </c>
      <c r="FF302" s="324">
        <v>832820.39</v>
      </c>
      <c r="FG302" s="324">
        <v>780840.39</v>
      </c>
      <c r="FH302" s="324">
        <v>793807.47</v>
      </c>
      <c r="FI302" s="324">
        <v>776070.39</v>
      </c>
      <c r="FJ302" s="324">
        <v>793070.39</v>
      </c>
      <c r="FK302" s="324">
        <v>826070.39</v>
      </c>
      <c r="FL302" s="324">
        <v>846570.39</v>
      </c>
      <c r="FM302" s="324">
        <v>846570.39</v>
      </c>
      <c r="FN302" s="324">
        <v>826570.39</v>
      </c>
      <c r="FO302" s="324">
        <v>826570.39</v>
      </c>
      <c r="FP302" s="324">
        <v>826570.39</v>
      </c>
      <c r="FQ302" s="324">
        <v>845570.39</v>
      </c>
      <c r="FR302" s="324">
        <v>616777.93000000005</v>
      </c>
      <c r="FS302" s="324">
        <v>930050.26</v>
      </c>
      <c r="FT302" s="324">
        <v>896586.65</v>
      </c>
      <c r="FU302" s="324">
        <v>972131.72</v>
      </c>
      <c r="FV302" s="324">
        <v>769427.2</v>
      </c>
      <c r="FW302" s="324">
        <v>991607.47714285715</v>
      </c>
      <c r="FX302" s="324">
        <v>991607.47714285715</v>
      </c>
      <c r="FY302" s="324">
        <v>991607.47714285715</v>
      </c>
      <c r="FZ302" s="324">
        <v>991607.47714285715</v>
      </c>
      <c r="GA302" s="324">
        <v>991607.47714285715</v>
      </c>
      <c r="GB302" s="324">
        <v>991607.47714285715</v>
      </c>
      <c r="GC302" s="324">
        <v>991620.63714285719</v>
      </c>
      <c r="GE302" s="426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7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7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7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4">
        <v>2250983.3333333335</v>
      </c>
      <c r="EU306" s="324">
        <v>2250983.3333333335</v>
      </c>
      <c r="EV306" s="324">
        <v>2250983.3333333335</v>
      </c>
      <c r="EW306" s="324">
        <v>2250983.3333333335</v>
      </c>
      <c r="EX306" s="324">
        <v>2250983.3333333335</v>
      </c>
      <c r="EY306" s="324">
        <v>2250983.3333333335</v>
      </c>
      <c r="EZ306" s="324">
        <v>2250983.3333333335</v>
      </c>
      <c r="FA306" s="324">
        <v>2250983.3333333335</v>
      </c>
      <c r="FB306" s="324">
        <v>2180983.3333333344</v>
      </c>
      <c r="FC306" s="324">
        <v>2180983.3333333344</v>
      </c>
      <c r="FD306" s="324">
        <v>2180983.3333333344</v>
      </c>
      <c r="FE306" s="324">
        <v>2180983.3333333344</v>
      </c>
      <c r="FF306" s="324">
        <v>2149037.4966666666</v>
      </c>
      <c r="FG306" s="324">
        <v>2320829.9566666665</v>
      </c>
      <c r="FH306" s="324">
        <v>4834564.4966666671</v>
      </c>
      <c r="FI306" s="324">
        <v>2443787.4966666666</v>
      </c>
      <c r="FJ306" s="324">
        <v>2190037.4966666666</v>
      </c>
      <c r="FK306" s="324">
        <v>1990037.4966666666</v>
      </c>
      <c r="FL306" s="324">
        <v>1956704.1566666667</v>
      </c>
      <c r="FM306" s="324">
        <v>2253357.6966666663</v>
      </c>
      <c r="FN306" s="324">
        <v>4447481.1566666672</v>
      </c>
      <c r="FO306" s="324">
        <v>2156704.1566666663</v>
      </c>
      <c r="FP306" s="324">
        <v>2056704.1966666668</v>
      </c>
      <c r="FQ306" s="324">
        <v>2015354.1966666668</v>
      </c>
      <c r="FR306" s="324">
        <v>186907.92</v>
      </c>
      <c r="FS306" s="324">
        <v>1211715.27</v>
      </c>
      <c r="FT306" s="324">
        <v>1425211.49</v>
      </c>
      <c r="FU306" s="324">
        <v>5065576.53</v>
      </c>
      <c r="FV306" s="324">
        <v>1512180.75</v>
      </c>
      <c r="FW306" s="324">
        <v>4240435.0014285715</v>
      </c>
      <c r="FX306" s="324">
        <v>4240435.0014285715</v>
      </c>
      <c r="FY306" s="324">
        <v>4240435.0014285715</v>
      </c>
      <c r="FZ306" s="324">
        <v>4240435.0014285715</v>
      </c>
      <c r="GA306" s="324">
        <v>4240435.0014285715</v>
      </c>
      <c r="GB306" s="324">
        <v>4240435.0014285715</v>
      </c>
      <c r="GC306" s="324">
        <v>4240435.0014285715</v>
      </c>
      <c r="GE306" s="426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7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7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7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4">
        <v>2581823.9339999999</v>
      </c>
      <c r="EU310" s="324">
        <v>2581823.9339999999</v>
      </c>
      <c r="EV310" s="324">
        <v>2581823.9339999999</v>
      </c>
      <c r="EW310" s="324">
        <v>2696268.3784444444</v>
      </c>
      <c r="EX310" s="324">
        <v>2696268.3784444444</v>
      </c>
      <c r="EY310" s="324">
        <v>2696268.3784444444</v>
      </c>
      <c r="EZ310" s="324">
        <v>3987180.345444445</v>
      </c>
      <c r="FA310" s="324">
        <v>3987180.345444445</v>
      </c>
      <c r="FB310" s="324">
        <v>3877323.0754444436</v>
      </c>
      <c r="FC310" s="324">
        <v>3877323.0754444436</v>
      </c>
      <c r="FD310" s="324">
        <v>3877323.0754444436</v>
      </c>
      <c r="FE310" s="324">
        <v>3877323.0754444436</v>
      </c>
      <c r="FF310" s="324">
        <v>3473855.870833334</v>
      </c>
      <c r="FG310" s="324">
        <v>4119817.790833334</v>
      </c>
      <c r="FH310" s="324">
        <v>5047234.1108333347</v>
      </c>
      <c r="FI310" s="324">
        <v>3132271.9408333339</v>
      </c>
      <c r="FJ310" s="324">
        <v>3070265.2508333339</v>
      </c>
      <c r="FK310" s="324">
        <v>3309652.560833334</v>
      </c>
      <c r="FL310" s="324">
        <v>4122049.5508333351</v>
      </c>
      <c r="FM310" s="324">
        <v>3027649.6708333334</v>
      </c>
      <c r="FN310" s="324">
        <v>2986649.6408333336</v>
      </c>
      <c r="FO310" s="324">
        <v>2977759.6208333336</v>
      </c>
      <c r="FP310" s="324">
        <v>3014504.6508333334</v>
      </c>
      <c r="FQ310" s="324">
        <v>2914612.7408333337</v>
      </c>
      <c r="FR310" s="324">
        <v>1397051.29</v>
      </c>
      <c r="FS310" s="324">
        <v>3848578.53</v>
      </c>
      <c r="FT310" s="324">
        <v>3215082.08</v>
      </c>
      <c r="FU310" s="324">
        <v>3945513.03</v>
      </c>
      <c r="FV310" s="324">
        <v>3372954.89</v>
      </c>
      <c r="FW310" s="324">
        <v>6200000</v>
      </c>
      <c r="FX310" s="324">
        <v>4599715.6983333342</v>
      </c>
      <c r="FY310" s="324">
        <v>3679772.5586666674</v>
      </c>
      <c r="FZ310" s="324">
        <v>4599715.6983333342</v>
      </c>
      <c r="GA310" s="324">
        <v>4599715.6983333342</v>
      </c>
      <c r="GB310" s="324">
        <v>4599715.6983333342</v>
      </c>
      <c r="GC310" s="324">
        <v>5519658.8379999958</v>
      </c>
      <c r="GE310" s="426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7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7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7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7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7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7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7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7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7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4">
        <v>45950724.162500009</v>
      </c>
      <c r="EU320" s="324">
        <v>45950724.162500009</v>
      </c>
      <c r="EV320" s="324">
        <v>45950724.162500009</v>
      </c>
      <c r="EW320" s="324">
        <v>45950724.162500009</v>
      </c>
      <c r="EX320" s="324">
        <v>45950724.162500009</v>
      </c>
      <c r="EY320" s="324">
        <v>45950724.162500009</v>
      </c>
      <c r="EZ320" s="324">
        <v>45950724.162500009</v>
      </c>
      <c r="FA320" s="324">
        <v>45950724.162500009</v>
      </c>
      <c r="FB320" s="324">
        <v>47831745.139999971</v>
      </c>
      <c r="FC320" s="324">
        <v>47831745.139999971</v>
      </c>
      <c r="FD320" s="324">
        <v>47831745.139999971</v>
      </c>
      <c r="FE320" s="324">
        <v>47831745.139999971</v>
      </c>
      <c r="FF320" s="324">
        <v>46204849.909999982</v>
      </c>
      <c r="FG320" s="324">
        <v>46206149.810000002</v>
      </c>
      <c r="FH320" s="324">
        <v>46206149.810000002</v>
      </c>
      <c r="FI320" s="324">
        <v>46206149.810000002</v>
      </c>
      <c r="FJ320" s="324">
        <v>46206149.810000002</v>
      </c>
      <c r="FK320" s="324">
        <v>46206149.810000002</v>
      </c>
      <c r="FL320" s="324">
        <v>46206149.810000002</v>
      </c>
      <c r="FM320" s="324">
        <v>46206149.810000002</v>
      </c>
      <c r="FN320" s="324">
        <v>46206149.810000002</v>
      </c>
      <c r="FO320" s="324">
        <v>47329512.010000005</v>
      </c>
      <c r="FP320" s="324">
        <v>47329512.010000005</v>
      </c>
      <c r="FQ320" s="324">
        <v>47329512.010000005</v>
      </c>
      <c r="FR320" s="324">
        <f>FR321+FR330+FR336+FR344+FR346</f>
        <v>43744418.239999995</v>
      </c>
      <c r="FS320" s="324">
        <f t="shared" ref="FS320:GC320" si="84">FS321+FS330+FS336+FS344+FS346</f>
        <v>46796687.629999995</v>
      </c>
      <c r="FT320" s="324">
        <f t="shared" si="84"/>
        <v>46377214.320000008</v>
      </c>
      <c r="FU320" s="324">
        <f t="shared" si="84"/>
        <v>46828214.329999998</v>
      </c>
      <c r="FV320" s="324">
        <f t="shared" si="84"/>
        <v>44861859.969999999</v>
      </c>
      <c r="FW320" s="324">
        <f t="shared" si="84"/>
        <v>49868571.824285723</v>
      </c>
      <c r="FX320" s="324">
        <f t="shared" si="84"/>
        <v>49868571.824285723</v>
      </c>
      <c r="FY320" s="324">
        <f t="shared" si="84"/>
        <v>49868571.824285723</v>
      </c>
      <c r="FZ320" s="324">
        <f t="shared" si="84"/>
        <v>49868571.824285723</v>
      </c>
      <c r="GA320" s="324">
        <f t="shared" si="84"/>
        <v>49868571.824285723</v>
      </c>
      <c r="GB320" s="324">
        <f t="shared" si="84"/>
        <v>49868571.824285723</v>
      </c>
      <c r="GC320" s="324">
        <f t="shared" si="84"/>
        <v>49868571.824285723</v>
      </c>
      <c r="GE320" s="426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4">
        <v>6651000</v>
      </c>
      <c r="EU321" s="324">
        <v>6651000</v>
      </c>
      <c r="EV321" s="324">
        <v>6651000</v>
      </c>
      <c r="EW321" s="324">
        <v>6651000</v>
      </c>
      <c r="EX321" s="324">
        <v>6651000</v>
      </c>
      <c r="EY321" s="324">
        <v>6651000</v>
      </c>
      <c r="EZ321" s="324">
        <v>6651000</v>
      </c>
      <c r="FA321" s="324">
        <v>6651000</v>
      </c>
      <c r="FB321" s="324">
        <v>7394520.9774999991</v>
      </c>
      <c r="FC321" s="324">
        <v>7394520.9774999991</v>
      </c>
      <c r="FD321" s="324">
        <v>7394520.9774999991</v>
      </c>
      <c r="FE321" s="324">
        <v>7394520.9774999991</v>
      </c>
      <c r="FF321" s="324">
        <v>6747975.0000000028</v>
      </c>
      <c r="FG321" s="324">
        <v>6749275.0000000028</v>
      </c>
      <c r="FH321" s="324">
        <v>6749275.0000000028</v>
      </c>
      <c r="FI321" s="324">
        <v>6749275.0000000028</v>
      </c>
      <c r="FJ321" s="324">
        <v>6749275.0000000028</v>
      </c>
      <c r="FK321" s="324">
        <v>6749275.0000000028</v>
      </c>
      <c r="FL321" s="324">
        <v>6749275.0000000028</v>
      </c>
      <c r="FM321" s="324">
        <v>6749275.0000000028</v>
      </c>
      <c r="FN321" s="324">
        <v>6749275.0000000028</v>
      </c>
      <c r="FO321" s="324">
        <v>6749275.0000000028</v>
      </c>
      <c r="FP321" s="324">
        <v>6749275.0000000028</v>
      </c>
      <c r="FQ321" s="324">
        <v>6749275.0000000028</v>
      </c>
      <c r="FR321" s="324">
        <v>6448137.3300000001</v>
      </c>
      <c r="FS321" s="324">
        <v>7174722.5199999996</v>
      </c>
      <c r="FT321" s="324">
        <v>6752335.3300000001</v>
      </c>
      <c r="FU321" s="324">
        <v>6378584.3399999999</v>
      </c>
      <c r="FV321" s="324">
        <v>5976072.2199999997</v>
      </c>
      <c r="FW321" s="324">
        <v>7400021.1800000006</v>
      </c>
      <c r="FX321" s="324">
        <v>7400021.1800000006</v>
      </c>
      <c r="FY321" s="324">
        <v>7400021.1800000006</v>
      </c>
      <c r="FZ321" s="324">
        <v>7400021.1800000006</v>
      </c>
      <c r="GA321" s="324">
        <v>7400021.1800000006</v>
      </c>
      <c r="GB321" s="324">
        <v>7400021.1800000006</v>
      </c>
      <c r="GC321" s="324">
        <v>7400021.1800000006</v>
      </c>
      <c r="GE321" s="426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7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7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7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7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7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7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7"/>
    </row>
    <row r="329" spans="1:187" s="350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7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4">
        <v>1699899.96</v>
      </c>
      <c r="EU330" s="324">
        <v>1699899.96</v>
      </c>
      <c r="EV330" s="324">
        <v>1699899.96</v>
      </c>
      <c r="EW330" s="324">
        <v>1699899.96</v>
      </c>
      <c r="EX330" s="324">
        <v>1699899.96</v>
      </c>
      <c r="EY330" s="324">
        <v>1699899.96</v>
      </c>
      <c r="EZ330" s="324">
        <v>1699899.96</v>
      </c>
      <c r="FA330" s="324">
        <v>1699899.96</v>
      </c>
      <c r="FB330" s="324">
        <v>924899.9599999981</v>
      </c>
      <c r="FC330" s="324">
        <v>924899.9599999981</v>
      </c>
      <c r="FD330" s="324">
        <v>924899.9599999981</v>
      </c>
      <c r="FE330" s="324">
        <v>924899.9599999981</v>
      </c>
      <c r="FF330" s="324">
        <v>1236031.8000000014</v>
      </c>
      <c r="FG330" s="324">
        <v>1236031.8699999999</v>
      </c>
      <c r="FH330" s="324">
        <v>1236031.8699999999</v>
      </c>
      <c r="FI330" s="324">
        <v>1236031.8699999999</v>
      </c>
      <c r="FJ330" s="324">
        <v>1236031.8699999999</v>
      </c>
      <c r="FK330" s="324">
        <v>1236031.8699999999</v>
      </c>
      <c r="FL330" s="324">
        <v>1236031.8699999999</v>
      </c>
      <c r="FM330" s="324">
        <v>1236031.8699999999</v>
      </c>
      <c r="FN330" s="324">
        <v>1236031.8699999999</v>
      </c>
      <c r="FO330" s="324">
        <v>2359394.0699999998</v>
      </c>
      <c r="FP330" s="324">
        <v>2359394.0699999998</v>
      </c>
      <c r="FQ330" s="324">
        <v>2359394.0699999998</v>
      </c>
      <c r="FR330" s="324">
        <v>54255.6</v>
      </c>
      <c r="FS330" s="324">
        <v>1607182</v>
      </c>
      <c r="FT330" s="324">
        <v>1602703.45</v>
      </c>
      <c r="FU330" s="324">
        <v>1448885.74</v>
      </c>
      <c r="FV330" s="324">
        <v>1413828.93</v>
      </c>
      <c r="FW330" s="324">
        <v>2033020.7142857143</v>
      </c>
      <c r="FX330" s="324">
        <v>2033020.7142857143</v>
      </c>
      <c r="FY330" s="324">
        <v>2033020.7142857143</v>
      </c>
      <c r="FZ330" s="324">
        <v>2033020.7142857143</v>
      </c>
      <c r="GA330" s="324">
        <v>2033020.7142857143</v>
      </c>
      <c r="GB330" s="324">
        <v>2033020.7142857143</v>
      </c>
      <c r="GC330" s="324">
        <v>2033020.7142857143</v>
      </c>
      <c r="GE330" s="426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7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7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7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7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7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4">
        <v>35472732.535833336</v>
      </c>
      <c r="EU336" s="324">
        <v>35472732.535833336</v>
      </c>
      <c r="EV336" s="324">
        <v>35472732.535833336</v>
      </c>
      <c r="EW336" s="324">
        <v>35472732.535833336</v>
      </c>
      <c r="EX336" s="324">
        <v>35472732.535833336</v>
      </c>
      <c r="EY336" s="324">
        <v>35472732.535833336</v>
      </c>
      <c r="EZ336" s="324">
        <v>35472732.535833336</v>
      </c>
      <c r="FA336" s="324">
        <v>35472732.535833336</v>
      </c>
      <c r="FB336" s="324">
        <v>35472732.535833336</v>
      </c>
      <c r="FC336" s="324">
        <v>35472732.535833336</v>
      </c>
      <c r="FD336" s="324">
        <v>35472732.535833336</v>
      </c>
      <c r="FE336" s="324">
        <v>35472732.535833336</v>
      </c>
      <c r="FF336" s="324">
        <v>35752084.619999975</v>
      </c>
      <c r="FG336" s="324">
        <v>35752084.530000001</v>
      </c>
      <c r="FH336" s="324">
        <v>35752084.530000001</v>
      </c>
      <c r="FI336" s="324">
        <v>35752084.530000001</v>
      </c>
      <c r="FJ336" s="324">
        <v>35752084.530000001</v>
      </c>
      <c r="FK336" s="324">
        <v>35752084.530000001</v>
      </c>
      <c r="FL336" s="324">
        <v>35752084.530000001</v>
      </c>
      <c r="FM336" s="324">
        <v>35752084.530000001</v>
      </c>
      <c r="FN336" s="324">
        <v>35752084.530000001</v>
      </c>
      <c r="FO336" s="324">
        <v>35752084.530000001</v>
      </c>
      <c r="FP336" s="324">
        <v>35752084.530000001</v>
      </c>
      <c r="FQ336" s="324">
        <v>35752084.530000001</v>
      </c>
      <c r="FR336" s="324">
        <v>34875207.159999996</v>
      </c>
      <c r="FS336" s="324">
        <v>35344644.090000004</v>
      </c>
      <c r="FT336" s="324">
        <v>35520020</v>
      </c>
      <c r="FU336" s="324">
        <v>36212765.539999999</v>
      </c>
      <c r="FV336" s="324">
        <v>35322836.950000003</v>
      </c>
      <c r="FW336" s="324">
        <v>37842845.828571431</v>
      </c>
      <c r="FX336" s="324">
        <v>37842845.828571431</v>
      </c>
      <c r="FY336" s="324">
        <v>37842845.828571431</v>
      </c>
      <c r="FZ336" s="324">
        <v>37842845.828571431</v>
      </c>
      <c r="GA336" s="324">
        <v>37842845.828571431</v>
      </c>
      <c r="GB336" s="324">
        <v>37842845.828571431</v>
      </c>
      <c r="GC336" s="324">
        <v>37842845.828571431</v>
      </c>
      <c r="GE336" s="426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7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7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7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7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7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7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7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4">
        <v>1375008.3333333333</v>
      </c>
      <c r="EU344" s="324">
        <v>1375008.3333333333</v>
      </c>
      <c r="EV344" s="324">
        <v>1375008.3333333333</v>
      </c>
      <c r="EW344" s="324">
        <v>1375008.3333333333</v>
      </c>
      <c r="EX344" s="324">
        <v>1375008.3333333333</v>
      </c>
      <c r="EY344" s="324">
        <v>1375008.3333333333</v>
      </c>
      <c r="EZ344" s="324">
        <v>1375008.3333333333</v>
      </c>
      <c r="FA344" s="324">
        <v>1375008.3333333333</v>
      </c>
      <c r="FB344" s="324">
        <v>2000008.3333333328</v>
      </c>
      <c r="FC344" s="324">
        <v>2000008.3333333328</v>
      </c>
      <c r="FD344" s="324">
        <v>2000008.3333333328</v>
      </c>
      <c r="FE344" s="324">
        <v>2000008.3333333328</v>
      </c>
      <c r="FF344" s="324">
        <v>1583341.7399999984</v>
      </c>
      <c r="FG344" s="324">
        <v>1583341.6600000001</v>
      </c>
      <c r="FH344" s="324">
        <v>1583341.6600000001</v>
      </c>
      <c r="FI344" s="324">
        <v>1583341.6600000001</v>
      </c>
      <c r="FJ344" s="324">
        <v>1583341.6600000001</v>
      </c>
      <c r="FK344" s="324">
        <v>1583341.6600000001</v>
      </c>
      <c r="FL344" s="324">
        <v>1583341.6600000001</v>
      </c>
      <c r="FM344" s="324">
        <v>1583341.6600000001</v>
      </c>
      <c r="FN344" s="324">
        <v>1583341.6600000001</v>
      </c>
      <c r="FO344" s="324">
        <v>1583341.6600000001</v>
      </c>
      <c r="FP344" s="324">
        <v>1583341.6600000001</v>
      </c>
      <c r="FQ344" s="324">
        <v>1583341.6600000001</v>
      </c>
      <c r="FR344" s="324">
        <v>1621388.9</v>
      </c>
      <c r="FS344" s="324">
        <v>1831428.58</v>
      </c>
      <c r="FT344" s="324">
        <v>1595368.45</v>
      </c>
      <c r="FU344" s="324">
        <v>2107330.88</v>
      </c>
      <c r="FV344" s="324">
        <v>1443795.73</v>
      </c>
      <c r="FW344" s="324">
        <v>1628669.78</v>
      </c>
      <c r="FX344" s="324">
        <v>1628669.78</v>
      </c>
      <c r="FY344" s="324">
        <v>1628669.78</v>
      </c>
      <c r="FZ344" s="324">
        <v>1628669.78</v>
      </c>
      <c r="GA344" s="324">
        <v>1628669.78</v>
      </c>
      <c r="GB344" s="324">
        <v>1628669.78</v>
      </c>
      <c r="GC344" s="324">
        <v>1628669.78</v>
      </c>
      <c r="GE344" s="426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7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4">
        <v>752083.33333333337</v>
      </c>
      <c r="EU346" s="324">
        <v>752083.33333333337</v>
      </c>
      <c r="EV346" s="324">
        <v>752083.33333333337</v>
      </c>
      <c r="EW346" s="324">
        <v>752083.33333333337</v>
      </c>
      <c r="EX346" s="324">
        <v>752083.33333333337</v>
      </c>
      <c r="EY346" s="324">
        <v>752083.33333333337</v>
      </c>
      <c r="EZ346" s="324">
        <v>752083.33333333337</v>
      </c>
      <c r="FA346" s="324">
        <v>752083.33333333337</v>
      </c>
      <c r="FB346" s="324">
        <v>2039583.333333334</v>
      </c>
      <c r="FC346" s="324">
        <v>2039583.333333334</v>
      </c>
      <c r="FD346" s="324">
        <v>2039583.333333334</v>
      </c>
      <c r="FE346" s="324">
        <v>2039583.333333334</v>
      </c>
      <c r="FF346" s="324">
        <v>885416.75</v>
      </c>
      <c r="FG346" s="324">
        <v>885416.75</v>
      </c>
      <c r="FH346" s="324">
        <v>885416.75</v>
      </c>
      <c r="FI346" s="324">
        <v>885416.75</v>
      </c>
      <c r="FJ346" s="324">
        <v>885416.75</v>
      </c>
      <c r="FK346" s="324">
        <v>885416.75</v>
      </c>
      <c r="FL346" s="324">
        <v>885416.75</v>
      </c>
      <c r="FM346" s="324">
        <v>885416.75</v>
      </c>
      <c r="FN346" s="324">
        <v>885416.75</v>
      </c>
      <c r="FO346" s="324">
        <v>885416.75</v>
      </c>
      <c r="FP346" s="324">
        <v>885416.75</v>
      </c>
      <c r="FQ346" s="324">
        <v>885416.75</v>
      </c>
      <c r="FR346" s="324">
        <v>745429.25</v>
      </c>
      <c r="FS346" s="324">
        <v>838710.44</v>
      </c>
      <c r="FT346" s="324">
        <v>906787.09</v>
      </c>
      <c r="FU346" s="324">
        <v>680647.83</v>
      </c>
      <c r="FV346" s="324">
        <v>705326.14</v>
      </c>
      <c r="FW346" s="324">
        <v>964014.32142857148</v>
      </c>
      <c r="FX346" s="324">
        <v>964014.32142857148</v>
      </c>
      <c r="FY346" s="324">
        <v>964014.32142857148</v>
      </c>
      <c r="FZ346" s="324">
        <v>964014.32142857148</v>
      </c>
      <c r="GA346" s="324">
        <v>964014.32142857148</v>
      </c>
      <c r="GB346" s="324">
        <v>964014.32142857148</v>
      </c>
      <c r="GC346" s="324">
        <v>964014.32142857101</v>
      </c>
      <c r="GE346" s="426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7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7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7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4">
        <v>15295211.558333334</v>
      </c>
      <c r="EU350" s="324">
        <v>15295211.558333334</v>
      </c>
      <c r="EV350" s="324">
        <v>15295211.558333334</v>
      </c>
      <c r="EW350" s="324">
        <v>18161878.224999998</v>
      </c>
      <c r="EX350" s="324">
        <v>18161878.224999998</v>
      </c>
      <c r="EY350" s="324">
        <v>18161878.224999998</v>
      </c>
      <c r="EZ350" s="324">
        <v>15295211.558333334</v>
      </c>
      <c r="FA350" s="324">
        <v>15295211.558333334</v>
      </c>
      <c r="FB350" s="324">
        <v>18930636.555833336</v>
      </c>
      <c r="FC350" s="324">
        <v>18930636.555833336</v>
      </c>
      <c r="FD350" s="324">
        <v>18930636.555833336</v>
      </c>
      <c r="FE350" s="324">
        <v>18930636.555833336</v>
      </c>
      <c r="FF350" s="324">
        <v>20338750.958333332</v>
      </c>
      <c r="FG350" s="324">
        <v>22018439.158333331</v>
      </c>
      <c r="FH350" s="324">
        <v>17975691.918333333</v>
      </c>
      <c r="FI350" s="324">
        <v>15972358.598333333</v>
      </c>
      <c r="FJ350" s="324">
        <v>15993608.598333333</v>
      </c>
      <c r="FK350" s="324">
        <v>16020602.668333333</v>
      </c>
      <c r="FL350" s="324">
        <v>22848909.595000003</v>
      </c>
      <c r="FM350" s="324">
        <v>17972208.524999999</v>
      </c>
      <c r="FN350" s="324">
        <v>17992208.524999999</v>
      </c>
      <c r="FO350" s="324">
        <v>17923875.184999999</v>
      </c>
      <c r="FP350" s="324">
        <v>17866375.204999998</v>
      </c>
      <c r="FQ350" s="324">
        <v>18024758.024999999</v>
      </c>
      <c r="FR350" s="324">
        <v>23631566.68</v>
      </c>
      <c r="FS350" s="324">
        <v>23914749.120000001</v>
      </c>
      <c r="FT350" s="324">
        <v>31910693.890000001</v>
      </c>
      <c r="FU350" s="324">
        <v>17331295.199999999</v>
      </c>
      <c r="FV350" s="324">
        <v>15552980.33</v>
      </c>
      <c r="FW350" s="324">
        <v>23483872.51285715</v>
      </c>
      <c r="FX350" s="324">
        <v>19317205.846190531</v>
      </c>
      <c r="FY350" s="324">
        <v>19317205.846190531</v>
      </c>
      <c r="FZ350" s="324">
        <v>19317205.846190531</v>
      </c>
      <c r="GA350" s="324">
        <v>44317205.846190527</v>
      </c>
      <c r="GB350" s="324">
        <v>19317205.846190531</v>
      </c>
      <c r="GC350" s="324">
        <v>19317205.846190531</v>
      </c>
      <c r="GE350" s="426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4">
        <v>14810545.166666666</v>
      </c>
      <c r="EU351" s="324">
        <v>14810545.166666666</v>
      </c>
      <c r="EV351" s="324">
        <v>14810545.166666666</v>
      </c>
      <c r="EW351" s="324">
        <v>17677211.833333332</v>
      </c>
      <c r="EX351" s="324">
        <v>17677211.833333332</v>
      </c>
      <c r="EY351" s="324">
        <v>17677211.833333332</v>
      </c>
      <c r="EZ351" s="324">
        <v>14810545.166666666</v>
      </c>
      <c r="FA351" s="324">
        <v>14810545.166666666</v>
      </c>
      <c r="FB351" s="324">
        <v>18469212.55916667</v>
      </c>
      <c r="FC351" s="324">
        <v>18469212.55916667</v>
      </c>
      <c r="FD351" s="324">
        <v>18469212.55916667</v>
      </c>
      <c r="FE351" s="324">
        <v>18469212.55916667</v>
      </c>
      <c r="FF351" s="324">
        <v>18445155.148333333</v>
      </c>
      <c r="FG351" s="324">
        <v>20224843.348333333</v>
      </c>
      <c r="FH351" s="324">
        <v>16273762.778333332</v>
      </c>
      <c r="FI351" s="324">
        <v>14270429.458333332</v>
      </c>
      <c r="FJ351" s="324">
        <v>14291679.458333332</v>
      </c>
      <c r="FK351" s="324">
        <v>14318673.528333332</v>
      </c>
      <c r="FL351" s="324">
        <v>19138771.788333334</v>
      </c>
      <c r="FM351" s="324">
        <v>14278737.378333332</v>
      </c>
      <c r="FN351" s="324">
        <v>14298737.378333332</v>
      </c>
      <c r="FO351" s="324">
        <v>14278737.378333332</v>
      </c>
      <c r="FP351" s="324">
        <v>14298737.388333332</v>
      </c>
      <c r="FQ351" s="324">
        <v>14457120.208333332</v>
      </c>
      <c r="FR351" s="324">
        <v>0</v>
      </c>
      <c r="FS351" s="324">
        <v>0</v>
      </c>
      <c r="FT351" s="324">
        <v>0</v>
      </c>
      <c r="FU351" s="324">
        <v>0</v>
      </c>
      <c r="FV351" s="324">
        <v>0</v>
      </c>
      <c r="FW351" s="324">
        <v>0</v>
      </c>
      <c r="FX351" s="324">
        <v>0</v>
      </c>
      <c r="FY351" s="324">
        <v>0</v>
      </c>
      <c r="FZ351" s="324">
        <v>0</v>
      </c>
      <c r="GA351" s="324">
        <v>0</v>
      </c>
      <c r="GB351" s="324">
        <v>0</v>
      </c>
      <c r="GC351" s="324">
        <v>0</v>
      </c>
      <c r="GE351" s="426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7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7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7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7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7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7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7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7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7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4">
        <v>484666.39166666666</v>
      </c>
      <c r="EU361" s="324">
        <v>484666.39166666666</v>
      </c>
      <c r="EV361" s="324">
        <v>484666.39166666666</v>
      </c>
      <c r="EW361" s="324">
        <v>484666.39166666666</v>
      </c>
      <c r="EX361" s="324">
        <v>484666.39166666666</v>
      </c>
      <c r="EY361" s="324">
        <v>484666.39166666666</v>
      </c>
      <c r="EZ361" s="324">
        <v>484666.39166666666</v>
      </c>
      <c r="FA361" s="324">
        <v>484666.39166666666</v>
      </c>
      <c r="FB361" s="324">
        <v>461423.99666666664</v>
      </c>
      <c r="FC361" s="324">
        <v>461423.99666666664</v>
      </c>
      <c r="FD361" s="324">
        <v>461423.99666666664</v>
      </c>
      <c r="FE361" s="324">
        <v>461423.99666666664</v>
      </c>
      <c r="FF361" s="324">
        <v>1893595.81</v>
      </c>
      <c r="FG361" s="324">
        <v>1793595.81</v>
      </c>
      <c r="FH361" s="324">
        <v>1701929.1400000001</v>
      </c>
      <c r="FI361" s="324">
        <v>1701929.1400000001</v>
      </c>
      <c r="FJ361" s="324">
        <v>1701929.1400000001</v>
      </c>
      <c r="FK361" s="324">
        <v>1701929.1400000001</v>
      </c>
      <c r="FL361" s="324">
        <v>1701929.1400000001</v>
      </c>
      <c r="FM361" s="324">
        <v>1685262.48</v>
      </c>
      <c r="FN361" s="324">
        <v>1685262.48</v>
      </c>
      <c r="FO361" s="324">
        <v>1636929.14</v>
      </c>
      <c r="FP361" s="324">
        <v>1559429.15</v>
      </c>
      <c r="FQ361" s="324">
        <v>1559429.15</v>
      </c>
      <c r="FR361" s="324">
        <v>0</v>
      </c>
      <c r="FS361" s="324">
        <v>0</v>
      </c>
      <c r="FT361" s="324">
        <v>0</v>
      </c>
      <c r="FU361" s="324">
        <v>0</v>
      </c>
      <c r="FV361" s="324">
        <v>0</v>
      </c>
      <c r="FW361" s="324">
        <v>0</v>
      </c>
      <c r="FX361" s="324">
        <v>0</v>
      </c>
      <c r="FY361" s="324">
        <v>0</v>
      </c>
      <c r="FZ361" s="324">
        <v>0</v>
      </c>
      <c r="GA361" s="324">
        <v>0</v>
      </c>
      <c r="GB361" s="324">
        <v>0</v>
      </c>
      <c r="GC361" s="324">
        <v>0</v>
      </c>
      <c r="GE361" s="426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7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7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7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7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7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7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0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4">
        <v>21472083.333333332</v>
      </c>
      <c r="EU368" s="324">
        <v>21472083.333333332</v>
      </c>
      <c r="EV368" s="324">
        <v>21472083.333333332</v>
      </c>
      <c r="EW368" s="324">
        <v>21472083.333333332</v>
      </c>
      <c r="EX368" s="324">
        <v>21472083.333333332</v>
      </c>
      <c r="EY368" s="324">
        <v>21472083.333333332</v>
      </c>
      <c r="EZ368" s="324">
        <v>26990416.666666664</v>
      </c>
      <c r="FA368" s="324">
        <v>26990416.666666664</v>
      </c>
      <c r="FB368" s="324">
        <v>26315416.666666701</v>
      </c>
      <c r="FC368" s="324">
        <v>26315416.666666701</v>
      </c>
      <c r="FD368" s="324">
        <v>26815416.670000002</v>
      </c>
      <c r="FE368" s="324">
        <v>26815416.66</v>
      </c>
      <c r="FF368" s="324">
        <v>26743749.989999995</v>
      </c>
      <c r="FG368" s="324">
        <v>26743749.989999995</v>
      </c>
      <c r="FH368" s="324">
        <v>26743749.989999995</v>
      </c>
      <c r="FI368" s="324">
        <v>26743749.989999995</v>
      </c>
      <c r="FJ368" s="324">
        <v>26743749.989999995</v>
      </c>
      <c r="FK368" s="324">
        <v>26743749.989999995</v>
      </c>
      <c r="FL368" s="324">
        <v>26743749.989999995</v>
      </c>
      <c r="FM368" s="324">
        <v>26743749.989999995</v>
      </c>
      <c r="FN368" s="324">
        <v>26743749.989999995</v>
      </c>
      <c r="FO368" s="324">
        <v>26743749.989999995</v>
      </c>
      <c r="FP368" s="324">
        <v>14243749.989999998</v>
      </c>
      <c r="FQ368" s="324">
        <v>14243750.109999999</v>
      </c>
      <c r="FR368" s="324">
        <v>4153095.62</v>
      </c>
      <c r="FS368" s="324">
        <v>8919354.2899999991</v>
      </c>
      <c r="FT368" s="324">
        <v>13085415.970000001</v>
      </c>
      <c r="FU368" s="324">
        <v>17943688.25</v>
      </c>
      <c r="FV368" s="324">
        <v>15872563.539999999</v>
      </c>
      <c r="FW368" s="324">
        <v>25000000</v>
      </c>
      <c r="FX368" s="324">
        <v>20000000</v>
      </c>
      <c r="FY368" s="324">
        <v>20000000</v>
      </c>
      <c r="FZ368" s="324">
        <v>20000000</v>
      </c>
      <c r="GA368" s="324">
        <v>17295648.326666653</v>
      </c>
      <c r="GB368" s="324">
        <v>17295648.326666653</v>
      </c>
      <c r="GC368" s="324">
        <v>17295648.326666653</v>
      </c>
      <c r="GE368" s="426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7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7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7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7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7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7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7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4">
        <v>70000000</v>
      </c>
      <c r="FF376" s="348">
        <v>26666.67</v>
      </c>
      <c r="FG376" s="348">
        <v>26666.67</v>
      </c>
      <c r="FH376" s="348">
        <v>26666.67</v>
      </c>
      <c r="FI376" s="348">
        <v>39926666.670000002</v>
      </c>
      <c r="FJ376" s="348">
        <v>26666.67</v>
      </c>
      <c r="FK376" s="348">
        <v>26666.67</v>
      </c>
      <c r="FL376" s="348">
        <v>26666.67</v>
      </c>
      <c r="FM376" s="348">
        <v>26666.67</v>
      </c>
      <c r="FN376" s="348">
        <v>26666.67</v>
      </c>
      <c r="FO376" s="348">
        <v>26666.67</v>
      </c>
      <c r="FP376" s="348">
        <v>26666.67</v>
      </c>
      <c r="FQ376" s="348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7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7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4">
        <v>239583.41666666666</v>
      </c>
      <c r="EU378" s="324">
        <v>239583.41666666666</v>
      </c>
      <c r="EV378" s="324">
        <v>239583.41666666666</v>
      </c>
      <c r="EW378" s="324">
        <v>239583.41666666666</v>
      </c>
      <c r="EX378" s="324">
        <v>239583.41666666666</v>
      </c>
      <c r="EY378" s="324">
        <v>239583.41666666666</v>
      </c>
      <c r="EZ378" s="324">
        <v>239583.41666666666</v>
      </c>
      <c r="FA378" s="324">
        <v>239583.41666666666</v>
      </c>
      <c r="FB378" s="324">
        <v>239583.41666666666</v>
      </c>
      <c r="FC378" s="324">
        <v>239583.41666666666</v>
      </c>
      <c r="FD378" s="324">
        <v>239583.41666666666</v>
      </c>
      <c r="FE378" s="324">
        <v>239583.41666666666</v>
      </c>
      <c r="FF378" s="324">
        <v>190000.08333333334</v>
      </c>
      <c r="FG378" s="324">
        <v>190000.08333333334</v>
      </c>
      <c r="FH378" s="324">
        <v>190000.08333333334</v>
      </c>
      <c r="FI378" s="324">
        <v>190000.08333333334</v>
      </c>
      <c r="FJ378" s="324">
        <v>190000.08333333334</v>
      </c>
      <c r="FK378" s="324">
        <v>190000.08333333334</v>
      </c>
      <c r="FL378" s="324">
        <v>190000.08333333334</v>
      </c>
      <c r="FM378" s="324">
        <v>190000.08333333334</v>
      </c>
      <c r="FN378" s="324">
        <v>190000.08333333334</v>
      </c>
      <c r="FO378" s="324">
        <v>190000.08333333334</v>
      </c>
      <c r="FP378" s="324">
        <v>190000.08333333334</v>
      </c>
      <c r="FQ378" s="324">
        <v>190000.08333333334</v>
      </c>
      <c r="FR378" s="324">
        <v>0</v>
      </c>
      <c r="FS378" s="324">
        <v>277634</v>
      </c>
      <c r="FT378" s="324">
        <v>0</v>
      </c>
      <c r="FU378" s="324">
        <v>268014</v>
      </c>
      <c r="FV378" s="324">
        <v>5000</v>
      </c>
      <c r="FW378" s="324">
        <v>147050.57142857142</v>
      </c>
      <c r="FX378" s="324">
        <v>147050.57142857142</v>
      </c>
      <c r="FY378" s="324">
        <v>147050.57142857142</v>
      </c>
      <c r="FZ378" s="324">
        <v>147050.57142857142</v>
      </c>
      <c r="GA378" s="324">
        <v>147050.57142857142</v>
      </c>
      <c r="GB378" s="324">
        <v>147050.57142857142</v>
      </c>
      <c r="GC378" s="324">
        <v>147050.57142857142</v>
      </c>
      <c r="GE378" s="426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2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7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7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7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7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7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5">
        <f>DV386+DV389+DV392</f>
        <v>32768615.2925</v>
      </c>
      <c r="DW385" s="315">
        <f t="shared" ref="DW385:ES385" si="119">DW386+DW389+DW392</f>
        <v>32768615.2925</v>
      </c>
      <c r="DX385" s="315">
        <f t="shared" si="119"/>
        <v>32768615.2925</v>
      </c>
      <c r="DY385" s="315">
        <f t="shared" si="119"/>
        <v>32768615.2925</v>
      </c>
      <c r="DZ385" s="315">
        <f t="shared" si="119"/>
        <v>32768615.2925</v>
      </c>
      <c r="EA385" s="315">
        <f t="shared" si="119"/>
        <v>32768615.2925</v>
      </c>
      <c r="EB385" s="315">
        <f t="shared" si="119"/>
        <v>32768615.2925</v>
      </c>
      <c r="EC385" s="315">
        <f t="shared" si="119"/>
        <v>32768615.2925</v>
      </c>
      <c r="ED385" s="315">
        <f t="shared" si="119"/>
        <v>32768615.2925</v>
      </c>
      <c r="EE385" s="315">
        <f t="shared" si="119"/>
        <v>32768615.2925</v>
      </c>
      <c r="EF385" s="315">
        <f t="shared" si="119"/>
        <v>32768615.2925</v>
      </c>
      <c r="EG385" s="315">
        <f t="shared" si="119"/>
        <v>32768615.2925</v>
      </c>
      <c r="EH385" s="315">
        <f t="shared" si="119"/>
        <v>4617467.5633333325</v>
      </c>
      <c r="EI385" s="315">
        <f t="shared" si="119"/>
        <v>5248180.4533333331</v>
      </c>
      <c r="EJ385" s="315">
        <f t="shared" si="119"/>
        <v>18465645.143333334</v>
      </c>
      <c r="EK385" s="315">
        <f t="shared" si="119"/>
        <v>67460865.603333324</v>
      </c>
      <c r="EL385" s="315">
        <f t="shared" si="119"/>
        <v>10247541.783333333</v>
      </c>
      <c r="EM385" s="315">
        <f t="shared" si="119"/>
        <v>16046343.563333331</v>
      </c>
      <c r="EN385" s="315">
        <f t="shared" si="119"/>
        <v>23103608.363333337</v>
      </c>
      <c r="EO385" s="315">
        <f t="shared" si="119"/>
        <v>16877006.883333333</v>
      </c>
      <c r="EP385" s="315">
        <f t="shared" si="119"/>
        <v>17318908.093333334</v>
      </c>
      <c r="EQ385" s="315">
        <f t="shared" si="119"/>
        <v>9686739.4033333324</v>
      </c>
      <c r="ER385" s="315">
        <f t="shared" si="119"/>
        <v>11714826.133333333</v>
      </c>
      <c r="ES385" s="315">
        <f t="shared" si="119"/>
        <v>19628370.163333334</v>
      </c>
      <c r="FF385" s="324">
        <v>1718363.6600000001</v>
      </c>
      <c r="FG385" s="324">
        <v>3362692.9499999997</v>
      </c>
      <c r="FH385" s="324">
        <v>17620925.690000001</v>
      </c>
      <c r="FI385" s="324">
        <v>21217195.289999999</v>
      </c>
      <c r="FJ385" s="324">
        <v>181489557.88</v>
      </c>
      <c r="FK385" s="324">
        <v>16844785.800000001</v>
      </c>
      <c r="FL385" s="324">
        <v>61721044.270000003</v>
      </c>
      <c r="FM385" s="324">
        <v>13754741.09</v>
      </c>
      <c r="FN385" s="324">
        <v>17831317.309999999</v>
      </c>
      <c r="FO385" s="324">
        <v>6151156.2299999995</v>
      </c>
      <c r="FP385" s="324">
        <v>10176505.869999999</v>
      </c>
      <c r="FQ385" s="324">
        <v>21711713.960000001</v>
      </c>
      <c r="FR385" s="324">
        <v>1725839.0999999999</v>
      </c>
      <c r="FS385" s="324">
        <v>3305317.26</v>
      </c>
      <c r="FT385" s="324">
        <v>339468444.25999999</v>
      </c>
      <c r="FU385" s="324">
        <v>17477408.559999999</v>
      </c>
      <c r="FV385" s="324">
        <v>15441444.539999999</v>
      </c>
      <c r="FW385" s="324">
        <v>12046825.949999999</v>
      </c>
      <c r="FX385" s="324">
        <v>11726652.870000001</v>
      </c>
      <c r="FY385" s="324">
        <v>8624889.1799999997</v>
      </c>
      <c r="FZ385" s="324">
        <v>18011093.800000001</v>
      </c>
      <c r="GA385" s="324">
        <v>9855652.5999999996</v>
      </c>
      <c r="GB385" s="324">
        <v>89792355.439999998</v>
      </c>
      <c r="GC385" s="324">
        <v>12114076.439999999</v>
      </c>
      <c r="GE385" s="426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4">
        <v>1718363.6600000001</v>
      </c>
      <c r="FG386" s="324">
        <v>3362692.9499999997</v>
      </c>
      <c r="FH386" s="324">
        <v>17620925.690000001</v>
      </c>
      <c r="FI386" s="324">
        <v>21217195.289999999</v>
      </c>
      <c r="FJ386" s="324">
        <v>181489557.88</v>
      </c>
      <c r="FK386" s="324">
        <v>16844785.800000001</v>
      </c>
      <c r="FL386" s="324">
        <v>61721044.270000003</v>
      </c>
      <c r="FM386" s="324">
        <v>13754741.09</v>
      </c>
      <c r="FN386" s="324">
        <v>17831317.309999999</v>
      </c>
      <c r="FO386" s="324">
        <v>6151156.2299999995</v>
      </c>
      <c r="FP386" s="324">
        <v>10176505.869999999</v>
      </c>
      <c r="FQ386" s="324">
        <v>21711713.960000001</v>
      </c>
      <c r="FR386" s="324">
        <v>1725839.0999999999</v>
      </c>
      <c r="FS386" s="324">
        <v>3305317.26</v>
      </c>
      <c r="FT386" s="324">
        <v>339468444.25999999</v>
      </c>
      <c r="FU386" s="324">
        <v>17477408.559999999</v>
      </c>
      <c r="FV386" s="324">
        <v>15441444.539999999</v>
      </c>
      <c r="FW386" s="324">
        <v>12046825.949999999</v>
      </c>
      <c r="FX386" s="324">
        <v>11726652.870000001</v>
      </c>
      <c r="FY386" s="324">
        <v>8624889.1799999997</v>
      </c>
      <c r="FZ386" s="324">
        <v>18011093.800000001</v>
      </c>
      <c r="GA386" s="324">
        <v>9855652.5999999996</v>
      </c>
      <c r="GB386" s="324">
        <v>89792355.439999998</v>
      </c>
      <c r="GC386" s="324">
        <v>12114076.439999999</v>
      </c>
      <c r="GE386" s="426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7">
        <v>1983333.3333333333</v>
      </c>
      <c r="CS387" s="327">
        <v>1983333.3333333333</v>
      </c>
      <c r="CT387" s="327">
        <v>1983333.3333333333</v>
      </c>
      <c r="CU387" s="327">
        <v>1983333.3333333333</v>
      </c>
      <c r="CV387" s="327">
        <v>1983333.3333333333</v>
      </c>
      <c r="CW387" s="328">
        <v>1983333.3333333333</v>
      </c>
      <c r="CX387" s="329">
        <v>2500695.4391666665</v>
      </c>
      <c r="CY387" s="330">
        <v>2500695.4391666665</v>
      </c>
      <c r="CZ387" s="330">
        <v>2500695.4391666665</v>
      </c>
      <c r="DA387" s="330">
        <v>2500695.4391666665</v>
      </c>
      <c r="DB387" s="330">
        <v>2500695.4391666665</v>
      </c>
      <c r="DC387" s="330">
        <v>2500695.4391666665</v>
      </c>
      <c r="DD387" s="330">
        <v>2500695.4391666665</v>
      </c>
      <c r="DE387" s="330">
        <v>2500695.4391666665</v>
      </c>
      <c r="DF387" s="330">
        <v>2500695.4391666665</v>
      </c>
      <c r="DG387" s="330">
        <v>2500695.4391666665</v>
      </c>
      <c r="DH387" s="330">
        <v>2500695.4391666665</v>
      </c>
      <c r="DI387" s="331">
        <v>2500695.4391666665</v>
      </c>
      <c r="DJ387" s="332">
        <v>3892510.16</v>
      </c>
      <c r="DK387" s="327">
        <v>3892510.16</v>
      </c>
      <c r="DL387" s="327">
        <v>3892510.16</v>
      </c>
      <c r="DM387" s="327">
        <v>3892510.16</v>
      </c>
      <c r="DN387" s="327">
        <v>3892510.16</v>
      </c>
      <c r="DO387" s="327">
        <v>3892510.16</v>
      </c>
      <c r="DP387" s="327">
        <v>3892510.16</v>
      </c>
      <c r="DQ387" s="327">
        <v>3892510.16</v>
      </c>
      <c r="DR387" s="327">
        <v>3892510.16</v>
      </c>
      <c r="DS387" s="327">
        <v>3892510.16</v>
      </c>
      <c r="DT387" s="327">
        <v>3892510.16</v>
      </c>
      <c r="DU387" s="328">
        <v>3892510.16</v>
      </c>
      <c r="DV387" s="333">
        <v>3722931.8866666667</v>
      </c>
      <c r="DW387" s="333">
        <v>3722931.8866666667</v>
      </c>
      <c r="DX387" s="333">
        <v>3722931.8866666667</v>
      </c>
      <c r="DY387" s="333">
        <v>3722931.8866666667</v>
      </c>
      <c r="DZ387" s="333">
        <v>3722931.8866666667</v>
      </c>
      <c r="EA387" s="333">
        <v>3722931.8866666667</v>
      </c>
      <c r="EB387" s="333">
        <v>3722931.8866666667</v>
      </c>
      <c r="EC387" s="333">
        <v>3722931.8866666667</v>
      </c>
      <c r="ED387" s="333">
        <v>3722931.8866666667</v>
      </c>
      <c r="EE387" s="333">
        <v>3722931.8866666667</v>
      </c>
      <c r="EF387" s="333">
        <v>3722931.8866666667</v>
      </c>
      <c r="EG387" s="333">
        <v>3722931.8866666667</v>
      </c>
      <c r="EH387" s="333">
        <v>174340.51</v>
      </c>
      <c r="EI387" s="333">
        <v>177326.85</v>
      </c>
      <c r="EJ387" s="333">
        <v>7687779.1100000003</v>
      </c>
      <c r="EK387" s="333">
        <v>191127.48</v>
      </c>
      <c r="EL387" s="333">
        <v>949797.77</v>
      </c>
      <c r="EM387" s="333">
        <v>2019268.13</v>
      </c>
      <c r="EN387" s="333">
        <v>10660481.32</v>
      </c>
      <c r="EO387" s="333">
        <v>11526152.189999999</v>
      </c>
      <c r="EP387" s="333">
        <v>10016017.119999999</v>
      </c>
      <c r="EQ387" s="333">
        <v>1834828.67</v>
      </c>
      <c r="ER387" s="333">
        <v>2345417.37</v>
      </c>
      <c r="ES387" s="333">
        <v>4329305.63</v>
      </c>
      <c r="ET387" s="342">
        <v>116701.86</v>
      </c>
      <c r="EU387" s="343">
        <v>867332.36</v>
      </c>
      <c r="EV387" s="343">
        <v>7801367.0199999996</v>
      </c>
      <c r="EW387" s="343">
        <v>4481623.79</v>
      </c>
      <c r="EX387" s="343">
        <v>2831467.37</v>
      </c>
      <c r="EY387" s="343">
        <v>7170000.0800000001</v>
      </c>
      <c r="EZ387" s="343">
        <v>82322.3</v>
      </c>
      <c r="FA387" s="343">
        <v>10832753.109999999</v>
      </c>
      <c r="FB387" s="343">
        <v>1958366.01</v>
      </c>
      <c r="FC387" s="343">
        <v>1510132.11</v>
      </c>
      <c r="FD387" s="343">
        <v>834059.15</v>
      </c>
      <c r="FE387" s="343">
        <v>12202154.65</v>
      </c>
      <c r="FF387" s="348">
        <v>84944.84</v>
      </c>
      <c r="FG387" s="348">
        <v>835385.84</v>
      </c>
      <c r="FH387" s="348">
        <v>1812259.88</v>
      </c>
      <c r="FI387" s="348">
        <v>4541832.53</v>
      </c>
      <c r="FJ387" s="348">
        <v>2836722.65</v>
      </c>
      <c r="FK387" s="348">
        <v>7054086.1200000001</v>
      </c>
      <c r="FL387" s="348">
        <v>87625.45</v>
      </c>
      <c r="FM387" s="348">
        <v>10838080.380000001</v>
      </c>
      <c r="FN387" s="348">
        <v>1831359.63</v>
      </c>
      <c r="FO387" s="348">
        <v>1571862.21</v>
      </c>
      <c r="FP387" s="348">
        <v>839459.36</v>
      </c>
      <c r="FQ387" s="348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7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2">
        <v>2071825.5645770216</v>
      </c>
      <c r="EU388" s="343">
        <v>2862393.2253735214</v>
      </c>
      <c r="EV388" s="343">
        <v>12467636.918240691</v>
      </c>
      <c r="EW388" s="343">
        <v>17326274.372907523</v>
      </c>
      <c r="EX388" s="343">
        <v>15150457.606090657</v>
      </c>
      <c r="EY388" s="343">
        <v>8947929.7645770218</v>
      </c>
      <c r="EZ388" s="343">
        <v>2071825.5545770216</v>
      </c>
      <c r="FA388" s="343">
        <v>2989936.9753735219</v>
      </c>
      <c r="FB388" s="343">
        <v>16625761.232895471</v>
      </c>
      <c r="FC388" s="343">
        <v>4165314.0029075216</v>
      </c>
      <c r="FD388" s="343">
        <v>6972714.957903021</v>
      </c>
      <c r="FE388" s="343">
        <v>369847929.82457697</v>
      </c>
      <c r="FF388" s="348">
        <v>1633418.82</v>
      </c>
      <c r="FG388" s="348">
        <v>2527307.11</v>
      </c>
      <c r="FH388" s="348">
        <v>15808665.810000001</v>
      </c>
      <c r="FI388" s="348">
        <v>16675362.76</v>
      </c>
      <c r="FJ388" s="348">
        <v>178652835.22999999</v>
      </c>
      <c r="FK388" s="348">
        <v>9790699.6799999997</v>
      </c>
      <c r="FL388" s="348">
        <v>61633418.82</v>
      </c>
      <c r="FM388" s="348">
        <v>2916660.71</v>
      </c>
      <c r="FN388" s="348">
        <v>15999957.68</v>
      </c>
      <c r="FO388" s="348">
        <v>4579294.0199999996</v>
      </c>
      <c r="FP388" s="348">
        <v>9337046.5099999998</v>
      </c>
      <c r="FQ388" s="348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7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4">
        <v>0</v>
      </c>
      <c r="FS389" s="324">
        <v>0</v>
      </c>
      <c r="FT389" s="324">
        <v>0</v>
      </c>
      <c r="FU389" s="324">
        <v>0</v>
      </c>
      <c r="FV389" s="324">
        <v>0</v>
      </c>
      <c r="FW389" s="324">
        <v>0</v>
      </c>
      <c r="FX389" s="324">
        <v>0</v>
      </c>
      <c r="FY389" s="324">
        <v>0</v>
      </c>
      <c r="FZ389" s="324">
        <v>0</v>
      </c>
      <c r="GA389" s="324">
        <v>0</v>
      </c>
      <c r="GB389" s="324">
        <v>0</v>
      </c>
      <c r="GC389" s="324">
        <v>0</v>
      </c>
      <c r="GE389" s="426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7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7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4">
        <v>2681427.6666666665</v>
      </c>
      <c r="CS392" s="324">
        <v>2681427.6666666665</v>
      </c>
      <c r="CT392" s="324">
        <v>2681427.6666666665</v>
      </c>
      <c r="CU392" s="324">
        <v>2681427.6666666665</v>
      </c>
      <c r="CV392" s="324">
        <v>2681427.6666666665</v>
      </c>
      <c r="CW392" s="324">
        <v>2681427.6666666665</v>
      </c>
      <c r="CX392" s="324">
        <v>2778179.9974999996</v>
      </c>
      <c r="CY392" s="324">
        <v>2778179.9974999996</v>
      </c>
      <c r="CZ392" s="324">
        <v>2778179.9974999996</v>
      </c>
      <c r="DA392" s="324">
        <v>2778179.9974999996</v>
      </c>
      <c r="DB392" s="324">
        <v>2778179.9974999996</v>
      </c>
      <c r="DC392" s="324">
        <v>2778179.9974999996</v>
      </c>
      <c r="DD392" s="324">
        <v>2778179.9974999996</v>
      </c>
      <c r="DE392" s="324">
        <v>2778179.9974999996</v>
      </c>
      <c r="DF392" s="324">
        <v>2778179.9974999996</v>
      </c>
      <c r="DG392" s="324">
        <v>2778179.9974999996</v>
      </c>
      <c r="DH392" s="324">
        <v>2778179.9974999996</v>
      </c>
      <c r="DI392" s="324">
        <v>2778179.9974999996</v>
      </c>
      <c r="DJ392" s="324">
        <v>2817590</v>
      </c>
      <c r="DK392" s="324">
        <v>2817590</v>
      </c>
      <c r="DL392" s="324">
        <v>2817590</v>
      </c>
      <c r="DM392" s="324">
        <v>2817590</v>
      </c>
      <c r="DN392" s="324">
        <v>2817590</v>
      </c>
      <c r="DO392" s="324">
        <v>2817590</v>
      </c>
      <c r="DP392" s="324">
        <v>2817590</v>
      </c>
      <c r="DQ392" s="324">
        <v>2817590</v>
      </c>
      <c r="DR392" s="324">
        <v>2817590</v>
      </c>
      <c r="DS392" s="324">
        <v>2817590</v>
      </c>
      <c r="DT392" s="324">
        <v>2817590</v>
      </c>
      <c r="DU392" s="324">
        <v>2817590</v>
      </c>
      <c r="DV392" s="324">
        <v>3281229.6141666663</v>
      </c>
      <c r="DW392" s="324">
        <v>3281229.6141666663</v>
      </c>
      <c r="DX392" s="324">
        <v>3281229.6141666663</v>
      </c>
      <c r="DY392" s="324">
        <v>3281229.6141666663</v>
      </c>
      <c r="DZ392" s="324">
        <v>3281229.6141666663</v>
      </c>
      <c r="EA392" s="324">
        <v>3281229.6141666663</v>
      </c>
      <c r="EB392" s="324">
        <v>3281229.6141666663</v>
      </c>
      <c r="EC392" s="324">
        <v>3281229.6141666663</v>
      </c>
      <c r="ED392" s="324">
        <v>3281229.6141666663</v>
      </c>
      <c r="EE392" s="324">
        <v>3281229.6141666663</v>
      </c>
      <c r="EF392" s="324">
        <v>3281229.6141666663</v>
      </c>
      <c r="EG392" s="324">
        <v>3281229.6141666663</v>
      </c>
      <c r="EH392" s="324">
        <v>2809708.2333333329</v>
      </c>
      <c r="EI392" s="324">
        <v>2809708.2333333329</v>
      </c>
      <c r="EJ392" s="324">
        <v>2809708.2333333329</v>
      </c>
      <c r="EK392" s="324">
        <v>2809708.2333333329</v>
      </c>
      <c r="EL392" s="324">
        <v>2809708.2333333329</v>
      </c>
      <c r="EM392" s="324">
        <v>2809708.2333333329</v>
      </c>
      <c r="EN392" s="324">
        <v>2809708.2333333329</v>
      </c>
      <c r="EO392" s="324">
        <v>2809708.2333333329</v>
      </c>
      <c r="EP392" s="324">
        <v>2809708.2333333329</v>
      </c>
      <c r="EQ392" s="324">
        <v>2809708.2333333329</v>
      </c>
      <c r="ER392" s="324">
        <v>2809708.2333333329</v>
      </c>
      <c r="ES392" s="324">
        <v>2809708.2333333329</v>
      </c>
      <c r="ET392" s="324">
        <v>1807457.9166666667</v>
      </c>
      <c r="EU392" s="324">
        <v>1882457.9166666667</v>
      </c>
      <c r="EV392" s="324">
        <v>1937457.9166666667</v>
      </c>
      <c r="EW392" s="324">
        <v>1912457.9166666667</v>
      </c>
      <c r="EX392" s="324">
        <v>1967457.9166666667</v>
      </c>
      <c r="EY392" s="324">
        <v>1907457.9166666667</v>
      </c>
      <c r="EZ392" s="324">
        <v>3852457.9166666665</v>
      </c>
      <c r="FA392" s="324">
        <v>3337457.9166666665</v>
      </c>
      <c r="FB392" s="324">
        <v>2702457.9166666698</v>
      </c>
      <c r="FC392" s="324">
        <v>2797457.9166666698</v>
      </c>
      <c r="FD392" s="324">
        <v>2792457.9166666698</v>
      </c>
      <c r="FE392" s="324">
        <v>3347457.9166666698</v>
      </c>
      <c r="FF392" s="324">
        <v>1281814.4500000002</v>
      </c>
      <c r="FG392" s="324">
        <v>1266814.4500000002</v>
      </c>
      <c r="FH392" s="324">
        <v>1451704.4</v>
      </c>
      <c r="FI392" s="324">
        <v>1544149.3599999999</v>
      </c>
      <c r="FJ392" s="324">
        <v>1677270.12</v>
      </c>
      <c r="FK392" s="324">
        <v>1669874.52</v>
      </c>
      <c r="FL392" s="324">
        <v>1839973.2600000002</v>
      </c>
      <c r="FM392" s="324">
        <v>1832577.67</v>
      </c>
      <c r="FN392" s="324">
        <v>1610709.73</v>
      </c>
      <c r="FO392" s="324">
        <v>1374050.6099999999</v>
      </c>
      <c r="FP392" s="324">
        <v>1448006.5899999999</v>
      </c>
      <c r="FQ392" s="324">
        <v>1533053.84</v>
      </c>
      <c r="FR392" s="349">
        <v>1234088.2</v>
      </c>
      <c r="FS392" s="349">
        <v>1922034.51</v>
      </c>
      <c r="FT392" s="349">
        <v>1368605.81</v>
      </c>
      <c r="FU392" s="349">
        <v>1039845.76</v>
      </c>
      <c r="FV392" s="349">
        <v>1116425.95</v>
      </c>
      <c r="FW392" s="349">
        <v>1374921.7142857143</v>
      </c>
      <c r="FX392" s="349">
        <v>1374921.7142857143</v>
      </c>
      <c r="FY392" s="349">
        <v>1374921.7142857143</v>
      </c>
      <c r="FZ392" s="349">
        <v>1374921.7142857143</v>
      </c>
      <c r="GA392" s="349">
        <v>1374921.7142857143</v>
      </c>
      <c r="GB392" s="349">
        <v>1374921.7142857143</v>
      </c>
      <c r="GC392" s="349">
        <v>1374921.7142857143</v>
      </c>
      <c r="GE392" s="426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4">
        <v>830846.24800000002</v>
      </c>
      <c r="EU393" s="324">
        <v>830846.24800000002</v>
      </c>
      <c r="EV393" s="324">
        <v>830846.24800000002</v>
      </c>
      <c r="EW393" s="324">
        <v>949846.13199999998</v>
      </c>
      <c r="EX393" s="324">
        <v>1306845.784</v>
      </c>
      <c r="EY393" s="324">
        <v>830846.24800000002</v>
      </c>
      <c r="EZ393" s="324">
        <v>1246269.3720000002</v>
      </c>
      <c r="FA393" s="324">
        <v>1246269.3720000002</v>
      </c>
      <c r="FB393" s="324">
        <v>5393218.1470000008</v>
      </c>
      <c r="FC393" s="324">
        <v>5393218.1470000008</v>
      </c>
      <c r="FD393" s="324">
        <v>5393218.1470000008</v>
      </c>
      <c r="FE393" s="324">
        <v>5393218.1470000008</v>
      </c>
      <c r="FF393" s="324">
        <v>1650583.3333333333</v>
      </c>
      <c r="FG393" s="324">
        <v>1843583.3333333333</v>
      </c>
      <c r="FH393" s="324">
        <v>1650583.3333333333</v>
      </c>
      <c r="FI393" s="324">
        <v>1650583.3333333333</v>
      </c>
      <c r="FJ393" s="324">
        <v>1650583.3333333333</v>
      </c>
      <c r="FK393" s="324">
        <v>1650583.3333333333</v>
      </c>
      <c r="FL393" s="324">
        <v>4650583.3333333302</v>
      </c>
      <c r="FM393" s="324">
        <v>1650583.3333333333</v>
      </c>
      <c r="FN393" s="324">
        <v>1650583.3333333333</v>
      </c>
      <c r="FO393" s="324">
        <v>2317250</v>
      </c>
      <c r="FP393" s="324">
        <v>2317250</v>
      </c>
      <c r="FQ393" s="324">
        <v>2317250</v>
      </c>
      <c r="FR393" s="324">
        <v>1941194</v>
      </c>
      <c r="FS393" s="324">
        <v>720000</v>
      </c>
      <c r="FT393" s="324">
        <v>117020</v>
      </c>
      <c r="FU393" s="324">
        <v>3138464.05</v>
      </c>
      <c r="FV393" s="324">
        <v>16941995.850000001</v>
      </c>
      <c r="FW393" s="324">
        <v>19000000</v>
      </c>
      <c r="FX393" s="324">
        <v>13000000</v>
      </c>
      <c r="FY393" s="324">
        <v>13000000</v>
      </c>
      <c r="FZ393" s="324">
        <v>13000000</v>
      </c>
      <c r="GA393" s="324">
        <v>38000000</v>
      </c>
      <c r="GB393" s="324">
        <v>7385913.0500000007</v>
      </c>
      <c r="GC393" s="324">
        <v>7385913.0500000007</v>
      </c>
      <c r="GE393" s="426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4">
        <v>830846.24800000002</v>
      </c>
      <c r="EU394" s="324">
        <v>830846.24800000002</v>
      </c>
      <c r="EV394" s="324">
        <v>830846.24800000002</v>
      </c>
      <c r="EW394" s="324">
        <v>830846.24800000002</v>
      </c>
      <c r="EX394" s="324">
        <v>830846.24800000002</v>
      </c>
      <c r="EY394" s="324">
        <v>830846.24800000002</v>
      </c>
      <c r="EZ394" s="324">
        <v>1246269.3720000002</v>
      </c>
      <c r="FA394" s="324">
        <v>1246269.3720000002</v>
      </c>
      <c r="FB394" s="324">
        <v>2223304.53675</v>
      </c>
      <c r="FC394" s="324">
        <v>3116522.6837499999</v>
      </c>
      <c r="FD394" s="324">
        <v>8116522.6837499999</v>
      </c>
      <c r="FE394" s="324">
        <v>8116522.6837499999</v>
      </c>
      <c r="FF394" s="348">
        <v>1650583.3333333333</v>
      </c>
      <c r="FG394" s="348">
        <v>1843583.3333333333</v>
      </c>
      <c r="FH394" s="348">
        <v>1650583.3333333333</v>
      </c>
      <c r="FI394" s="348">
        <v>1650583.3333333333</v>
      </c>
      <c r="FJ394" s="348">
        <v>1650583.3333333333</v>
      </c>
      <c r="FK394" s="348">
        <v>1650583.3333333333</v>
      </c>
      <c r="FL394" s="348">
        <f>1650583.33333333+3000000</f>
        <v>4650583.3333333302</v>
      </c>
      <c r="FM394" s="348">
        <v>1650583.3333333333</v>
      </c>
      <c r="FN394" s="348">
        <v>1650583.3333333333</v>
      </c>
      <c r="FO394" s="348">
        <f>3317250-1000000</f>
        <v>2317250</v>
      </c>
      <c r="FP394" s="348">
        <f>3317250-1000000</f>
        <v>2317250</v>
      </c>
      <c r="FQ394" s="348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7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4">
        <v>0</v>
      </c>
      <c r="EU395" s="324">
        <v>0</v>
      </c>
      <c r="EV395" s="324">
        <v>0</v>
      </c>
      <c r="EW395" s="324">
        <v>118999.88400000001</v>
      </c>
      <c r="EX395" s="324">
        <v>475999.53600000002</v>
      </c>
      <c r="EY395" s="324">
        <v>0</v>
      </c>
      <c r="EZ395" s="324">
        <v>0</v>
      </c>
      <c r="FA395" s="324">
        <v>0</v>
      </c>
      <c r="FB395" s="324">
        <v>0</v>
      </c>
      <c r="FC395" s="324">
        <v>0</v>
      </c>
      <c r="FD395" s="324">
        <v>0</v>
      </c>
      <c r="FE395" s="324">
        <v>0</v>
      </c>
      <c r="FF395" s="348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7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7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6"/>
      <c r="GE399" s="428"/>
    </row>
    <row r="400" spans="1:187">
      <c r="GE400" s="431"/>
    </row>
    <row r="401" spans="187:187">
      <c r="GE401" s="428"/>
    </row>
  </sheetData>
  <customSheetViews>
    <customSheetView guid="{59E4E612-301A-4B15-B14A-FF0442744080}" hiddenColumns="1" state="hidden">
      <pane xSplit="172" ySplit="7" topLeftCell="FZ51" activePane="bottomRight" state="frozen"/>
      <selection pane="bottomRight" activeCell="GA58" sqref="GA58"/>
      <pageMargins left="0.7" right="0.7" top="0.75" bottom="0.75" header="0.3" footer="0.3"/>
      <pageSetup orientation="portrait" verticalDpi="0" r:id="rId1"/>
    </customSheetView>
  </customSheetViews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4:E215"/>
    <mergeCell ref="F214:Q214"/>
    <mergeCell ref="R214:AC214"/>
    <mergeCell ref="AD214:AO214"/>
    <mergeCell ref="CX214:DI214"/>
    <mergeCell ref="DJ214:DU214"/>
    <mergeCell ref="AP214:BA214"/>
    <mergeCell ref="BB214:BM214"/>
    <mergeCell ref="BN214:BY214"/>
    <mergeCell ref="BZ214:CK214"/>
    <mergeCell ref="CL214:CW214"/>
  </mergeCells>
  <pageMargins left="0.7" right="0.7" top="0.75" bottom="0.75" header="0.3" footer="0.3"/>
  <pageSetup orientation="portrait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Analitika - 2014</vt:lpstr>
      <vt:lpstr>Pregled</vt:lpstr>
      <vt:lpstr>Analitika 2022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Gordana Stanisic</cp:lastModifiedBy>
  <cp:lastPrinted>2022-10-28T13:57:09Z</cp:lastPrinted>
  <dcterms:created xsi:type="dcterms:W3CDTF">2014-09-15T13:41:17Z</dcterms:created>
  <dcterms:modified xsi:type="dcterms:W3CDTF">2022-11-04T12:56:10Z</dcterms:modified>
</cp:coreProperties>
</file>