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updateLinks="always" codeName="ThisWorkbook" defaultThemeVersion="124226"/>
  <mc:AlternateContent xmlns:mc="http://schemas.openxmlformats.org/markup-compatibility/2006">
    <mc:Choice Requires="x15">
      <x15ac:absPath xmlns:x15ac="http://schemas.microsoft.com/office/spreadsheetml/2010/11/ac" url="C:\Users\milena.milovic\Desktop\Analiza konsolidovane javne 2023\II kvartal\"/>
    </mc:Choice>
  </mc:AlternateContent>
  <xr:revisionPtr revIDLastSave="0" documentId="13_ncr:1_{DDB70FEF-C842-4D98-AF96-FF04F22F3D22}"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1730" windowHeight="957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E63" i="44" l="1"/>
  <c r="E78" i="10" l="1"/>
  <c r="J24" i="43" l="1"/>
  <c r="K24" i="43"/>
  <c r="L24" i="43"/>
  <c r="F24" i="43" l="1"/>
  <c r="D22" i="43"/>
  <c r="D23" i="43"/>
  <c r="D25" i="43"/>
  <c r="E12" i="43"/>
  <c r="C12" i="43"/>
  <c r="I67" i="10" l="1"/>
  <c r="I55" i="44" l="1"/>
  <c r="J55" i="44" s="1"/>
  <c r="E55" i="44"/>
  <c r="C55" i="44"/>
  <c r="L65" i="43"/>
  <c r="K65" i="43"/>
  <c r="H65" i="43"/>
  <c r="G65" i="43"/>
  <c r="J71" i="10"/>
  <c r="K71" i="10"/>
  <c r="L71" i="10"/>
  <c r="F71" i="10"/>
  <c r="G71" i="10"/>
  <c r="H71" i="10"/>
  <c r="D71" i="10"/>
  <c r="L55" i="44" l="1"/>
  <c r="G55" i="44"/>
  <c r="K55" i="44"/>
  <c r="H55" i="44"/>
  <c r="L71" i="43"/>
  <c r="K71" i="43"/>
  <c r="H71" i="43"/>
  <c r="G71" i="43"/>
  <c r="I61" i="44"/>
  <c r="J61" i="44" s="1"/>
  <c r="E61" i="44"/>
  <c r="C61" i="44"/>
  <c r="I2" i="43"/>
  <c r="E2" i="43"/>
  <c r="C2" i="43"/>
  <c r="J71" i="43" l="1"/>
  <c r="J65" i="43"/>
  <c r="F71" i="43"/>
  <c r="F65" i="43"/>
  <c r="D71" i="43"/>
  <c r="D65" i="43"/>
  <c r="K61" i="44"/>
  <c r="H61" i="44"/>
  <c r="L61" i="44"/>
  <c r="G61" i="44"/>
  <c r="L77" i="10" l="1"/>
  <c r="K77" i="10"/>
  <c r="J77" i="10"/>
  <c r="H77" i="10"/>
  <c r="G77" i="10"/>
  <c r="F77" i="10"/>
  <c r="D77" i="10"/>
  <c r="H59" i="10" l="1"/>
  <c r="E67" i="10"/>
  <c r="H60" i="10" l="1"/>
  <c r="J58" i="10" l="1"/>
  <c r="C67" i="10" l="1"/>
  <c r="D68" i="10" l="1"/>
  <c r="F68" i="10"/>
  <c r="I43" i="44" l="1"/>
  <c r="I38" i="43" l="1"/>
  <c r="I37" i="43" s="1"/>
  <c r="C38" i="43"/>
  <c r="C37" i="43" s="1"/>
  <c r="E38" i="43"/>
  <c r="E37" i="43" s="1"/>
  <c r="J74" i="10" l="1"/>
  <c r="J75" i="10"/>
  <c r="J76" i="10"/>
  <c r="I53" i="44" l="1"/>
  <c r="I60" i="43"/>
  <c r="E60" i="43" l="1"/>
  <c r="C60" i="43"/>
  <c r="C51" i="44"/>
  <c r="E43" i="44"/>
  <c r="C43" i="44"/>
  <c r="F56" i="43" l="1"/>
  <c r="I12" i="43"/>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58" i="44" l="1"/>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70" i="43"/>
  <c r="K70" i="43"/>
  <c r="J70" i="43"/>
  <c r="H70" i="43"/>
  <c r="G70" i="43"/>
  <c r="F70" i="43"/>
  <c r="D70" i="43"/>
  <c r="L69" i="43"/>
  <c r="K69" i="43"/>
  <c r="J69" i="43"/>
  <c r="H69" i="43"/>
  <c r="G69" i="43"/>
  <c r="F69" i="43"/>
  <c r="D69" i="43"/>
  <c r="L68" i="43"/>
  <c r="K68" i="43"/>
  <c r="J68" i="43"/>
  <c r="H68" i="43"/>
  <c r="G68" i="43"/>
  <c r="F68" i="43"/>
  <c r="D68"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L74" i="10"/>
  <c r="K75" i="10"/>
  <c r="L75" i="10"/>
  <c r="K76" i="10"/>
  <c r="L76" i="10"/>
  <c r="G74" i="10"/>
  <c r="G75" i="10"/>
  <c r="G76" i="10"/>
  <c r="H74" i="10"/>
  <c r="H75" i="10"/>
  <c r="H76" i="10"/>
  <c r="F74" i="10"/>
  <c r="F75" i="10"/>
  <c r="F76" i="10"/>
  <c r="D74" i="10"/>
  <c r="D75" i="10"/>
  <c r="D76"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E66" i="43" s="1"/>
  <c r="F55" i="43"/>
  <c r="L59" i="43"/>
  <c r="H59" i="43"/>
  <c r="D59" i="43"/>
  <c r="K59" i="43"/>
  <c r="G59" i="43"/>
  <c r="I57" i="43"/>
  <c r="I66" i="43" s="1"/>
  <c r="J55" i="43"/>
  <c r="K55" i="43"/>
  <c r="G55" i="43"/>
  <c r="C57" i="43"/>
  <c r="C66" i="43" s="1"/>
  <c r="C73" i="43" s="1"/>
  <c r="C67"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66" i="10" l="1"/>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I73" i="43"/>
  <c r="I67" i="43" s="1"/>
  <c r="J57" i="43"/>
  <c r="I58" i="43"/>
  <c r="J58" i="43" s="1"/>
  <c r="E73" i="43"/>
  <c r="E67" i="43" s="1"/>
  <c r="F57" i="43"/>
  <c r="E58" i="43"/>
  <c r="F58" i="43" s="1"/>
  <c r="E62" i="10"/>
  <c r="K39" i="10"/>
  <c r="H39" i="10"/>
  <c r="D39" i="10"/>
  <c r="D14" i="46" s="1"/>
  <c r="G39" i="10"/>
  <c r="L39" i="10"/>
  <c r="J6" i="10"/>
  <c r="I62" i="10"/>
  <c r="L6" i="10"/>
  <c r="K6" i="10"/>
  <c r="H6" i="10"/>
  <c r="D6" i="10"/>
  <c r="D10" i="46" s="1"/>
  <c r="G6" i="10"/>
  <c r="C64" i="10" l="1"/>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E73" i="10" s="1"/>
  <c r="F62" i="10"/>
  <c r="L62" i="10"/>
  <c r="H62" i="10"/>
  <c r="D62" i="10"/>
  <c r="D18" i="46" s="1"/>
  <c r="K62" i="10"/>
  <c r="G62" i="10"/>
  <c r="J62" i="10"/>
  <c r="I64" i="10"/>
  <c r="H66" i="10"/>
  <c r="L66" i="10"/>
  <c r="D66" i="10"/>
  <c r="I72" i="10" l="1"/>
  <c r="I78" i="10" s="1"/>
  <c r="I73" i="10" s="1"/>
  <c r="C73" i="10"/>
  <c r="C65" i="10"/>
  <c r="D45" i="44"/>
  <c r="J18" i="46" s="1"/>
  <c r="G45" i="44"/>
  <c r="I18" i="46"/>
  <c r="C47" i="44"/>
  <c r="L45" i="44"/>
  <c r="K45" i="44"/>
  <c r="K49" i="44"/>
  <c r="H49" i="44"/>
  <c r="L49" i="44"/>
  <c r="J45" i="44"/>
  <c r="I47" i="44"/>
  <c r="I56" i="44" s="1"/>
  <c r="H45" i="44"/>
  <c r="G49" i="44"/>
  <c r="E47" i="44"/>
  <c r="E56" i="44" s="1"/>
  <c r="F45" i="44"/>
  <c r="F73" i="43"/>
  <c r="F67" i="43"/>
  <c r="J73" i="43"/>
  <c r="J67" i="43"/>
  <c r="J64" i="10"/>
  <c r="I65" i="10"/>
  <c r="J65" i="10" s="1"/>
  <c r="H64" i="10"/>
  <c r="D64" i="10"/>
  <c r="G64" i="10"/>
  <c r="K64" i="10"/>
  <c r="L64" i="10"/>
  <c r="F64" i="10"/>
  <c r="E65" i="10"/>
  <c r="L72" i="10" l="1"/>
  <c r="J72" i="10"/>
  <c r="I63" i="44"/>
  <c r="I57" i="44" s="1"/>
  <c r="C48" i="44"/>
  <c r="D48" i="44" s="1"/>
  <c r="C56" i="44"/>
  <c r="C63" i="44" s="1"/>
  <c r="C57" i="44" s="1"/>
  <c r="K72" i="10"/>
  <c r="D72" i="10"/>
  <c r="H47" i="44"/>
  <c r="D47" i="44"/>
  <c r="L47" i="44"/>
  <c r="K47" i="44"/>
  <c r="J47" i="44"/>
  <c r="I48" i="44"/>
  <c r="J48" i="44" s="1"/>
  <c r="G47" i="44"/>
  <c r="E48" i="44"/>
  <c r="F48" i="44" s="1"/>
  <c r="F47" i="44"/>
  <c r="D78" i="10"/>
  <c r="L78" i="10"/>
  <c r="J73" i="10"/>
  <c r="J78" i="10"/>
  <c r="D65" i="10"/>
  <c r="H65" i="10"/>
  <c r="L65" i="10"/>
  <c r="K65" i="10"/>
  <c r="G65" i="10"/>
  <c r="F65" i="10"/>
  <c r="D56" i="44" l="1"/>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K73" i="43"/>
  <c r="L73" i="43"/>
  <c r="H73" i="43"/>
  <c r="D73" i="43"/>
  <c r="K67" i="43"/>
  <c r="G73" i="43"/>
  <c r="D67" i="43" l="1"/>
  <c r="L67" i="43"/>
  <c r="G67" i="43"/>
  <c r="H67" i="43"/>
  <c r="G72" i="10"/>
  <c r="F72" i="10"/>
  <c r="H72" i="10"/>
  <c r="G73" i="10" l="1"/>
  <c r="H73" i="10"/>
  <c r="F73" i="10"/>
  <c r="G78" i="10"/>
  <c r="H78" i="10"/>
  <c r="F78" i="10"/>
</calcChain>
</file>

<file path=xl/sharedStrings.xml><?xml version="1.0" encoding="utf-8"?>
<sst xmlns="http://schemas.openxmlformats.org/spreadsheetml/2006/main" count="472" uniqueCount="194">
  <si>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</si>
  <si>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</si>
  <si>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</si>
  <si>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</si>
  <si>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</si>
  <si>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</si>
  <si>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</si>
  <si>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</si>
  <si>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</si>
  <si>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</si>
  <si>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</si>
  <si>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</si>
  <si>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</si>
  <si>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</si>
  <si>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</si>
  <si>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</si>
  <si>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</si>
  <si>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</si>
  <si>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</si>
  <si>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</si>
  <si>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</si>
  <si>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</si>
  <si>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</si>
  <si>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</si>
  <si>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</si>
  <si>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</si>
  <si>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</si>
  <si>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</si>
  <si>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</si>
  <si>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</si>
  <si>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</si>
  <si>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</si>
  <si>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</si>
  <si>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</si>
  <si>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</si>
  <si>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</si>
  <si>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</si>
  <si>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</si>
  <si>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</si>
  <si>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</si>
  <si>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</si>
  <si>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</si>
  <si>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</si>
  <si>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</si>
  <si>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</si>
  <si>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</si>
  <si>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</si>
  <si>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</si>
  <si>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</si>
  <si>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</si>
  <si>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</si>
  <si>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</si>
  <si>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</si>
  <si>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</si>
  <si>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</si>
  <si>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</si>
  <si>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</si>
  <si>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</si>
  <si>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</si>
  <si>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</si>
  <si>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</si>
  <si>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</si>
  <si>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</si>
  <si>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</si>
  <si>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</si>
  <si>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</si>
  <si>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</si>
  <si>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</si>
  <si>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</si>
  <si>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</si>
  <si>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</si>
  <si>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</si>
  <si>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</si>
  <si>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</si>
  <si>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</si>
  <si>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</si>
  <si>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</si>
  <si>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</si>
  <si>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</si>
  <si>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</si>
  <si>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</si>
  <si>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</si>
  <si>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</si>
  <si>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</si>
  <si>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</si>
  <si>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</si>
  <si>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</si>
  <si>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</si>
  <si>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</si>
  <si>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</si>
  <si>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</si>
  <si>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</si>
  <si>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</si>
  <si>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</si>
  <si>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</si>
  <si>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</si>
  <si>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</si>
  <si>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</si>
  <si>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</si>
  <si>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</si>
  <si>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</si>
  <si>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</si>
  <si>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</si>
  <si>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</si>
  <si>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</si>
  <si>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</si>
  <si>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</si>
  <si>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</si>
  <si>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</si>
  <si>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</si>
  <si>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</si>
  <si>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</si>
  <si>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</si>
  <si>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</si>
  <si>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</si>
  <si>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</si>
  <si>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</si>
  <si>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</si>
  <si>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</si>
  <si>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</si>
  <si>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</si>
  <si>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</si>
  <si>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</si>
  <si>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</si>
  <si>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</si>
  <si>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</si>
  <si>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</si>
  <si>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</si>
  <si>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</si>
  <si>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</si>
  <si>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</si>
  <si>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</si>
  <si>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</si>
  <si>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</si>
  <si>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</si>
  <si>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</si>
  <si>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</si>
  <si>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</si>
  <si>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</si>
  <si>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</si>
  <si>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</si>
  <si>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</si>
  <si>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</si>
  <si>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</si>
  <si>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</si>
  <si>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</si>
  <si>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</si>
  <si>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</si>
  <si>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</si>
  <si>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</si>
  <si>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</si>
  <si>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</si>
  <si>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</si>
  <si>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</si>
  <si>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</si>
  <si>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</si>
  <si>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</si>
  <si>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</si>
  <si>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</si>
  <si>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</si>
  <si>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</si>
  <si>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</si>
  <si>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</si>
  <si>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</si>
  <si>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</si>
  <si>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</si>
  <si>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</si>
  <si>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</si>
  <si>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</si>
  <si>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</si>
  <si>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</si>
  <si>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</si>
  <si>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</si>
  <si>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</si>
  <si>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</si>
  <si>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</si>
  <si>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</si>
  <si>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</si>
  <si>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</si>
  <si>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</si>
  <si>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</si>
  <si>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</si>
  <si>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</si>
  <si>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</si>
  <si>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</si>
  <si>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</si>
  <si>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</si>
  <si>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</si>
  <si>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</si>
  <si>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Q 2 2023</t>
  </si>
  <si>
    <t>Plan Q 2 2023</t>
  </si>
  <si>
    <t>Q2  2022</t>
  </si>
  <si>
    <t>Q 2 2022</t>
  </si>
  <si>
    <t>Q 2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</si>
</sst>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 numFmtId="179" formatCode="0.000000000000000000"/>
  </numFmts>
  <fonts count="32">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27">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164" fontId="3" fillId="0" borderId="0" xfId="27" applyNumberFormat="1" applyFont="1"/>
    <xf numFmtId="165" fontId="0" fillId="0" borderId="0" xfId="0" applyNumberFormat="1"/>
    <xf numFmtId="174" fontId="17" fillId="0" borderId="1" xfId="0" applyNumberFormat="1" applyFont="1" applyBorder="1" applyAlignment="1">
      <alignment horizontal="right"/>
    </xf>
    <xf numFmtId="0" fontId="17" fillId="0" borderId="31" xfId="0" applyFont="1" applyBorder="1"/>
    <xf numFmtId="0" fontId="17" fillId="2" borderId="1" xfId="0" applyFont="1" applyFill="1" applyBorder="1"/>
    <xf numFmtId="0" fontId="31" fillId="0" borderId="1" xfId="0" applyFont="1" applyBorder="1"/>
    <xf numFmtId="174" fontId="17" fillId="5" borderId="1" xfId="0" applyNumberFormat="1" applyFont="1" applyFill="1" applyBorder="1" applyAlignment="1">
      <alignment horizontal="right"/>
    </xf>
    <xf numFmtId="174" fontId="16" fillId="0" borderId="1" xfId="0" applyNumberFormat="1" applyFont="1" applyBorder="1" applyAlignment="1">
      <alignment horizontal="right"/>
    </xf>
    <xf numFmtId="174" fontId="17" fillId="0" borderId="8" xfId="0" applyNumberFormat="1" applyFont="1" applyBorder="1" applyAlignment="1">
      <alignment horizontal="right"/>
    </xf>
    <xf numFmtId="0" fontId="16" fillId="0" borderId="0" xfId="27" applyFont="1" applyAlignment="1">
      <alignment horizontal="right"/>
    </xf>
    <xf numFmtId="0" fontId="17" fillId="0" borderId="0" xfId="27" applyFont="1" applyAlignment="1">
      <alignment horizontal="right"/>
    </xf>
    <xf numFmtId="0" fontId="17" fillId="0" borderId="1" xfId="0" applyFont="1" applyBorder="1" applyAlignment="1">
      <alignment horizontal="right"/>
    </xf>
    <xf numFmtId="174" fontId="17" fillId="3" borderId="1" xfId="0" applyNumberFormat="1" applyFont="1" applyFill="1" applyBorder="1" applyAlignment="1">
      <alignment horizontal="right"/>
    </xf>
    <xf numFmtId="0" fontId="17" fillId="0" borderId="1" xfId="27" applyFont="1" applyBorder="1" applyAlignment="1">
      <alignment horizontal="right"/>
    </xf>
    <xf numFmtId="174" fontId="17" fillId="4" borderId="1" xfId="0" applyNumberFormat="1" applyFont="1" applyFill="1" applyBorder="1" applyAlignment="1">
      <alignment horizontal="right"/>
    </xf>
    <xf numFmtId="0" fontId="17" fillId="0" borderId="1" xfId="0" applyFont="1" applyFill="1" applyBorder="1"/>
    <xf numFmtId="179" fontId="3" fillId="0" borderId="0" xfId="27" applyNumberFormat="1" applyFont="1"/>
    <xf numFmtId="178" fontId="17" fillId="0" borderId="1" xfId="0" applyNumberFormat="1" applyFont="1" applyBorder="1" applyAlignment="1">
      <alignment horizontal="right"/>
    </xf>
    <xf numFmtId="174" fontId="16" fillId="0" borderId="0" xfId="0" applyNumberFormat="1" applyFont="1" applyAlignment="1">
      <alignment horizontal="center"/>
    </xf>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9" xfId="28" applyFont="1" applyBorder="1" applyAlignment="1">
      <alignment horizontal="center"/>
    </xf>
    <xf numFmtId="0" fontId="17" fillId="0" borderId="10" xfId="28"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xr:uid="{00000000-0005-0000-0000-000000000000}"/>
    <cellStyle name="1 indent 2" xfId="41" xr:uid="{00000000-0005-0000-0000-000001000000}"/>
    <cellStyle name="2 indents" xfId="2" xr:uid="{00000000-0005-0000-0000-000002000000}"/>
    <cellStyle name="2 indents 2" xfId="42" xr:uid="{00000000-0005-0000-0000-000003000000}"/>
    <cellStyle name="3 indents" xfId="3" xr:uid="{00000000-0005-0000-0000-000004000000}"/>
    <cellStyle name="3 indents 2" xfId="43" xr:uid="{00000000-0005-0000-0000-000005000000}"/>
    <cellStyle name="4 indents" xfId="4" xr:uid="{00000000-0005-0000-0000-000006000000}"/>
    <cellStyle name="4 indents 2" xfId="44" xr:uid="{00000000-0005-0000-0000-000007000000}"/>
    <cellStyle name="Currency 2" xfId="60" xr:uid="{00000000-0005-0000-0000-000008000000}"/>
    <cellStyle name="Date" xfId="5" xr:uid="{00000000-0005-0000-0000-000009000000}"/>
    <cellStyle name="Excel Built-in Normal" xfId="61" xr:uid="{00000000-0005-0000-0000-00000A000000}"/>
    <cellStyle name="F2" xfId="6" xr:uid="{00000000-0005-0000-0000-00000B000000}"/>
    <cellStyle name="F3" xfId="7" xr:uid="{00000000-0005-0000-0000-00000C000000}"/>
    <cellStyle name="F4" xfId="8" xr:uid="{00000000-0005-0000-0000-00000D000000}"/>
    <cellStyle name="F5" xfId="9" xr:uid="{00000000-0005-0000-0000-00000E000000}"/>
    <cellStyle name="F6" xfId="10" xr:uid="{00000000-0005-0000-0000-00000F000000}"/>
    <cellStyle name="F7" xfId="11" xr:uid="{00000000-0005-0000-0000-000010000000}"/>
    <cellStyle name="F8" xfId="12" xr:uid="{00000000-0005-0000-0000-000011000000}"/>
    <cellStyle name="Fixed" xfId="13" xr:uid="{00000000-0005-0000-0000-000012000000}"/>
    <cellStyle name="HEADING1" xfId="14" xr:uid="{00000000-0005-0000-0000-000013000000}"/>
    <cellStyle name="HEADING2" xfId="15" xr:uid="{00000000-0005-0000-0000-000014000000}"/>
    <cellStyle name="imf-one decimal" xfId="16" xr:uid="{00000000-0005-0000-0000-000015000000}"/>
    <cellStyle name="imf-one decimal 2" xfId="45" xr:uid="{00000000-0005-0000-0000-000016000000}"/>
    <cellStyle name="imf-zero decimal" xfId="17" xr:uid="{00000000-0005-0000-0000-000017000000}"/>
    <cellStyle name="imf-zero decimal 2" xfId="46" xr:uid="{00000000-0005-0000-0000-000018000000}"/>
    <cellStyle name="Label" xfId="18" xr:uid="{00000000-0005-0000-0000-000019000000}"/>
    <cellStyle name="Normal" xfId="0" builtinId="0"/>
    <cellStyle name="Normal - Style1" xfId="19" xr:uid="{00000000-0005-0000-0000-00001B000000}"/>
    <cellStyle name="Normal - Style2" xfId="20" xr:uid="{00000000-0005-0000-0000-00001C000000}"/>
    <cellStyle name="Normal - Style3" xfId="21" xr:uid="{00000000-0005-0000-0000-00001D000000}"/>
    <cellStyle name="Normal 10" xfId="22" xr:uid="{00000000-0005-0000-0000-00001E000000}"/>
    <cellStyle name="Normal 10 2" xfId="54" xr:uid="{00000000-0005-0000-0000-00001F000000}"/>
    <cellStyle name="Normal 11" xfId="23" xr:uid="{00000000-0005-0000-0000-000020000000}"/>
    <cellStyle name="Normal 11 2" xfId="55" xr:uid="{00000000-0005-0000-0000-000021000000}"/>
    <cellStyle name="Normal 12" xfId="24" xr:uid="{00000000-0005-0000-0000-000022000000}"/>
    <cellStyle name="Normal 12 2" xfId="56" xr:uid="{00000000-0005-0000-0000-000023000000}"/>
    <cellStyle name="Normal 13" xfId="40" xr:uid="{00000000-0005-0000-0000-000024000000}"/>
    <cellStyle name="Normal 15" xfId="25" xr:uid="{00000000-0005-0000-0000-000025000000}"/>
    <cellStyle name="Normal 16" xfId="26" xr:uid="{00000000-0005-0000-0000-000026000000}"/>
    <cellStyle name="Normal 2" xfId="27" xr:uid="{00000000-0005-0000-0000-000027000000}"/>
    <cellStyle name="Normal 2 2" xfId="28" xr:uid="{00000000-0005-0000-0000-000028000000}"/>
    <cellStyle name="Normal 2 2 2" xfId="59" xr:uid="{00000000-0005-0000-0000-000029000000}"/>
    <cellStyle name="Normal 3" xfId="29" xr:uid="{00000000-0005-0000-0000-00002A000000}"/>
    <cellStyle name="Normal 4" xfId="30" xr:uid="{00000000-0005-0000-0000-00002B000000}"/>
    <cellStyle name="Normal 4 2" xfId="57" xr:uid="{00000000-0005-0000-0000-00002C000000}"/>
    <cellStyle name="Normal 4 3" xfId="48" xr:uid="{00000000-0005-0000-0000-00002D000000}"/>
    <cellStyle name="Normal 48" xfId="31" xr:uid="{00000000-0005-0000-0000-00002E000000}"/>
    <cellStyle name="Normal 5" xfId="32" xr:uid="{00000000-0005-0000-0000-00002F000000}"/>
    <cellStyle name="Normal 5 2" xfId="49" xr:uid="{00000000-0005-0000-0000-000030000000}"/>
    <cellStyle name="Normal 6" xfId="33" xr:uid="{00000000-0005-0000-0000-000031000000}"/>
    <cellStyle name="Normal 6 2" xfId="50" xr:uid="{00000000-0005-0000-0000-000032000000}"/>
    <cellStyle name="Normal 7" xfId="34" xr:uid="{00000000-0005-0000-0000-000033000000}"/>
    <cellStyle name="Normal 7 2" xfId="51" xr:uid="{00000000-0005-0000-0000-000034000000}"/>
    <cellStyle name="Normal 8" xfId="35" xr:uid="{00000000-0005-0000-0000-000035000000}"/>
    <cellStyle name="Normal 8 2" xfId="52" xr:uid="{00000000-0005-0000-0000-000036000000}"/>
    <cellStyle name="Normal 9" xfId="36" xr:uid="{00000000-0005-0000-0000-000037000000}"/>
    <cellStyle name="Normal 9 2" xfId="53" xr:uid="{00000000-0005-0000-0000-000038000000}"/>
    <cellStyle name="Obično_KnjigaZIKS i Min pomorstva i saobracaja" xfId="37" xr:uid="{00000000-0005-0000-0000-000039000000}"/>
    <cellStyle name="Percent 2" xfId="58" xr:uid="{00000000-0005-0000-0000-00003A000000}"/>
    <cellStyle name="percentage difference" xfId="38" xr:uid="{00000000-0005-0000-0000-00003B000000}"/>
    <cellStyle name="percentage difference 2" xfId="47" xr:uid="{00000000-0005-0000-0000-00003C000000}"/>
    <cellStyle name="Publication" xfId="39" xr:uid="{00000000-0005-0000-0000-00003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2022.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2022.</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zoomScaleNormal="100" workbookViewId="0">
      <selection activeCell="D10" sqref="D10"/>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0" t="s">
        <v>163</v>
      </c>
      <c r="D7" s="110"/>
      <c r="E7" s="49"/>
      <c r="F7" s="110" t="s">
        <v>164</v>
      </c>
      <c r="G7" s="110"/>
      <c r="H7" s="49"/>
      <c r="I7" s="110" t="s">
        <v>165</v>
      </c>
      <c r="J7" s="110"/>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1236407244.26</v>
      </c>
      <c r="D10" s="57">
        <f>+'Centralna država-ek klas'!D6</f>
        <v>20.024086487545752</v>
      </c>
      <c r="E10" s="49"/>
      <c r="F10" s="58">
        <f>+'Lokalna država-ek klas '!C6</f>
        <v>145908212.20000002</v>
      </c>
      <c r="G10" s="57">
        <f>+'Lokalna država-ek klas '!D6</f>
        <v>2.3630390988889971</v>
      </c>
      <c r="H10" s="55"/>
      <c r="I10" s="58">
        <f>+'Opšta država-ek klas'!C6</f>
        <v>1382315456.46</v>
      </c>
      <c r="J10" s="57">
        <f>+'Opšta država-ek klas'!D6</f>
        <v>22.387125586434749</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1068581551.9299999</v>
      </c>
      <c r="D14" s="57">
        <f>+'Centralna država-ek klas'!D39</f>
        <v>17.306085445696887</v>
      </c>
      <c r="E14" s="49"/>
      <c r="F14" s="58">
        <f>+'Lokalna država-ek klas '!C37</f>
        <v>140855714.84999999</v>
      </c>
      <c r="G14" s="57">
        <f>+'Lokalna država-ek klas '!D37</f>
        <v>2.2812119789136136</v>
      </c>
      <c r="H14" s="55"/>
      <c r="I14" s="58">
        <f>+'Opšta država-ek klas'!C27</f>
        <v>1209437266.78</v>
      </c>
      <c r="J14" s="57">
        <f>+'Opšta država-ek klas'!D27</f>
        <v>19.587297424610501</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167825692.33000004</v>
      </c>
      <c r="D18" s="57">
        <f>+'Centralna država-ek klas'!D62</f>
        <v>2.7180010418488654</v>
      </c>
      <c r="E18" s="49"/>
      <c r="F18" s="58">
        <f>+'Lokalna država-ek klas '!C55</f>
        <v>5052497.3500000238</v>
      </c>
      <c r="G18" s="57">
        <f>+'Lokalna država-ek klas '!D55</f>
        <v>8.1827119975383417E-2</v>
      </c>
      <c r="H18" s="55"/>
      <c r="I18" s="58">
        <f>+'Opšta država-ek klas'!C45</f>
        <v>172878189.68000007</v>
      </c>
      <c r="J18" s="57">
        <f>+'Opšta država-ek klas'!D45</f>
        <v>2.7998281618242489</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2"/>
    </row>
    <row r="24" spans="2:11">
      <c r="D24" s="92"/>
    </row>
    <row r="25" spans="2:11">
      <c r="D25" s="92"/>
    </row>
    <row r="41" spans="19:19" ht="15">
      <c r="S41" s="68"/>
    </row>
    <row r="42" spans="19:19" ht="15">
      <c r="S42" s="68"/>
    </row>
  </sheetData>
  <sheetProtection algorithmName="SHA-512" hashValue="TEND1V5+hhTEzg3fm4i+cw1Z0T032nhFHBr9M2IjYQRSB7nhuU86Ce19mb2gz1xrMVMdtCStYrIj5uyOt7H4jw==" saltValue="91rD5nkkkIF5nKEaqi6rIg=="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16" activePane="bottomLeft" state="frozen"/>
      <selection activeCell="G14" sqref="G14"/>
      <selection pane="bottomLeft" activeCell="C16" sqref="C16"/>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100" customWidth="1"/>
    <col min="9" max="9" width="11.140625" style="6" customWidth="1"/>
    <col min="10" max="10" width="10.28515625" style="7" customWidth="1"/>
    <col min="11" max="11" width="10.7109375" style="6" customWidth="1"/>
    <col min="12" max="12" width="12" style="100"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9">
        <v>6174600000</v>
      </c>
      <c r="D2" s="120"/>
      <c r="E2" s="119">
        <v>6174600000</v>
      </c>
      <c r="F2" s="120"/>
      <c r="G2" s="9"/>
      <c r="H2" s="101"/>
      <c r="I2" s="119">
        <v>5796761000</v>
      </c>
      <c r="J2" s="120"/>
      <c r="K2" s="85"/>
      <c r="L2" s="101"/>
      <c r="M2" s="8" t="s">
        <v>78</v>
      </c>
    </row>
    <row r="3" spans="1:13" ht="15" customHeight="1" thickBot="1">
      <c r="A3" s="8"/>
      <c r="B3" s="8"/>
      <c r="C3" s="11"/>
      <c r="D3" s="8"/>
      <c r="E3" s="11"/>
      <c r="F3" s="10"/>
      <c r="G3" s="11"/>
      <c r="H3" s="101"/>
      <c r="I3" s="11"/>
      <c r="J3" s="10"/>
      <c r="K3" s="11"/>
      <c r="L3" s="101"/>
      <c r="M3" s="8"/>
    </row>
    <row r="4" spans="1:13" ht="15" customHeight="1">
      <c r="A4" s="111" t="s">
        <v>70</v>
      </c>
      <c r="B4" s="123" t="s">
        <v>71</v>
      </c>
      <c r="C4" s="115" t="s">
        <v>189</v>
      </c>
      <c r="D4" s="116"/>
      <c r="E4" s="117" t="s">
        <v>190</v>
      </c>
      <c r="F4" s="118"/>
      <c r="G4" s="113" t="s">
        <v>171</v>
      </c>
      <c r="H4" s="114"/>
      <c r="I4" s="113" t="s">
        <v>191</v>
      </c>
      <c r="J4" s="114"/>
      <c r="K4" s="113" t="s">
        <v>171</v>
      </c>
      <c r="L4" s="114"/>
      <c r="M4" s="121" t="s">
        <v>148</v>
      </c>
    </row>
    <row r="5" spans="1:13" ht="27" customHeight="1">
      <c r="A5" s="112"/>
      <c r="B5" s="124"/>
      <c r="C5" s="12" t="s">
        <v>61</v>
      </c>
      <c r="D5" s="13" t="s">
        <v>56</v>
      </c>
      <c r="E5" s="12" t="s">
        <v>61</v>
      </c>
      <c r="F5" s="13" t="s">
        <v>56</v>
      </c>
      <c r="G5" s="12" t="s">
        <v>64</v>
      </c>
      <c r="H5" s="102" t="s">
        <v>62</v>
      </c>
      <c r="I5" s="12" t="s">
        <v>61</v>
      </c>
      <c r="J5" s="14" t="s">
        <v>56</v>
      </c>
      <c r="K5" s="12" t="s">
        <v>61</v>
      </c>
      <c r="L5" s="104" t="s">
        <v>62</v>
      </c>
      <c r="M5" s="122"/>
    </row>
    <row r="6" spans="1:13" ht="15" customHeight="1">
      <c r="A6" s="15"/>
      <c r="B6" s="16" t="s">
        <v>51</v>
      </c>
      <c r="C6" s="17">
        <f>+C7+C15+C20+C25+C32+C37+C38</f>
        <v>1236407244.26</v>
      </c>
      <c r="D6" s="39">
        <f>+C6/$C$2*100</f>
        <v>20.024086487545752</v>
      </c>
      <c r="E6" s="17">
        <f>+E7+E15+E20+E25+E32+E37+E38</f>
        <v>1005346494.8609399</v>
      </c>
      <c r="F6" s="39">
        <f>+E6/$E$2*100</f>
        <v>16.281969599017586</v>
      </c>
      <c r="G6" s="17">
        <f>+C6-E6</f>
        <v>231060749.39906013</v>
      </c>
      <c r="H6" s="97">
        <f>+C6/E6*100-100</f>
        <v>22.983195403791655</v>
      </c>
      <c r="I6" s="17">
        <f>+I7+I15+I20+I25+I32+I37+I38</f>
        <v>914385359.8499999</v>
      </c>
      <c r="J6" s="39">
        <f>+I6/$I$2*100</f>
        <v>15.774073829333309</v>
      </c>
      <c r="K6" s="17">
        <f>+C6-I6</f>
        <v>322021884.41000009</v>
      </c>
      <c r="L6" s="97">
        <f>+C6/I6*100-100</f>
        <v>35.217305367052916</v>
      </c>
      <c r="M6" s="82" t="s">
        <v>149</v>
      </c>
    </row>
    <row r="7" spans="1:13" ht="15" customHeight="1">
      <c r="A7" s="18">
        <v>711</v>
      </c>
      <c r="B7" s="19" t="s">
        <v>1</v>
      </c>
      <c r="C7" s="20">
        <f>+SUM(C8:C14)</f>
        <v>800204074.1400001</v>
      </c>
      <c r="D7" s="40">
        <f t="shared" ref="D7:D72" si="0">+C7/$C$2*100</f>
        <v>12.959609920318726</v>
      </c>
      <c r="E7" s="20">
        <f>+SUM(E8:E14)</f>
        <v>703695237.09644699</v>
      </c>
      <c r="F7" s="40">
        <f t="shared" ref="F7:F38" si="1">+E7/$E$2*100</f>
        <v>11.396612527069722</v>
      </c>
      <c r="G7" s="20">
        <f t="shared" ref="G7:G62" si="2">+C7-E7</f>
        <v>96508837.043553114</v>
      </c>
      <c r="H7" s="93">
        <f t="shared" ref="H7:H62" si="3">+C7/E7*100-100</f>
        <v>13.714578692014911</v>
      </c>
      <c r="I7" s="20">
        <f>+SUM(I8:I14)</f>
        <v>662298981.97000003</v>
      </c>
      <c r="J7" s="40">
        <f t="shared" ref="J7:J72" si="4">+I7/$I$2*100</f>
        <v>11.425328419957284</v>
      </c>
      <c r="K7" s="20">
        <f t="shared" ref="K7:K38" si="5">+C7-I7</f>
        <v>137905092.17000008</v>
      </c>
      <c r="L7" s="93">
        <f t="shared" ref="L7:L38" si="6">+C7/I7*100-100</f>
        <v>20.822180906847109</v>
      </c>
      <c r="M7" s="73" t="s">
        <v>79</v>
      </c>
    </row>
    <row r="8" spans="1:13" ht="15" customHeight="1">
      <c r="A8" s="21">
        <v>7111</v>
      </c>
      <c r="B8" s="22" t="s">
        <v>2</v>
      </c>
      <c r="C8" s="23">
        <v>25446607.539999999</v>
      </c>
      <c r="D8" s="41">
        <f t="shared" si="0"/>
        <v>0.41211750623522164</v>
      </c>
      <c r="E8" s="23">
        <v>26247500.919422965</v>
      </c>
      <c r="F8" s="41">
        <f t="shared" si="1"/>
        <v>0.4250882797172767</v>
      </c>
      <c r="G8" s="23">
        <f t="shared" si="2"/>
        <v>-800893.37942296639</v>
      </c>
      <c r="H8" s="98">
        <f t="shared" si="3"/>
        <v>-3.0513128921554227</v>
      </c>
      <c r="I8" s="23">
        <v>44026278.759999998</v>
      </c>
      <c r="J8" s="41">
        <f t="shared" si="4"/>
        <v>0.75949791202362837</v>
      </c>
      <c r="K8" s="23">
        <f t="shared" si="5"/>
        <v>-18579671.219999999</v>
      </c>
      <c r="L8" s="98">
        <f t="shared" si="6"/>
        <v>-42.201320991227007</v>
      </c>
      <c r="M8" s="74" t="s">
        <v>80</v>
      </c>
    </row>
    <row r="9" spans="1:13" ht="15" customHeight="1">
      <c r="A9" s="21">
        <v>7112</v>
      </c>
      <c r="B9" s="22" t="s">
        <v>3</v>
      </c>
      <c r="C9" s="23">
        <v>131603996.29000001</v>
      </c>
      <c r="D9" s="41">
        <f t="shared" si="0"/>
        <v>2.1313768712143299</v>
      </c>
      <c r="E9" s="23">
        <v>101445341.38804463</v>
      </c>
      <c r="F9" s="41">
        <f t="shared" si="1"/>
        <v>1.6429459622978755</v>
      </c>
      <c r="G9" s="23">
        <f t="shared" si="2"/>
        <v>30158654.901955381</v>
      </c>
      <c r="H9" s="98">
        <f t="shared" si="3"/>
        <v>29.72896979723663</v>
      </c>
      <c r="I9" s="23">
        <v>75194080.169999987</v>
      </c>
      <c r="J9" s="41">
        <f t="shared" si="4"/>
        <v>1.2971740627222683</v>
      </c>
      <c r="K9" s="23">
        <f t="shared" si="5"/>
        <v>56409916.12000002</v>
      </c>
      <c r="L9" s="98">
        <f t="shared" si="6"/>
        <v>75.019091918496201</v>
      </c>
      <c r="M9" s="74" t="s">
        <v>81</v>
      </c>
    </row>
    <row r="10" spans="1:13" ht="15" customHeight="1">
      <c r="A10" s="21">
        <v>7113</v>
      </c>
      <c r="B10" s="22" t="s">
        <v>4</v>
      </c>
      <c r="C10" s="23">
        <v>0</v>
      </c>
      <c r="D10" s="41">
        <f t="shared" si="0"/>
        <v>0</v>
      </c>
      <c r="E10" s="23">
        <v>0</v>
      </c>
      <c r="F10" s="41">
        <f t="shared" si="1"/>
        <v>0</v>
      </c>
      <c r="G10" s="23">
        <f t="shared" si="2"/>
        <v>0</v>
      </c>
      <c r="H10" s="98" t="e">
        <f t="shared" si="3"/>
        <v>#DIV/0!</v>
      </c>
      <c r="I10" s="23">
        <v>1246284.6100000001</v>
      </c>
      <c r="J10" s="41">
        <f t="shared" si="4"/>
        <v>2.1499672144495868E-2</v>
      </c>
      <c r="K10" s="23">
        <f t="shared" si="5"/>
        <v>-1246284.6100000001</v>
      </c>
      <c r="L10" s="98">
        <f t="shared" si="6"/>
        <v>-100</v>
      </c>
      <c r="M10" s="74" t="s">
        <v>82</v>
      </c>
    </row>
    <row r="11" spans="1:13" ht="15" customHeight="1">
      <c r="A11" s="21">
        <v>7114</v>
      </c>
      <c r="B11" s="22" t="s">
        <v>5</v>
      </c>
      <c r="C11" s="23">
        <v>475587698.05000001</v>
      </c>
      <c r="D11" s="41">
        <f t="shared" si="0"/>
        <v>7.702324005603602</v>
      </c>
      <c r="E11" s="23">
        <v>435310207.21877712</v>
      </c>
      <c r="F11" s="41">
        <f t="shared" si="1"/>
        <v>7.0500146927538161</v>
      </c>
      <c r="G11" s="23">
        <f t="shared" si="2"/>
        <v>40277490.831222892</v>
      </c>
      <c r="H11" s="98">
        <f t="shared" si="3"/>
        <v>9.2525950835286466</v>
      </c>
      <c r="I11" s="23">
        <v>401051714.55000007</v>
      </c>
      <c r="J11" s="41">
        <f t="shared" si="4"/>
        <v>6.9185483850377834</v>
      </c>
      <c r="K11" s="23">
        <f t="shared" si="5"/>
        <v>74535983.49999994</v>
      </c>
      <c r="L11" s="98">
        <f t="shared" si="6"/>
        <v>18.585130245268488</v>
      </c>
      <c r="M11" s="74" t="s">
        <v>83</v>
      </c>
    </row>
    <row r="12" spans="1:13" ht="15" customHeight="1">
      <c r="A12" s="21">
        <v>7115</v>
      </c>
      <c r="B12" s="22" t="s">
        <v>6</v>
      </c>
      <c r="C12" s="23">
        <v>136710345.30000001</v>
      </c>
      <c r="D12" s="41">
        <f t="shared" si="0"/>
        <v>2.214076139345059</v>
      </c>
      <c r="E12" s="23">
        <v>117737469.08640635</v>
      </c>
      <c r="F12" s="41">
        <f t="shared" si="1"/>
        <v>1.9068031789331512</v>
      </c>
      <c r="G12" s="23">
        <f t="shared" si="2"/>
        <v>18972876.213593662</v>
      </c>
      <c r="H12" s="98">
        <f t="shared" si="3"/>
        <v>16.114560947177864</v>
      </c>
      <c r="I12" s="23">
        <v>117742127.37</v>
      </c>
      <c r="J12" s="41">
        <f t="shared" si="4"/>
        <v>2.0311709827263882</v>
      </c>
      <c r="K12" s="23">
        <f t="shared" si="5"/>
        <v>18968217.930000007</v>
      </c>
      <c r="L12" s="98">
        <f t="shared" si="6"/>
        <v>16.109967055710769</v>
      </c>
      <c r="M12" s="74" t="s">
        <v>84</v>
      </c>
    </row>
    <row r="13" spans="1:13" ht="15" customHeight="1">
      <c r="A13" s="21">
        <v>7116</v>
      </c>
      <c r="B13" s="22" t="s">
        <v>7</v>
      </c>
      <c r="C13" s="23">
        <v>24484852.199999999</v>
      </c>
      <c r="D13" s="41">
        <f t="shared" si="0"/>
        <v>0.39654151200077736</v>
      </c>
      <c r="E13" s="23">
        <v>17354805.773092888</v>
      </c>
      <c r="F13" s="41">
        <f t="shared" si="1"/>
        <v>0.28106769301805606</v>
      </c>
      <c r="G13" s="23">
        <f t="shared" si="2"/>
        <v>7130046.426907111</v>
      </c>
      <c r="H13" s="98">
        <f t="shared" si="3"/>
        <v>41.08398860885913</v>
      </c>
      <c r="I13" s="23">
        <v>17349262.68</v>
      </c>
      <c r="J13" s="41">
        <f t="shared" si="4"/>
        <v>0.29929235792194986</v>
      </c>
      <c r="K13" s="23">
        <f t="shared" si="5"/>
        <v>7135589.5199999996</v>
      </c>
      <c r="L13" s="98">
        <f t="shared" si="6"/>
        <v>41.129064973036662</v>
      </c>
      <c r="M13" s="74" t="s">
        <v>85</v>
      </c>
    </row>
    <row r="14" spans="1:13" ht="15" customHeight="1">
      <c r="A14" s="21">
        <v>7118</v>
      </c>
      <c r="B14" s="22" t="s">
        <v>60</v>
      </c>
      <c r="C14" s="23">
        <v>6370574.7599999998</v>
      </c>
      <c r="D14" s="41">
        <f t="shared" si="0"/>
        <v>0.10317388591973568</v>
      </c>
      <c r="E14" s="23">
        <v>5599912.7107030386</v>
      </c>
      <c r="F14" s="41">
        <f t="shared" si="1"/>
        <v>9.0692720349545536E-2</v>
      </c>
      <c r="G14" s="23">
        <f t="shared" si="2"/>
        <v>770662.04929696117</v>
      </c>
      <c r="H14" s="98">
        <f t="shared" si="3"/>
        <v>13.762036822895567</v>
      </c>
      <c r="I14" s="23">
        <v>5689233.8300000001</v>
      </c>
      <c r="J14" s="41">
        <f t="shared" si="4"/>
        <v>9.8145047380770054E-2</v>
      </c>
      <c r="K14" s="23">
        <f t="shared" si="5"/>
        <v>681340.9299999997</v>
      </c>
      <c r="L14" s="98">
        <f t="shared" si="6"/>
        <v>11.975969882046485</v>
      </c>
      <c r="M14" s="74" t="s">
        <v>86</v>
      </c>
    </row>
    <row r="15" spans="1:13" ht="15" customHeight="1">
      <c r="A15" s="18">
        <v>712</v>
      </c>
      <c r="B15" s="19" t="s">
        <v>8</v>
      </c>
      <c r="C15" s="20">
        <f>+SUM(C16:C19)</f>
        <v>241408130.23000002</v>
      </c>
      <c r="D15" s="40">
        <f t="shared" si="0"/>
        <v>3.9096966642373596</v>
      </c>
      <c r="E15" s="20">
        <f>+SUM(E16:E19)</f>
        <v>197855880.62212914</v>
      </c>
      <c r="F15" s="40">
        <f t="shared" si="1"/>
        <v>3.2043513850634717</v>
      </c>
      <c r="G15" s="20">
        <f t="shared" si="2"/>
        <v>43552249.607870877</v>
      </c>
      <c r="H15" s="93">
        <f t="shared" si="3"/>
        <v>22.012107737676104</v>
      </c>
      <c r="I15" s="20">
        <f>+SUM(I16:I19)</f>
        <v>192625168.97999996</v>
      </c>
      <c r="J15" s="40">
        <f t="shared" si="4"/>
        <v>3.3229793151727312</v>
      </c>
      <c r="K15" s="20">
        <f t="shared" si="5"/>
        <v>48782961.25000006</v>
      </c>
      <c r="L15" s="93">
        <f t="shared" si="6"/>
        <v>25.325330800911658</v>
      </c>
      <c r="M15" s="73" t="s">
        <v>87</v>
      </c>
    </row>
    <row r="16" spans="1:13" ht="15" customHeight="1">
      <c r="A16" s="21">
        <v>7121</v>
      </c>
      <c r="B16" s="22" t="s">
        <v>9</v>
      </c>
      <c r="C16" s="23">
        <v>220749150.03</v>
      </c>
      <c r="D16" s="41">
        <f t="shared" si="0"/>
        <v>3.5751166072296185</v>
      </c>
      <c r="E16" s="23">
        <v>182561707.65373453</v>
      </c>
      <c r="F16" s="41">
        <f t="shared" si="1"/>
        <v>2.9566564255779246</v>
      </c>
      <c r="G16" s="23">
        <f t="shared" si="2"/>
        <v>38187442.376265466</v>
      </c>
      <c r="H16" s="98">
        <f t="shared" si="3"/>
        <v>20.917553230108751</v>
      </c>
      <c r="I16" s="23">
        <v>160247207.20999998</v>
      </c>
      <c r="J16" s="41">
        <f t="shared" si="4"/>
        <v>2.7644266722398938</v>
      </c>
      <c r="K16" s="23">
        <f t="shared" si="5"/>
        <v>60501942.820000023</v>
      </c>
      <c r="L16" s="98">
        <f t="shared" si="6"/>
        <v>37.755380498278328</v>
      </c>
      <c r="M16" s="74" t="s">
        <v>88</v>
      </c>
    </row>
    <row r="17" spans="1:13" ht="15" customHeight="1">
      <c r="A17" s="21">
        <v>7122</v>
      </c>
      <c r="B17" s="22" t="s">
        <v>10</v>
      </c>
      <c r="C17" s="23">
        <v>3062079.09</v>
      </c>
      <c r="D17" s="41">
        <f t="shared" si="0"/>
        <v>4.9591537751433296E-2</v>
      </c>
      <c r="E17" s="23">
        <v>600143.21216464974</v>
      </c>
      <c r="F17" s="41">
        <f t="shared" si="1"/>
        <v>9.7195480219714608E-3</v>
      </c>
      <c r="G17" s="23">
        <f t="shared" si="2"/>
        <v>2461935.8778353501</v>
      </c>
      <c r="H17" s="98">
        <f t="shared" si="3"/>
        <v>410.22473101968808</v>
      </c>
      <c r="I17" s="23">
        <v>19547115.169999998</v>
      </c>
      <c r="J17" s="41">
        <f t="shared" si="4"/>
        <v>0.33720754003830755</v>
      </c>
      <c r="K17" s="23">
        <f t="shared" si="5"/>
        <v>-16485036.079999998</v>
      </c>
      <c r="L17" s="98">
        <f t="shared" si="6"/>
        <v>-84.334879784718638</v>
      </c>
      <c r="M17" s="74" t="s">
        <v>89</v>
      </c>
    </row>
    <row r="18" spans="1:13" ht="15" customHeight="1">
      <c r="A18" s="21">
        <v>7123</v>
      </c>
      <c r="B18" s="22" t="s">
        <v>11</v>
      </c>
      <c r="C18" s="23">
        <v>10055807.119999999</v>
      </c>
      <c r="D18" s="41">
        <f t="shared" si="0"/>
        <v>0.16285762834839501</v>
      </c>
      <c r="E18" s="23">
        <v>8590954.46321637</v>
      </c>
      <c r="F18" s="41">
        <f t="shared" si="1"/>
        <v>0.13913378134966428</v>
      </c>
      <c r="G18" s="23">
        <f t="shared" si="2"/>
        <v>1464852.6567836292</v>
      </c>
      <c r="H18" s="98">
        <f t="shared" si="3"/>
        <v>17.051104892426622</v>
      </c>
      <c r="I18" s="23">
        <v>7343843.0999999996</v>
      </c>
      <c r="J18" s="41">
        <f t="shared" si="4"/>
        <v>0.12668873358760174</v>
      </c>
      <c r="K18" s="23">
        <f t="shared" si="5"/>
        <v>2711964.0199999996</v>
      </c>
      <c r="L18" s="98">
        <f t="shared" si="6"/>
        <v>36.928403603829707</v>
      </c>
      <c r="M18" s="74" t="s">
        <v>90</v>
      </c>
    </row>
    <row r="19" spans="1:13" ht="15" customHeight="1">
      <c r="A19" s="21">
        <v>7124</v>
      </c>
      <c r="B19" s="22" t="s">
        <v>12</v>
      </c>
      <c r="C19" s="23">
        <v>7541093.9900000002</v>
      </c>
      <c r="D19" s="41">
        <f t="shared" si="0"/>
        <v>0.12213089090791307</v>
      </c>
      <c r="E19" s="23">
        <v>6103075.2930136044</v>
      </c>
      <c r="F19" s="41">
        <f t="shared" si="1"/>
        <v>9.8841630113911907E-2</v>
      </c>
      <c r="G19" s="23">
        <f t="shared" si="2"/>
        <v>1438018.6969863959</v>
      </c>
      <c r="H19" s="98">
        <f t="shared" si="3"/>
        <v>23.562198202479067</v>
      </c>
      <c r="I19" s="23">
        <v>5487003.5</v>
      </c>
      <c r="J19" s="41">
        <f t="shared" si="4"/>
        <v>9.4656369306928473E-2</v>
      </c>
      <c r="K19" s="23">
        <f t="shared" si="5"/>
        <v>2054090.4900000002</v>
      </c>
      <c r="L19" s="98">
        <f t="shared" si="6"/>
        <v>37.435560046571879</v>
      </c>
      <c r="M19" s="74" t="s">
        <v>91</v>
      </c>
    </row>
    <row r="20" spans="1:13" ht="15" customHeight="1">
      <c r="A20" s="18">
        <v>713</v>
      </c>
      <c r="B20" s="19" t="s">
        <v>13</v>
      </c>
      <c r="C20" s="20">
        <f>+SUM(C21:C24)</f>
        <v>6542797.2299999995</v>
      </c>
      <c r="D20" s="40">
        <f t="shared" si="0"/>
        <v>0.10596309445146243</v>
      </c>
      <c r="E20" s="20">
        <f>+SUM(E21:E24)</f>
        <v>5481953.1508171009</v>
      </c>
      <c r="F20" s="40">
        <f t="shared" si="1"/>
        <v>8.8782320325480196E-2</v>
      </c>
      <c r="G20" s="20">
        <f t="shared" si="2"/>
        <v>1060844.0791828986</v>
      </c>
      <c r="H20" s="93">
        <f t="shared" si="3"/>
        <v>19.351571419846536</v>
      </c>
      <c r="I20" s="20">
        <f>+SUM(I21:I24)</f>
        <v>5870233.4199999999</v>
      </c>
      <c r="J20" s="40">
        <f t="shared" si="4"/>
        <v>0.10126747368056058</v>
      </c>
      <c r="K20" s="20">
        <f t="shared" si="5"/>
        <v>672563.80999999959</v>
      </c>
      <c r="L20" s="93">
        <f t="shared" si="6"/>
        <v>11.457190232138998</v>
      </c>
      <c r="M20" s="73" t="s">
        <v>92</v>
      </c>
    </row>
    <row r="21" spans="1:13" ht="15" customHeight="1">
      <c r="A21" s="21">
        <v>7131</v>
      </c>
      <c r="B21" s="22" t="s">
        <v>14</v>
      </c>
      <c r="C21" s="23">
        <v>4574779.92</v>
      </c>
      <c r="D21" s="41">
        <f t="shared" si="0"/>
        <v>7.4090304149256631E-2</v>
      </c>
      <c r="E21" s="23">
        <v>4194693.9982699556</v>
      </c>
      <c r="F21" s="41">
        <f t="shared" si="1"/>
        <v>6.7934667804715368E-2</v>
      </c>
      <c r="G21" s="23">
        <f t="shared" si="2"/>
        <v>380085.9217300443</v>
      </c>
      <c r="H21" s="98">
        <f t="shared" si="3"/>
        <v>9.0611120116701045</v>
      </c>
      <c r="I21" s="23">
        <v>4360641.79</v>
      </c>
      <c r="J21" s="41">
        <f t="shared" si="4"/>
        <v>7.5225488682386585E-2</v>
      </c>
      <c r="K21" s="23">
        <f t="shared" si="5"/>
        <v>214138.12999999989</v>
      </c>
      <c r="L21" s="98">
        <f t="shared" si="6"/>
        <v>4.9107021468965968</v>
      </c>
      <c r="M21" s="74" t="s">
        <v>93</v>
      </c>
    </row>
    <row r="22" spans="1:13" ht="15" customHeight="1">
      <c r="A22" s="21">
        <v>7132</v>
      </c>
      <c r="B22" s="22" t="s">
        <v>15</v>
      </c>
      <c r="C22" s="23">
        <v>563639.92000000004</v>
      </c>
      <c r="D22" s="41">
        <f t="shared" si="0"/>
        <v>9.1283632947883279E-3</v>
      </c>
      <c r="E22" s="23">
        <v>433464.91512884275</v>
      </c>
      <c r="F22" s="41">
        <f t="shared" si="1"/>
        <v>7.0201294841583713E-3</v>
      </c>
      <c r="G22" s="23">
        <f t="shared" si="2"/>
        <v>130175.00487115729</v>
      </c>
      <c r="H22" s="98">
        <f t="shared" si="3"/>
        <v>30.031266736424129</v>
      </c>
      <c r="I22" s="23">
        <v>488516.93</v>
      </c>
      <c r="J22" s="41">
        <f t="shared" si="4"/>
        <v>8.4274119633360768E-3</v>
      </c>
      <c r="K22" s="23">
        <f t="shared" si="5"/>
        <v>75122.990000000049</v>
      </c>
      <c r="L22" s="98">
        <f t="shared" si="6"/>
        <v>15.377765925123626</v>
      </c>
      <c r="M22" s="74" t="s">
        <v>94</v>
      </c>
    </row>
    <row r="23" spans="1:13" ht="15" customHeight="1">
      <c r="A23" s="21">
        <v>7133</v>
      </c>
      <c r="B23" s="22" t="s">
        <v>16</v>
      </c>
      <c r="C23" s="23">
        <v>678999.54</v>
      </c>
      <c r="D23" s="41">
        <f t="shared" si="0"/>
        <v>1.0996656301622778E-2</v>
      </c>
      <c r="E23" s="23">
        <v>353164.4461065603</v>
      </c>
      <c r="F23" s="41">
        <f t="shared" si="1"/>
        <v>5.7196327876552376E-3</v>
      </c>
      <c r="G23" s="23">
        <f t="shared" si="2"/>
        <v>325835.09389343974</v>
      </c>
      <c r="H23" s="98">
        <f t="shared" si="3"/>
        <v>92.26157884396028</v>
      </c>
      <c r="I23" s="23">
        <v>413211.29</v>
      </c>
      <c r="J23" s="41">
        <f t="shared" si="4"/>
        <v>7.1283133805240539E-3</v>
      </c>
      <c r="K23" s="23">
        <f t="shared" si="5"/>
        <v>265788.25000000006</v>
      </c>
      <c r="L23" s="98">
        <f t="shared" si="6"/>
        <v>64.32260115642049</v>
      </c>
      <c r="M23" s="74" t="s">
        <v>95</v>
      </c>
    </row>
    <row r="24" spans="1:13" ht="15" customHeight="1">
      <c r="A24" s="21">
        <v>7136</v>
      </c>
      <c r="B24" s="22" t="s">
        <v>18</v>
      </c>
      <c r="C24" s="23">
        <v>725377.85</v>
      </c>
      <c r="D24" s="41">
        <f t="shared" si="0"/>
        <v>1.1747770705794707E-2</v>
      </c>
      <c r="E24" s="23">
        <v>500629.79131174157</v>
      </c>
      <c r="F24" s="41">
        <f t="shared" si="1"/>
        <v>8.1078902489512134E-3</v>
      </c>
      <c r="G24" s="23">
        <f t="shared" si="2"/>
        <v>224748.0586882584</v>
      </c>
      <c r="H24" s="98">
        <f t="shared" si="3"/>
        <v>44.893065212794738</v>
      </c>
      <c r="I24" s="23">
        <v>607863.41</v>
      </c>
      <c r="J24" s="41">
        <f t="shared" si="4"/>
        <v>1.0486259654313849E-2</v>
      </c>
      <c r="K24" s="23">
        <f t="shared" si="5"/>
        <v>117514.43999999994</v>
      </c>
      <c r="L24" s="98">
        <f t="shared" si="6"/>
        <v>19.332376002036369</v>
      </c>
      <c r="M24" s="74" t="s">
        <v>96</v>
      </c>
    </row>
    <row r="25" spans="1:13" ht="15" customHeight="1">
      <c r="A25" s="18">
        <v>714</v>
      </c>
      <c r="B25" s="19" t="s">
        <v>19</v>
      </c>
      <c r="C25" s="20">
        <f>+SUM(C26:C31)</f>
        <v>31252694.090000004</v>
      </c>
      <c r="D25" s="40">
        <f t="shared" si="0"/>
        <v>0.50614929048035506</v>
      </c>
      <c r="E25" s="20">
        <f>+SUM(E26:E31)</f>
        <v>23796153.883271024</v>
      </c>
      <c r="F25" s="40">
        <f t="shared" si="1"/>
        <v>0.38538778031404503</v>
      </c>
      <c r="G25" s="20">
        <f t="shared" si="2"/>
        <v>7456540.2067289799</v>
      </c>
      <c r="H25" s="93">
        <f t="shared" si="3"/>
        <v>31.335064663416119</v>
      </c>
      <c r="I25" s="20">
        <f>+SUM(I26:I31)</f>
        <v>27663399.659999996</v>
      </c>
      <c r="J25" s="40">
        <f t="shared" si="4"/>
        <v>0.47722167017063488</v>
      </c>
      <c r="K25" s="20">
        <f t="shared" si="5"/>
        <v>3589294.4300000072</v>
      </c>
      <c r="L25" s="93">
        <f t="shared" si="6"/>
        <v>12.974885495328195</v>
      </c>
      <c r="M25" s="73" t="s">
        <v>97</v>
      </c>
    </row>
    <row r="26" spans="1:13" ht="15" customHeight="1">
      <c r="A26" s="21">
        <v>7141</v>
      </c>
      <c r="B26" s="22" t="s">
        <v>20</v>
      </c>
      <c r="C26" s="23">
        <v>969049.59999999998</v>
      </c>
      <c r="D26" s="41">
        <f t="shared" si="0"/>
        <v>1.5694127554821365E-2</v>
      </c>
      <c r="E26" s="23">
        <v>656648.51727710618</v>
      </c>
      <c r="F26" s="41">
        <f t="shared" si="1"/>
        <v>1.0634672971157746E-2</v>
      </c>
      <c r="G26" s="23">
        <f t="shared" si="2"/>
        <v>312401.0827228938</v>
      </c>
      <c r="H26" s="98">
        <f t="shared" si="3"/>
        <v>47.575083854344626</v>
      </c>
      <c r="I26" s="23">
        <v>826042.43</v>
      </c>
      <c r="J26" s="41">
        <f t="shared" si="4"/>
        <v>1.4250068788414772E-2</v>
      </c>
      <c r="K26" s="23">
        <f t="shared" si="5"/>
        <v>143007.16999999993</v>
      </c>
      <c r="L26" s="98">
        <f t="shared" si="6"/>
        <v>17.312327406716861</v>
      </c>
      <c r="M26" s="74" t="s">
        <v>98</v>
      </c>
    </row>
    <row r="27" spans="1:13" ht="15" customHeight="1">
      <c r="A27" s="21">
        <v>7142</v>
      </c>
      <c r="B27" s="22" t="s">
        <v>21</v>
      </c>
      <c r="C27" s="23">
        <v>3177800.49</v>
      </c>
      <c r="D27" s="41">
        <f t="shared" si="0"/>
        <v>5.1465689923233894E-2</v>
      </c>
      <c r="E27" s="23">
        <v>1647699.4166161695</v>
      </c>
      <c r="F27" s="41">
        <f t="shared" si="1"/>
        <v>2.6685119952971358E-2</v>
      </c>
      <c r="G27" s="23">
        <f t="shared" si="2"/>
        <v>1530101.0733838307</v>
      </c>
      <c r="H27" s="98">
        <f t="shared" si="3"/>
        <v>92.862876441757379</v>
      </c>
      <c r="I27" s="23">
        <v>1531237.96</v>
      </c>
      <c r="J27" s="41">
        <f t="shared" si="4"/>
        <v>2.6415406120762958E-2</v>
      </c>
      <c r="K27" s="23">
        <f t="shared" si="5"/>
        <v>1646562.5300000003</v>
      </c>
      <c r="L27" s="98">
        <f t="shared" si="6"/>
        <v>107.53145970858768</v>
      </c>
      <c r="M27" s="74" t="s">
        <v>99</v>
      </c>
    </row>
    <row r="28" spans="1:13" ht="15" customHeight="1">
      <c r="A28" s="21">
        <v>7143</v>
      </c>
      <c r="B28" s="22" t="s">
        <v>22</v>
      </c>
      <c r="C28" s="23">
        <v>0</v>
      </c>
      <c r="D28" s="41">
        <f t="shared" si="0"/>
        <v>0</v>
      </c>
      <c r="E28" s="23">
        <v>0</v>
      </c>
      <c r="F28" s="41">
        <f t="shared" si="1"/>
        <v>0</v>
      </c>
      <c r="G28" s="23">
        <f t="shared" si="2"/>
        <v>0</v>
      </c>
      <c r="H28" s="98" t="e">
        <f t="shared" si="3"/>
        <v>#DIV/0!</v>
      </c>
      <c r="I28" s="23">
        <v>0</v>
      </c>
      <c r="J28" s="41">
        <f t="shared" si="4"/>
        <v>0</v>
      </c>
      <c r="K28" s="23">
        <f t="shared" si="5"/>
        <v>0</v>
      </c>
      <c r="L28" s="98" t="e">
        <f t="shared" si="6"/>
        <v>#DIV/0!</v>
      </c>
      <c r="M28" s="74" t="s">
        <v>100</v>
      </c>
    </row>
    <row r="29" spans="1:13" ht="15" customHeight="1">
      <c r="A29" s="21">
        <v>7144</v>
      </c>
      <c r="B29" s="22" t="s">
        <v>23</v>
      </c>
      <c r="C29" s="23">
        <v>5050519.33</v>
      </c>
      <c r="D29" s="41">
        <f t="shared" si="0"/>
        <v>8.1795085187704467E-2</v>
      </c>
      <c r="E29" s="23">
        <v>4794005.5283242352</v>
      </c>
      <c r="F29" s="41">
        <f t="shared" si="1"/>
        <v>7.7640746417974207E-2</v>
      </c>
      <c r="G29" s="23">
        <f t="shared" si="2"/>
        <v>256513.80167576484</v>
      </c>
      <c r="H29" s="98">
        <f t="shared" si="3"/>
        <v>5.3507197720197581</v>
      </c>
      <c r="I29" s="23">
        <v>4394904.6100000003</v>
      </c>
      <c r="J29" s="41">
        <f t="shared" si="4"/>
        <v>7.5816557039353541E-2</v>
      </c>
      <c r="K29" s="23">
        <f t="shared" si="5"/>
        <v>655614.71999999974</v>
      </c>
      <c r="L29" s="98">
        <f t="shared" si="6"/>
        <v>14.917609781751324</v>
      </c>
      <c r="M29" s="74" t="s">
        <v>101</v>
      </c>
    </row>
    <row r="30" spans="1:13" ht="15" customHeight="1">
      <c r="A30" s="21">
        <v>7148</v>
      </c>
      <c r="B30" s="22" t="s">
        <v>24</v>
      </c>
      <c r="C30" s="78">
        <v>1779162.05</v>
      </c>
      <c r="D30" s="41">
        <f t="shared" si="0"/>
        <v>2.8814207398050077E-2</v>
      </c>
      <c r="E30" s="78">
        <v>1565737.30252521</v>
      </c>
      <c r="F30" s="41">
        <f t="shared" si="1"/>
        <v>2.5357712281365758E-2</v>
      </c>
      <c r="G30" s="78">
        <f t="shared" si="2"/>
        <v>213424.74747479009</v>
      </c>
      <c r="H30" s="98">
        <f t="shared" si="3"/>
        <v>13.630942248778283</v>
      </c>
      <c r="I30" s="78">
        <v>1538748.33</v>
      </c>
      <c r="J30" s="41">
        <f t="shared" si="4"/>
        <v>2.6544967612085441E-2</v>
      </c>
      <c r="K30" s="78">
        <f t="shared" si="5"/>
        <v>240413.71999999997</v>
      </c>
      <c r="L30" s="98">
        <f t="shared" si="6"/>
        <v>15.623979263717544</v>
      </c>
      <c r="M30" s="74" t="s">
        <v>102</v>
      </c>
    </row>
    <row r="31" spans="1:13" ht="15" customHeight="1">
      <c r="A31" s="21">
        <v>7149</v>
      </c>
      <c r="B31" s="22" t="s">
        <v>25</v>
      </c>
      <c r="C31" s="78">
        <v>20276162.620000001</v>
      </c>
      <c r="D31" s="41">
        <f t="shared" si="0"/>
        <v>0.32838018041654526</v>
      </c>
      <c r="E31" s="78">
        <v>15132063.118528303</v>
      </c>
      <c r="F31" s="41">
        <f t="shared" si="1"/>
        <v>0.24506952869057597</v>
      </c>
      <c r="G31" s="78">
        <f t="shared" si="2"/>
        <v>5144099.5014716983</v>
      </c>
      <c r="H31" s="98">
        <f t="shared" si="3"/>
        <v>33.994700267758333</v>
      </c>
      <c r="I31" s="78">
        <v>19372466.329999998</v>
      </c>
      <c r="J31" s="41">
        <f t="shared" si="4"/>
        <v>0.33419467061001823</v>
      </c>
      <c r="K31" s="78">
        <f t="shared" si="5"/>
        <v>903696.29000000283</v>
      </c>
      <c r="L31" s="98">
        <f t="shared" si="6"/>
        <v>4.6648489387257257</v>
      </c>
      <c r="M31" s="74" t="s">
        <v>103</v>
      </c>
    </row>
    <row r="32" spans="1:13" ht="15" customHeight="1">
      <c r="A32" s="18">
        <v>715</v>
      </c>
      <c r="B32" s="19" t="s">
        <v>26</v>
      </c>
      <c r="C32" s="20">
        <f>+SUM(C33:C36)</f>
        <v>112822646.2</v>
      </c>
      <c r="D32" s="40">
        <f t="shared" si="0"/>
        <v>1.8272057493602827</v>
      </c>
      <c r="E32" s="20">
        <f>+SUM(E33:E36)</f>
        <v>48329678.261218101</v>
      </c>
      <c r="F32" s="40">
        <f t="shared" si="1"/>
        <v>0.78271755678453825</v>
      </c>
      <c r="G32" s="20">
        <f t="shared" si="2"/>
        <v>64492967.938781902</v>
      </c>
      <c r="H32" s="93">
        <f t="shared" si="3"/>
        <v>133.44381808255062</v>
      </c>
      <c r="I32" s="20">
        <f>+SUM(I33:I36)</f>
        <v>12819390.530000001</v>
      </c>
      <c r="J32" s="40">
        <f t="shared" si="4"/>
        <v>0.22114747408078411</v>
      </c>
      <c r="K32" s="20">
        <f t="shared" si="5"/>
        <v>100003255.67</v>
      </c>
      <c r="L32" s="93">
        <f t="shared" si="6"/>
        <v>780.09368258164761</v>
      </c>
      <c r="M32" s="73" t="s">
        <v>104</v>
      </c>
    </row>
    <row r="33" spans="1:105" ht="15" customHeight="1">
      <c r="A33" s="21">
        <v>7151</v>
      </c>
      <c r="B33" s="22" t="s">
        <v>27</v>
      </c>
      <c r="C33" s="78">
        <v>67147018.780000001</v>
      </c>
      <c r="D33" s="41">
        <f t="shared" si="0"/>
        <v>1.0874715573478444</v>
      </c>
      <c r="E33" s="78">
        <v>3746440.4903946253</v>
      </c>
      <c r="F33" s="41">
        <f t="shared" si="1"/>
        <v>6.0675031425430397E-2</v>
      </c>
      <c r="G33" s="78">
        <f t="shared" si="2"/>
        <v>63400578.289605379</v>
      </c>
      <c r="H33" s="98">
        <f t="shared" si="3"/>
        <v>1692.2884122183714</v>
      </c>
      <c r="I33" s="78">
        <v>2174849.41</v>
      </c>
      <c r="J33" s="41">
        <f t="shared" si="4"/>
        <v>3.7518355681733305E-2</v>
      </c>
      <c r="K33" s="78">
        <f t="shared" si="5"/>
        <v>64972169.370000005</v>
      </c>
      <c r="L33" s="98">
        <f t="shared" si="6"/>
        <v>2987.4330181784858</v>
      </c>
      <c r="M33" s="74" t="s">
        <v>105</v>
      </c>
    </row>
    <row r="34" spans="1:105" ht="15" customHeight="1">
      <c r="A34" s="21">
        <v>7152</v>
      </c>
      <c r="B34" s="22" t="s">
        <v>28</v>
      </c>
      <c r="C34" s="78">
        <v>7113601.7699999996</v>
      </c>
      <c r="D34" s="41">
        <f t="shared" si="0"/>
        <v>0.11520749149742493</v>
      </c>
      <c r="E34" s="78">
        <v>5787611.7870341558</v>
      </c>
      <c r="F34" s="41">
        <f t="shared" si="1"/>
        <v>9.3732578418588341E-2</v>
      </c>
      <c r="G34" s="78">
        <f t="shared" si="2"/>
        <v>1325989.9829658438</v>
      </c>
      <c r="H34" s="98">
        <f t="shared" si="3"/>
        <v>22.910831475193731</v>
      </c>
      <c r="I34" s="78">
        <v>6161121.6100000003</v>
      </c>
      <c r="J34" s="41">
        <f t="shared" si="4"/>
        <v>0.10628558965946673</v>
      </c>
      <c r="K34" s="78">
        <f t="shared" si="5"/>
        <v>952480.15999999922</v>
      </c>
      <c r="L34" s="98">
        <f t="shared" si="6"/>
        <v>15.459525396383128</v>
      </c>
      <c r="M34" s="74" t="s">
        <v>106</v>
      </c>
    </row>
    <row r="35" spans="1:105">
      <c r="A35" s="21">
        <v>7153</v>
      </c>
      <c r="B35" s="22" t="s">
        <v>29</v>
      </c>
      <c r="C35" s="78">
        <v>949035.34</v>
      </c>
      <c r="D35" s="41">
        <f t="shared" si="0"/>
        <v>1.5369988987140867E-2</v>
      </c>
      <c r="E35" s="78">
        <v>1119407.6147938594</v>
      </c>
      <c r="F35" s="41">
        <f t="shared" si="1"/>
        <v>1.8129232902436749E-2</v>
      </c>
      <c r="G35" s="78">
        <f t="shared" si="2"/>
        <v>-170372.27479385945</v>
      </c>
      <c r="H35" s="98">
        <f t="shared" si="3"/>
        <v>-15.219860267364155</v>
      </c>
      <c r="I35" s="78">
        <v>917094.1</v>
      </c>
      <c r="J35" s="41">
        <f t="shared" si="4"/>
        <v>1.582080234116949E-2</v>
      </c>
      <c r="K35" s="78">
        <f t="shared" si="5"/>
        <v>31941.239999999991</v>
      </c>
      <c r="L35" s="98">
        <f t="shared" si="6"/>
        <v>3.4828748761986219</v>
      </c>
      <c r="M35" s="74" t="s">
        <v>107</v>
      </c>
    </row>
    <row r="36" spans="1:105" s="3" customFormat="1" ht="15" customHeight="1">
      <c r="A36" s="21">
        <v>7155</v>
      </c>
      <c r="B36" s="22" t="s">
        <v>26</v>
      </c>
      <c r="C36" s="78">
        <v>37612990.310000002</v>
      </c>
      <c r="D36" s="41">
        <f t="shared" si="0"/>
        <v>0.60915671152787232</v>
      </c>
      <c r="E36" s="78">
        <v>37676218.368995458</v>
      </c>
      <c r="F36" s="41">
        <f t="shared" si="1"/>
        <v>0.61018071403808272</v>
      </c>
      <c r="G36" s="78">
        <f t="shared" si="2"/>
        <v>-63228.058995455503</v>
      </c>
      <c r="H36" s="98">
        <f t="shared" si="3"/>
        <v>-0.16781954700498147</v>
      </c>
      <c r="I36" s="78">
        <v>3566325.41</v>
      </c>
      <c r="J36" s="41">
        <f t="shared" si="4"/>
        <v>6.1522726398414565E-2</v>
      </c>
      <c r="K36" s="78">
        <f t="shared" si="5"/>
        <v>34046664.900000006</v>
      </c>
      <c r="L36" s="98">
        <f t="shared" si="6"/>
        <v>954.67073207994213</v>
      </c>
      <c r="M36" s="74"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6" t="s">
        <v>187</v>
      </c>
      <c r="C37" s="20">
        <v>0</v>
      </c>
      <c r="D37" s="40">
        <f t="shared" si="0"/>
        <v>0</v>
      </c>
      <c r="E37" s="20">
        <v>3726463.6537240706</v>
      </c>
      <c r="F37" s="40">
        <f t="shared" si="1"/>
        <v>6.0351498942831441E-2</v>
      </c>
      <c r="G37" s="20">
        <f t="shared" si="2"/>
        <v>-3726463.6537240706</v>
      </c>
      <c r="H37" s="93">
        <f t="shared" si="3"/>
        <v>-100</v>
      </c>
      <c r="I37" s="20">
        <v>0</v>
      </c>
      <c r="J37" s="40">
        <f t="shared" si="4"/>
        <v>0</v>
      </c>
      <c r="K37" s="20">
        <f t="shared" si="5"/>
        <v>0</v>
      </c>
      <c r="L37" s="93" t="e">
        <f t="shared" si="6"/>
        <v>#DIV/0!</v>
      </c>
      <c r="M37" s="73" t="s">
        <v>108</v>
      </c>
    </row>
    <row r="38" spans="1:105" ht="15" customHeight="1">
      <c r="A38" s="18">
        <v>74</v>
      </c>
      <c r="B38" s="19" t="s">
        <v>183</v>
      </c>
      <c r="C38" s="20">
        <v>44176902.369999997</v>
      </c>
      <c r="D38" s="40">
        <f t="shared" si="0"/>
        <v>0.7154617686975675</v>
      </c>
      <c r="E38" s="20">
        <v>22461128.193333331</v>
      </c>
      <c r="F38" s="40">
        <f t="shared" si="1"/>
        <v>0.36376653051749641</v>
      </c>
      <c r="G38" s="20">
        <f t="shared" si="2"/>
        <v>21715774.176666666</v>
      </c>
      <c r="H38" s="93">
        <f t="shared" si="3"/>
        <v>96.681582464375538</v>
      </c>
      <c r="I38" s="20">
        <v>13108185.289999999</v>
      </c>
      <c r="J38" s="40">
        <f t="shared" si="4"/>
        <v>0.22612947627131769</v>
      </c>
      <c r="K38" s="20">
        <f t="shared" si="5"/>
        <v>31068717.079999998</v>
      </c>
      <c r="L38" s="93">
        <f t="shared" si="6"/>
        <v>237.01768317008589</v>
      </c>
      <c r="M38" s="73" t="s">
        <v>109</v>
      </c>
    </row>
    <row r="39" spans="1:105" ht="15" customHeight="1">
      <c r="A39" s="15"/>
      <c r="B39" s="16" t="s">
        <v>72</v>
      </c>
      <c r="C39" s="17">
        <f>+C40+C50+C56+C57+C58+C59+C60+C61</f>
        <v>1068581551.9299999</v>
      </c>
      <c r="D39" s="39">
        <f t="shared" si="0"/>
        <v>17.306085445696887</v>
      </c>
      <c r="E39" s="17">
        <f>+E40+E50+E56+E57+E58+E59+E60+E61</f>
        <v>1183766260.9200001</v>
      </c>
      <c r="F39" s="39">
        <f t="shared" ref="F39:F78" si="7">+E39/$E$2*100</f>
        <v>19.171545702069771</v>
      </c>
      <c r="G39" s="17">
        <f t="shared" si="2"/>
        <v>-115184708.99000013</v>
      </c>
      <c r="H39" s="97">
        <f t="shared" si="3"/>
        <v>-9.7303591758461465</v>
      </c>
      <c r="I39" s="17">
        <f>+I40+I50+I56+I57+I58+I59+I60+I61</f>
        <v>975243054.00999987</v>
      </c>
      <c r="J39" s="39">
        <f t="shared" si="4"/>
        <v>16.823930709063216</v>
      </c>
      <c r="K39" s="17">
        <f t="shared" ref="K39:K61" si="8">+C39-I39</f>
        <v>93338497.920000076</v>
      </c>
      <c r="L39" s="97">
        <f t="shared" ref="L39:L61" si="9">+C39/I39*100-100</f>
        <v>9.5707934074702052</v>
      </c>
      <c r="M39" s="82" t="s">
        <v>110</v>
      </c>
    </row>
    <row r="40" spans="1:105" ht="15" customHeight="1">
      <c r="A40" s="18">
        <v>41</v>
      </c>
      <c r="B40" s="19" t="s">
        <v>69</v>
      </c>
      <c r="C40" s="20">
        <f>+SUM(C41:C49)</f>
        <v>473758766.16999996</v>
      </c>
      <c r="D40" s="40">
        <f t="shared" si="0"/>
        <v>7.6727037568425471</v>
      </c>
      <c r="E40" s="20">
        <f>+SUM(E41:E49)</f>
        <v>498071884.41999996</v>
      </c>
      <c r="F40" s="40">
        <f t="shared" si="7"/>
        <v>8.0664639720791609</v>
      </c>
      <c r="G40" s="20">
        <f t="shared" si="2"/>
        <v>-24313118.25</v>
      </c>
      <c r="H40" s="93">
        <f t="shared" si="3"/>
        <v>-4.8814476404971998</v>
      </c>
      <c r="I40" s="20">
        <f>+SUM(I41:I49)</f>
        <v>399328092.31</v>
      </c>
      <c r="J40" s="40">
        <f t="shared" si="4"/>
        <v>6.8888141551807989</v>
      </c>
      <c r="K40" s="20">
        <f t="shared" si="8"/>
        <v>74430673.859999955</v>
      </c>
      <c r="L40" s="93">
        <f t="shared" si="9"/>
        <v>18.638977646035258</v>
      </c>
      <c r="M40" s="73" t="s">
        <v>111</v>
      </c>
    </row>
    <row r="41" spans="1:105" ht="15" customHeight="1">
      <c r="A41" s="21">
        <v>411</v>
      </c>
      <c r="B41" s="22" t="s">
        <v>30</v>
      </c>
      <c r="C41" s="23">
        <v>314588857.76999992</v>
      </c>
      <c r="D41" s="41">
        <f t="shared" si="0"/>
        <v>5.0948864342629472</v>
      </c>
      <c r="E41" s="23">
        <v>303756123.13999999</v>
      </c>
      <c r="F41" s="41">
        <f t="shared" si="7"/>
        <v>4.9194461688206523</v>
      </c>
      <c r="G41" s="23">
        <f t="shared" si="2"/>
        <v>10832734.629999936</v>
      </c>
      <c r="H41" s="98">
        <f t="shared" si="3"/>
        <v>3.5662604980664554</v>
      </c>
      <c r="I41" s="23">
        <v>264999102.00999999</v>
      </c>
      <c r="J41" s="41">
        <f t="shared" si="4"/>
        <v>4.5715029826139109</v>
      </c>
      <c r="K41" s="23">
        <f t="shared" si="8"/>
        <v>49589755.759999931</v>
      </c>
      <c r="L41" s="98">
        <f t="shared" si="9"/>
        <v>18.713178793386476</v>
      </c>
      <c r="M41" s="74" t="s">
        <v>112</v>
      </c>
    </row>
    <row r="42" spans="1:105" ht="15" customHeight="1">
      <c r="A42" s="21">
        <v>412</v>
      </c>
      <c r="B42" s="22" t="s">
        <v>31</v>
      </c>
      <c r="C42" s="23">
        <v>7741395.5999999978</v>
      </c>
      <c r="D42" s="41">
        <f t="shared" si="0"/>
        <v>0.1253748518122631</v>
      </c>
      <c r="E42" s="23">
        <v>8964490.2199999988</v>
      </c>
      <c r="F42" s="41">
        <f t="shared" si="7"/>
        <v>0.14518333527677904</v>
      </c>
      <c r="G42" s="23">
        <f t="shared" si="2"/>
        <v>-1223094.620000001</v>
      </c>
      <c r="H42" s="98">
        <f t="shared" si="3"/>
        <v>-13.643772149711836</v>
      </c>
      <c r="I42" s="23">
        <v>7025467.6199999992</v>
      </c>
      <c r="J42" s="41">
        <f t="shared" si="4"/>
        <v>0.12119643400857823</v>
      </c>
      <c r="K42" s="23">
        <f t="shared" si="8"/>
        <v>715927.97999999858</v>
      </c>
      <c r="L42" s="98">
        <f t="shared" si="9"/>
        <v>10.190467293051157</v>
      </c>
      <c r="M42" s="74" t="s">
        <v>113</v>
      </c>
    </row>
    <row r="43" spans="1:105" ht="15" customHeight="1">
      <c r="A43" s="21">
        <v>413</v>
      </c>
      <c r="B43" s="22" t="s">
        <v>73</v>
      </c>
      <c r="C43" s="23">
        <v>16323015.669999998</v>
      </c>
      <c r="D43" s="41">
        <f t="shared" si="0"/>
        <v>0.26435745910666275</v>
      </c>
      <c r="E43" s="23">
        <v>25409649.240000002</v>
      </c>
      <c r="F43" s="41">
        <f t="shared" si="7"/>
        <v>0.41151895248275189</v>
      </c>
      <c r="G43" s="23">
        <f t="shared" si="2"/>
        <v>-9086633.570000004</v>
      </c>
      <c r="H43" s="98">
        <f t="shared" si="3"/>
        <v>-35.760562785320857</v>
      </c>
      <c r="I43" s="23">
        <v>14158519.800000001</v>
      </c>
      <c r="J43" s="41">
        <f t="shared" si="4"/>
        <v>0.24424881067202875</v>
      </c>
      <c r="K43" s="23">
        <f t="shared" si="8"/>
        <v>2164495.8699999973</v>
      </c>
      <c r="L43" s="98">
        <f t="shared" si="9"/>
        <v>15.287585853430798</v>
      </c>
      <c r="M43" s="74" t="s">
        <v>114</v>
      </c>
    </row>
    <row r="44" spans="1:105" ht="15" customHeight="1">
      <c r="A44" s="21">
        <v>414</v>
      </c>
      <c r="B44" s="22" t="s">
        <v>74</v>
      </c>
      <c r="C44" s="23">
        <v>27697695.330000002</v>
      </c>
      <c r="D44" s="41">
        <f t="shared" si="0"/>
        <v>0.44857473083276656</v>
      </c>
      <c r="E44" s="23">
        <v>29254015.029999975</v>
      </c>
      <c r="F44" s="41">
        <f t="shared" si="7"/>
        <v>0.47377992145240139</v>
      </c>
      <c r="G44" s="23">
        <f t="shared" si="2"/>
        <v>-1556319.6999999732</v>
      </c>
      <c r="H44" s="98">
        <f t="shared" si="3"/>
        <v>-5.3200208532195319</v>
      </c>
      <c r="I44" s="23">
        <v>22819775.369999997</v>
      </c>
      <c r="J44" s="41">
        <f t="shared" si="4"/>
        <v>0.39366424404939243</v>
      </c>
      <c r="K44" s="23">
        <f t="shared" si="8"/>
        <v>4877919.9600000046</v>
      </c>
      <c r="L44" s="98">
        <f t="shared" si="9"/>
        <v>21.375845646634886</v>
      </c>
      <c r="M44" s="74" t="s">
        <v>115</v>
      </c>
    </row>
    <row r="45" spans="1:105" ht="15.75" customHeight="1">
      <c r="A45" s="21">
        <v>415</v>
      </c>
      <c r="B45" s="22" t="s">
        <v>32</v>
      </c>
      <c r="C45" s="23">
        <v>9077254.1100000013</v>
      </c>
      <c r="D45" s="41">
        <f t="shared" si="0"/>
        <v>0.14700958944708972</v>
      </c>
      <c r="E45" s="23">
        <v>15173755.510000002</v>
      </c>
      <c r="F45" s="41">
        <f t="shared" si="7"/>
        <v>0.24574475285848479</v>
      </c>
      <c r="G45" s="23">
        <f t="shared" si="2"/>
        <v>-6096501.4000000004</v>
      </c>
      <c r="H45" s="98">
        <f t="shared" si="3"/>
        <v>-40.177933511464623</v>
      </c>
      <c r="I45" s="23">
        <v>8633719.0299999993</v>
      </c>
      <c r="J45" s="41">
        <f t="shared" si="4"/>
        <v>0.14894040016485069</v>
      </c>
      <c r="K45" s="23">
        <f t="shared" si="8"/>
        <v>443535.08000000194</v>
      </c>
      <c r="L45" s="98">
        <f t="shared" si="9"/>
        <v>5.1372424613174132</v>
      </c>
      <c r="M45" s="74" t="s">
        <v>116</v>
      </c>
    </row>
    <row r="46" spans="1:105" ht="15" customHeight="1">
      <c r="A46" s="21">
        <v>416</v>
      </c>
      <c r="B46" s="22" t="s">
        <v>33</v>
      </c>
      <c r="C46" s="23">
        <v>48867447.219999999</v>
      </c>
      <c r="D46" s="41">
        <f t="shared" si="0"/>
        <v>0.79142693000356301</v>
      </c>
      <c r="E46" s="23">
        <v>48162213.200000003</v>
      </c>
      <c r="F46" s="41">
        <f t="shared" si="7"/>
        <v>0.7800053963009751</v>
      </c>
      <c r="G46" s="23">
        <f t="shared" si="2"/>
        <v>705234.01999999583</v>
      </c>
      <c r="H46" s="98">
        <f t="shared" si="3"/>
        <v>1.4642890621978211</v>
      </c>
      <c r="I46" s="23">
        <v>39075082.880000003</v>
      </c>
      <c r="J46" s="41">
        <f t="shared" si="4"/>
        <v>0.67408476699315367</v>
      </c>
      <c r="K46" s="23">
        <f t="shared" si="8"/>
        <v>9792364.3399999961</v>
      </c>
      <c r="L46" s="98">
        <f t="shared" si="9"/>
        <v>25.060380217420004</v>
      </c>
      <c r="M46" s="74" t="s">
        <v>117</v>
      </c>
    </row>
    <row r="47" spans="1:105" ht="15" customHeight="1">
      <c r="A47" s="21">
        <v>417</v>
      </c>
      <c r="B47" s="22" t="s">
        <v>34</v>
      </c>
      <c r="C47" s="23">
        <v>4840501.7200000007</v>
      </c>
      <c r="D47" s="41">
        <f t="shared" si="0"/>
        <v>7.8393769960807186E-2</v>
      </c>
      <c r="E47" s="23">
        <v>5567625.4499999993</v>
      </c>
      <c r="F47" s="41">
        <f t="shared" si="7"/>
        <v>9.0169815858517147E-2</v>
      </c>
      <c r="G47" s="23">
        <f t="shared" si="2"/>
        <v>-727123.72999999858</v>
      </c>
      <c r="H47" s="98">
        <f t="shared" si="3"/>
        <v>-13.05985355031379</v>
      </c>
      <c r="I47" s="23">
        <v>4302237.13</v>
      </c>
      <c r="J47" s="41">
        <f t="shared" si="4"/>
        <v>7.4217949127107358E-2</v>
      </c>
      <c r="K47" s="23">
        <f t="shared" si="8"/>
        <v>538264.59000000078</v>
      </c>
      <c r="L47" s="98">
        <f t="shared" si="9"/>
        <v>12.511272013497802</v>
      </c>
      <c r="M47" s="74" t="s">
        <v>118</v>
      </c>
    </row>
    <row r="48" spans="1:105" ht="15" customHeight="1">
      <c r="A48" s="21">
        <v>418</v>
      </c>
      <c r="B48" s="22" t="s">
        <v>35</v>
      </c>
      <c r="C48" s="23">
        <v>23263706.349999998</v>
      </c>
      <c r="D48" s="41">
        <f t="shared" si="0"/>
        <v>0.37676458960904347</v>
      </c>
      <c r="E48" s="23">
        <v>31587907.890000001</v>
      </c>
      <c r="F48" s="41">
        <f t="shared" si="7"/>
        <v>0.51157820571373047</v>
      </c>
      <c r="G48" s="23">
        <f t="shared" si="2"/>
        <v>-8324201.5400000028</v>
      </c>
      <c r="H48" s="98">
        <f t="shared" si="3"/>
        <v>-26.352494027106019</v>
      </c>
      <c r="I48" s="23">
        <v>20867715.430000003</v>
      </c>
      <c r="J48" s="41">
        <f t="shared" si="4"/>
        <v>0.35998923243514785</v>
      </c>
      <c r="K48" s="23">
        <f t="shared" si="8"/>
        <v>2395990.9199999943</v>
      </c>
      <c r="L48" s="98">
        <f t="shared" si="9"/>
        <v>11.481807522425044</v>
      </c>
      <c r="M48" s="74" t="s">
        <v>119</v>
      </c>
    </row>
    <row r="49" spans="1:15" ht="15" customHeight="1">
      <c r="A49" s="21">
        <v>419</v>
      </c>
      <c r="B49" s="22" t="s">
        <v>36</v>
      </c>
      <c r="C49" s="23">
        <v>21358892.400000002</v>
      </c>
      <c r="D49" s="41">
        <f t="shared" si="0"/>
        <v>0.34591540180740454</v>
      </c>
      <c r="E49" s="23">
        <v>30196104.740000002</v>
      </c>
      <c r="F49" s="41">
        <f t="shared" si="7"/>
        <v>0.48903742331487066</v>
      </c>
      <c r="G49" s="23">
        <f t="shared" si="2"/>
        <v>-8837212.3399999999</v>
      </c>
      <c r="H49" s="98">
        <f t="shared" si="3"/>
        <v>-29.266067315939509</v>
      </c>
      <c r="I49" s="23">
        <v>17446473.039999999</v>
      </c>
      <c r="J49" s="41">
        <f t="shared" si="4"/>
        <v>0.30096933511662805</v>
      </c>
      <c r="K49" s="23">
        <f t="shared" si="8"/>
        <v>3912419.3600000031</v>
      </c>
      <c r="L49" s="98">
        <f t="shared" si="9"/>
        <v>22.425273870712402</v>
      </c>
      <c r="M49" s="74" t="s">
        <v>120</v>
      </c>
    </row>
    <row r="50" spans="1:15" ht="15" customHeight="1">
      <c r="A50" s="18">
        <v>42</v>
      </c>
      <c r="B50" s="19" t="s">
        <v>37</v>
      </c>
      <c r="C50" s="20">
        <f>+SUM(C51:C55)</f>
        <v>391935922.27999997</v>
      </c>
      <c r="D50" s="40">
        <f t="shared" si="0"/>
        <v>6.3475516192141992</v>
      </c>
      <c r="E50" s="20">
        <f>+SUM(E51:E55)</f>
        <v>387997543.96000004</v>
      </c>
      <c r="F50" s="40">
        <f t="shared" si="7"/>
        <v>6.2837680814951584</v>
      </c>
      <c r="G50" s="20">
        <f t="shared" si="2"/>
        <v>3938378.3199999332</v>
      </c>
      <c r="H50" s="93">
        <f t="shared" si="3"/>
        <v>1.0150523840444663</v>
      </c>
      <c r="I50" s="20">
        <f>+SUM(I51:I55)</f>
        <v>296830260.54999989</v>
      </c>
      <c r="J50" s="40">
        <f t="shared" si="4"/>
        <v>5.120622715858044</v>
      </c>
      <c r="K50" s="20">
        <f t="shared" si="8"/>
        <v>95105661.730000079</v>
      </c>
      <c r="L50" s="93">
        <f t="shared" si="9"/>
        <v>32.04041985267196</v>
      </c>
      <c r="M50" s="73" t="s">
        <v>121</v>
      </c>
    </row>
    <row r="51" spans="1:15" ht="15" customHeight="1">
      <c r="A51" s="21">
        <v>421</v>
      </c>
      <c r="B51" s="22" t="s">
        <v>38</v>
      </c>
      <c r="C51" s="23">
        <v>102808128.44</v>
      </c>
      <c r="D51" s="41">
        <f t="shared" si="0"/>
        <v>1.6650168179315261</v>
      </c>
      <c r="E51" s="23">
        <v>95068491.120000005</v>
      </c>
      <c r="F51" s="41">
        <f t="shared" si="7"/>
        <v>1.5396704421339036</v>
      </c>
      <c r="G51" s="23">
        <f t="shared" si="2"/>
        <v>7739637.3199999928</v>
      </c>
      <c r="H51" s="98">
        <f t="shared" si="3"/>
        <v>8.1411172396021811</v>
      </c>
      <c r="I51" s="23">
        <v>57407134.149999999</v>
      </c>
      <c r="J51" s="41">
        <f t="shared" si="4"/>
        <v>0.9903312237644436</v>
      </c>
      <c r="K51" s="23">
        <f t="shared" si="8"/>
        <v>45400994.289999999</v>
      </c>
      <c r="L51" s="98">
        <f t="shared" si="9"/>
        <v>79.085979403484998</v>
      </c>
      <c r="M51" s="74" t="s">
        <v>122</v>
      </c>
    </row>
    <row r="52" spans="1:15" ht="15" customHeight="1">
      <c r="A52" s="21">
        <v>422</v>
      </c>
      <c r="B52" s="22" t="s">
        <v>39</v>
      </c>
      <c r="C52" s="23">
        <v>10502825.219999999</v>
      </c>
      <c r="D52" s="41">
        <f t="shared" si="0"/>
        <v>0.1700972568263531</v>
      </c>
      <c r="E52" s="23">
        <v>11454907.980000002</v>
      </c>
      <c r="F52" s="41">
        <f t="shared" si="7"/>
        <v>0.18551659994169667</v>
      </c>
      <c r="G52" s="23">
        <f t="shared" si="2"/>
        <v>-952082.7600000035</v>
      </c>
      <c r="H52" s="98">
        <f t="shared" si="3"/>
        <v>-8.3115705657550194</v>
      </c>
      <c r="I52" s="23">
        <v>12003465.699999999</v>
      </c>
      <c r="J52" s="41">
        <f t="shared" si="4"/>
        <v>0.20707194414259963</v>
      </c>
      <c r="K52" s="23">
        <f t="shared" si="8"/>
        <v>-1500640.4800000004</v>
      </c>
      <c r="L52" s="98">
        <f t="shared" si="9"/>
        <v>-12.501726730472512</v>
      </c>
      <c r="M52" s="74" t="s">
        <v>123</v>
      </c>
    </row>
    <row r="53" spans="1:15">
      <c r="A53" s="21">
        <v>423</v>
      </c>
      <c r="B53" s="22" t="s">
        <v>40</v>
      </c>
      <c r="C53" s="23">
        <v>263266819.85999998</v>
      </c>
      <c r="D53" s="41">
        <f t="shared" si="0"/>
        <v>4.2637064726460014</v>
      </c>
      <c r="E53" s="23">
        <v>264944144.86000001</v>
      </c>
      <c r="F53" s="41">
        <f t="shared" si="7"/>
        <v>4.2908713902115121</v>
      </c>
      <c r="G53" s="23">
        <f t="shared" si="2"/>
        <v>-1677325.0000000298</v>
      </c>
      <c r="H53" s="98">
        <f t="shared" si="3"/>
        <v>-0.63308626838549742</v>
      </c>
      <c r="I53" s="23">
        <v>216817720.63999993</v>
      </c>
      <c r="J53" s="41">
        <f t="shared" si="4"/>
        <v>3.7403253409964621</v>
      </c>
      <c r="K53" s="23">
        <f t="shared" si="8"/>
        <v>46449099.220000058</v>
      </c>
      <c r="L53" s="98">
        <f t="shared" si="9"/>
        <v>21.423110197308674</v>
      </c>
      <c r="M53" s="74" t="s">
        <v>124</v>
      </c>
    </row>
    <row r="54" spans="1:15" ht="15" customHeight="1">
      <c r="A54" s="21">
        <v>424</v>
      </c>
      <c r="B54" s="22" t="s">
        <v>41</v>
      </c>
      <c r="C54" s="23">
        <v>10123984.83</v>
      </c>
      <c r="D54" s="41">
        <f t="shared" si="0"/>
        <v>0.16396179234282382</v>
      </c>
      <c r="E54" s="23">
        <v>10530000</v>
      </c>
      <c r="F54" s="41">
        <f t="shared" si="7"/>
        <v>0.17053736274414535</v>
      </c>
      <c r="G54" s="23">
        <f t="shared" si="2"/>
        <v>-406015.16999999993</v>
      </c>
      <c r="H54" s="98">
        <f t="shared" si="3"/>
        <v>-3.8557945868945893</v>
      </c>
      <c r="I54" s="23">
        <v>5616081.3300000001</v>
      </c>
      <c r="J54" s="41">
        <f t="shared" si="4"/>
        <v>9.6883092644323279E-2</v>
      </c>
      <c r="K54" s="23">
        <f t="shared" si="8"/>
        <v>4507903.5</v>
      </c>
      <c r="L54" s="98">
        <f t="shared" si="9"/>
        <v>80.267774540936017</v>
      </c>
      <c r="M54" s="74" t="s">
        <v>125</v>
      </c>
    </row>
    <row r="55" spans="1:15" ht="15" customHeight="1">
      <c r="A55" s="21">
        <v>425</v>
      </c>
      <c r="B55" s="22" t="s">
        <v>42</v>
      </c>
      <c r="C55" s="23">
        <v>5234163.93</v>
      </c>
      <c r="D55" s="41">
        <f t="shared" si="0"/>
        <v>8.4769279467495864E-2</v>
      </c>
      <c r="E55" s="23">
        <v>6000000</v>
      </c>
      <c r="F55" s="41">
        <f t="shared" si="7"/>
        <v>9.7172286463900498E-2</v>
      </c>
      <c r="G55" s="23">
        <f t="shared" si="2"/>
        <v>-765836.0700000003</v>
      </c>
      <c r="H55" s="98">
        <f t="shared" si="3"/>
        <v>-12.763934500000005</v>
      </c>
      <c r="I55" s="23">
        <v>4985858.7300000004</v>
      </c>
      <c r="J55" s="41">
        <f t="shared" si="4"/>
        <v>8.6011114310215658E-2</v>
      </c>
      <c r="K55" s="23">
        <f t="shared" si="8"/>
        <v>248305.19999999925</v>
      </c>
      <c r="L55" s="98">
        <f t="shared" si="9"/>
        <v>4.9801892401391683</v>
      </c>
      <c r="M55" s="74" t="s">
        <v>126</v>
      </c>
      <c r="O55" s="80"/>
    </row>
    <row r="56" spans="1:15" ht="15" customHeight="1">
      <c r="A56" s="18">
        <v>43</v>
      </c>
      <c r="B56" s="79" t="s">
        <v>43</v>
      </c>
      <c r="C56" s="20">
        <v>145056875.26999998</v>
      </c>
      <c r="D56" s="40">
        <f t="shared" si="0"/>
        <v>2.3492513728824536</v>
      </c>
      <c r="E56" s="20">
        <v>147943195.61000001</v>
      </c>
      <c r="F56" s="40">
        <f t="shared" si="7"/>
        <v>2.3959964306999644</v>
      </c>
      <c r="G56" s="20">
        <f t="shared" si="2"/>
        <v>-2886320.3400000334</v>
      </c>
      <c r="H56" s="93">
        <f t="shared" si="3"/>
        <v>-1.9509652526425043</v>
      </c>
      <c r="I56" s="20">
        <v>142616076.50999999</v>
      </c>
      <c r="J56" s="40">
        <f t="shared" si="4"/>
        <v>2.4602718054099517</v>
      </c>
      <c r="K56" s="20">
        <f t="shared" si="8"/>
        <v>2440798.7599999905</v>
      </c>
      <c r="L56" s="93">
        <f t="shared" si="9"/>
        <v>1.7114471381694898</v>
      </c>
      <c r="M56" s="73" t="s">
        <v>127</v>
      </c>
    </row>
    <row r="57" spans="1:15" ht="15" customHeight="1">
      <c r="A57" s="18">
        <v>44</v>
      </c>
      <c r="B57" s="19" t="s">
        <v>65</v>
      </c>
      <c r="C57" s="20">
        <v>42132697.600000001</v>
      </c>
      <c r="D57" s="40">
        <f t="shared" si="0"/>
        <v>0.68235509344734879</v>
      </c>
      <c r="E57" s="20">
        <v>114883287.25</v>
      </c>
      <c r="F57" s="40">
        <f t="shared" si="7"/>
        <v>1.8605786164285945</v>
      </c>
      <c r="G57" s="20">
        <f t="shared" si="2"/>
        <v>-72750589.650000006</v>
      </c>
      <c r="H57" s="93">
        <f t="shared" si="3"/>
        <v>-63.325651094650411</v>
      </c>
      <c r="I57" s="20">
        <v>103385674.09999999</v>
      </c>
      <c r="J57" s="40">
        <f t="shared" si="4"/>
        <v>1.7835076191687047</v>
      </c>
      <c r="K57" s="20">
        <f t="shared" si="8"/>
        <v>-61252976.499999993</v>
      </c>
      <c r="L57" s="93">
        <f t="shared" si="9"/>
        <v>-59.247063999169683</v>
      </c>
      <c r="M57" s="73" t="s">
        <v>128</v>
      </c>
    </row>
    <row r="58" spans="1:15" ht="15" customHeight="1">
      <c r="A58" s="18">
        <v>45</v>
      </c>
      <c r="B58" s="19" t="s">
        <v>44</v>
      </c>
      <c r="C58" s="20">
        <v>0</v>
      </c>
      <c r="D58" s="40">
        <f t="shared" si="0"/>
        <v>0</v>
      </c>
      <c r="E58" s="20">
        <v>2989607</v>
      </c>
      <c r="F58" s="40">
        <f t="shared" si="7"/>
        <v>4.8417824636413698E-2</v>
      </c>
      <c r="G58" s="20">
        <f t="shared" si="2"/>
        <v>-2989607</v>
      </c>
      <c r="H58" s="93">
        <f t="shared" si="3"/>
        <v>-100</v>
      </c>
      <c r="I58" s="20">
        <v>0</v>
      </c>
      <c r="J58" s="40">
        <f t="shared" si="4"/>
        <v>0</v>
      </c>
      <c r="K58" s="20">
        <f t="shared" si="8"/>
        <v>0</v>
      </c>
      <c r="L58" s="93" t="e">
        <f t="shared" si="9"/>
        <v>#DIV/0!</v>
      </c>
      <c r="M58" s="73" t="s">
        <v>129</v>
      </c>
      <c r="N58" s="91"/>
    </row>
    <row r="59" spans="1:15" ht="15" customHeight="1">
      <c r="A59" s="18">
        <v>462</v>
      </c>
      <c r="B59" s="19" t="s">
        <v>45</v>
      </c>
      <c r="C59" s="20">
        <v>1168915.48</v>
      </c>
      <c r="D59" s="40">
        <f t="shared" si="0"/>
        <v>1.8931031645774626E-2</v>
      </c>
      <c r="E59" s="20">
        <v>0.96000000000000008</v>
      </c>
      <c r="F59" s="40">
        <f t="shared" si="7"/>
        <v>1.554756583422408E-8</v>
      </c>
      <c r="G59" s="20">
        <f t="shared" si="2"/>
        <v>1168914.52</v>
      </c>
      <c r="H59" s="108">
        <f t="shared" si="3"/>
        <v>121761929.16666666</v>
      </c>
      <c r="I59" s="20">
        <v>500000</v>
      </c>
      <c r="J59" s="40">
        <f t="shared" si="4"/>
        <v>8.6255065544361756E-3</v>
      </c>
      <c r="K59" s="20">
        <f t="shared" si="8"/>
        <v>668915.48</v>
      </c>
      <c r="L59" s="93">
        <f t="shared" si="9"/>
        <v>133.78309599999997</v>
      </c>
      <c r="M59" s="73" t="s">
        <v>130</v>
      </c>
    </row>
    <row r="60" spans="1:15" ht="15" customHeight="1">
      <c r="A60" s="18">
        <v>463</v>
      </c>
      <c r="B60" s="19" t="s">
        <v>46</v>
      </c>
      <c r="C60" s="20">
        <v>7921936.0399999991</v>
      </c>
      <c r="D60" s="40">
        <f t="shared" si="0"/>
        <v>0.12829877303792955</v>
      </c>
      <c r="E60" s="20">
        <v>13139466.380000027</v>
      </c>
      <c r="F60" s="40">
        <f t="shared" si="7"/>
        <v>0.21279866517669205</v>
      </c>
      <c r="G60" s="20">
        <f t="shared" si="2"/>
        <v>-5217530.3400000278</v>
      </c>
      <c r="H60" s="93">
        <f t="shared" si="3"/>
        <v>-39.708845010188433</v>
      </c>
      <c r="I60" s="20">
        <v>27157990.249999996</v>
      </c>
      <c r="J60" s="40">
        <f t="shared" si="4"/>
        <v>0.46850284581337748</v>
      </c>
      <c r="K60" s="20">
        <f t="shared" si="8"/>
        <v>-19236054.209999997</v>
      </c>
      <c r="L60" s="93">
        <f t="shared" si="9"/>
        <v>-70.830183061870713</v>
      </c>
      <c r="M60" s="73" t="s">
        <v>131</v>
      </c>
    </row>
    <row r="61" spans="1:15" ht="15" customHeight="1">
      <c r="A61" s="18">
        <v>47</v>
      </c>
      <c r="B61" s="19" t="s">
        <v>47</v>
      </c>
      <c r="C61" s="20">
        <v>6606439.0899999999</v>
      </c>
      <c r="D61" s="40">
        <f t="shared" si="0"/>
        <v>0.10699379862663169</v>
      </c>
      <c r="E61" s="20">
        <v>18741275.34</v>
      </c>
      <c r="F61" s="40">
        <f t="shared" si="7"/>
        <v>0.30352209600621904</v>
      </c>
      <c r="G61" s="20">
        <f t="shared" si="2"/>
        <v>-12134836.25</v>
      </c>
      <c r="H61" s="93">
        <f t="shared" si="3"/>
        <v>-64.749255479429934</v>
      </c>
      <c r="I61" s="20">
        <v>5424960.2899999991</v>
      </c>
      <c r="J61" s="40">
        <f t="shared" si="4"/>
        <v>9.3586061077901933E-2</v>
      </c>
      <c r="K61" s="20">
        <f t="shared" si="8"/>
        <v>1181478.8000000007</v>
      </c>
      <c r="L61" s="93">
        <f t="shared" si="9"/>
        <v>21.778570475029241</v>
      </c>
      <c r="M61" s="73" t="s">
        <v>132</v>
      </c>
    </row>
    <row r="62" spans="1:15" s="2" customFormat="1" ht="15" customHeight="1">
      <c r="A62" s="15"/>
      <c r="B62" s="16" t="s">
        <v>77</v>
      </c>
      <c r="C62" s="17">
        <f>+C6-C39</f>
        <v>167825692.33000004</v>
      </c>
      <c r="D62" s="39">
        <f t="shared" si="0"/>
        <v>2.7180010418488654</v>
      </c>
      <c r="E62" s="17">
        <f>+E6-E39</f>
        <v>-178419766.05906022</v>
      </c>
      <c r="F62" s="39">
        <f t="shared" si="7"/>
        <v>-2.8895761030521849</v>
      </c>
      <c r="G62" s="17">
        <f t="shared" si="2"/>
        <v>346245458.38906026</v>
      </c>
      <c r="H62" s="97">
        <f t="shared" si="3"/>
        <v>-194.06227574272611</v>
      </c>
      <c r="I62" s="17">
        <f>+I6-I39</f>
        <v>-60857694.159999967</v>
      </c>
      <c r="J62" s="39">
        <f t="shared" si="4"/>
        <v>-1.0498568797299037</v>
      </c>
      <c r="K62" s="17">
        <f t="shared" ref="K62" si="10">+C62-I62</f>
        <v>228683386.49000001</v>
      </c>
      <c r="L62" s="97">
        <f t="shared" ref="L62" si="11">+C62/I62*100-100</f>
        <v>-375.76741880619443</v>
      </c>
      <c r="M62" s="82" t="s">
        <v>134</v>
      </c>
    </row>
    <row r="63" spans="1:15" ht="15" hidden="1" customHeight="1">
      <c r="A63" s="94"/>
      <c r="B63" s="95" t="s">
        <v>182</v>
      </c>
      <c r="C63" s="20">
        <v>0</v>
      </c>
      <c r="D63" s="40">
        <f t="shared" si="0"/>
        <v>0</v>
      </c>
      <c r="E63" s="20">
        <v>0</v>
      </c>
      <c r="F63" s="40">
        <f t="shared" si="7"/>
        <v>0</v>
      </c>
      <c r="G63" s="20">
        <f t="shared" ref="G63:G64" si="12">+C63-E63</f>
        <v>0</v>
      </c>
      <c r="H63" s="93" t="e">
        <f t="shared" ref="H63:H64" si="13">+C63/E63*100-100</f>
        <v>#DIV/0!</v>
      </c>
      <c r="I63" s="20">
        <v>0</v>
      </c>
      <c r="J63" s="40">
        <f t="shared" si="4"/>
        <v>0</v>
      </c>
      <c r="K63" s="20">
        <f t="shared" ref="K63:K64" si="14">+C63-I63</f>
        <v>0</v>
      </c>
      <c r="L63" s="93" t="e">
        <f t="shared" ref="L63:L64" si="15">+C63/I63*100-100</f>
        <v>#DIV/0!</v>
      </c>
      <c r="M63" s="73" t="s">
        <v>133</v>
      </c>
    </row>
    <row r="64" spans="1:15" s="2" customFormat="1" ht="15" hidden="1" customHeight="1">
      <c r="A64" s="15"/>
      <c r="B64" s="16" t="s">
        <v>59</v>
      </c>
      <c r="C64" s="17">
        <f>+C62-C63</f>
        <v>167825692.33000004</v>
      </c>
      <c r="D64" s="39">
        <f t="shared" si="0"/>
        <v>2.7180010418488654</v>
      </c>
      <c r="E64" s="17">
        <f>+E62-E63</f>
        <v>-178419766.05906022</v>
      </c>
      <c r="F64" s="39">
        <f t="shared" si="7"/>
        <v>-2.8895761030521849</v>
      </c>
      <c r="G64" s="17">
        <f t="shared" si="12"/>
        <v>346245458.38906026</v>
      </c>
      <c r="H64" s="97">
        <f t="shared" si="13"/>
        <v>-194.06227574272611</v>
      </c>
      <c r="I64" s="17">
        <f>+I62-I63</f>
        <v>-60857694.159999967</v>
      </c>
      <c r="J64" s="39">
        <f t="shared" si="4"/>
        <v>-1.0498568797299037</v>
      </c>
      <c r="K64" s="17">
        <f t="shared" si="14"/>
        <v>228683386.49000001</v>
      </c>
      <c r="L64" s="97">
        <f t="shared" si="15"/>
        <v>-375.76741880619443</v>
      </c>
      <c r="M64" s="82" t="s">
        <v>137</v>
      </c>
    </row>
    <row r="65" spans="1:13" s="2" customFormat="1" ht="15" customHeight="1">
      <c r="A65" s="15"/>
      <c r="B65" s="16" t="s">
        <v>186</v>
      </c>
      <c r="C65" s="17">
        <f>+C64+C46</f>
        <v>216693139.55000004</v>
      </c>
      <c r="D65" s="39">
        <f t="shared" si="0"/>
        <v>3.5094279718524279</v>
      </c>
      <c r="E65" s="17">
        <f>+E64+E46</f>
        <v>-130257552.85906021</v>
      </c>
      <c r="F65" s="39">
        <f t="shared" si="7"/>
        <v>-2.1095707067512097</v>
      </c>
      <c r="G65" s="17">
        <f t="shared" ref="G65" si="16">+C65-E65</f>
        <v>346950692.40906024</v>
      </c>
      <c r="H65" s="97">
        <f t="shared" ref="H65" si="17">+C65/E65*100-100</f>
        <v>-266.35744706831997</v>
      </c>
      <c r="I65" s="17">
        <f>+I64+I46</f>
        <v>-21782611.279999964</v>
      </c>
      <c r="J65" s="39">
        <f t="shared" si="4"/>
        <v>-0.37577211273675015</v>
      </c>
      <c r="K65" s="17">
        <f t="shared" ref="K65" si="18">+C65-I65</f>
        <v>238475750.83000001</v>
      </c>
      <c r="L65" s="97">
        <f t="shared" ref="L65" si="19">+C65/I65*100-100</f>
        <v>-1094.7987262158974</v>
      </c>
      <c r="M65" s="82" t="s">
        <v>136</v>
      </c>
    </row>
    <row r="66" spans="1:13" s="2" customFormat="1" ht="15" customHeight="1">
      <c r="A66" s="15"/>
      <c r="B66" s="16" t="s">
        <v>76</v>
      </c>
      <c r="C66" s="17">
        <f>+C6-(C39-C57)</f>
        <v>209958389.93000007</v>
      </c>
      <c r="D66" s="39">
        <f t="shared" si="0"/>
        <v>3.4003561352962146</v>
      </c>
      <c r="E66" s="17">
        <f>+E6-(E39-E57)</f>
        <v>-63536478.809060216</v>
      </c>
      <c r="F66" s="39">
        <f>+E66/$E$2*100</f>
        <v>-1.0289974866235905</v>
      </c>
      <c r="G66" s="17">
        <f>+C66-E66</f>
        <v>273494868.73906028</v>
      </c>
      <c r="H66" s="97">
        <f t="shared" ref="H66" si="20">+C66/E66*100-100</f>
        <v>-430.45329842871348</v>
      </c>
      <c r="I66" s="17">
        <f>+I6-(I39-I57)</f>
        <v>42527979.940000057</v>
      </c>
      <c r="J66" s="39">
        <f t="shared" si="4"/>
        <v>0.73365073943880132</v>
      </c>
      <c r="K66" s="17">
        <f>+C66-I66</f>
        <v>167430409.99000001</v>
      </c>
      <c r="L66" s="97">
        <f t="shared" ref="L66" si="21">+C66/I66*100-100</f>
        <v>393.69471634019914</v>
      </c>
      <c r="M66" s="82" t="s">
        <v>135</v>
      </c>
    </row>
    <row r="67" spans="1:13" s="2" customFormat="1" ht="15" customHeight="1">
      <c r="A67" s="15"/>
      <c r="B67" s="16" t="s">
        <v>0</v>
      </c>
      <c r="C67" s="17">
        <f>+C68+C69</f>
        <v>159642790.19</v>
      </c>
      <c r="D67" s="39">
        <f t="shared" si="0"/>
        <v>2.5854758233731743</v>
      </c>
      <c r="E67" s="17">
        <f>+E68+E69</f>
        <v>161632855.43000001</v>
      </c>
      <c r="F67" s="39">
        <f t="shared" si="7"/>
        <v>2.6177056883036962</v>
      </c>
      <c r="G67" s="17">
        <f t="shared" ref="G67" si="22">+C67-E67</f>
        <v>-1990065.2400000095</v>
      </c>
      <c r="H67" s="97">
        <f t="shared" ref="H67" si="23">+C67/E67*100-100</f>
        <v>-1.2312256902878573</v>
      </c>
      <c r="I67" s="17">
        <f>+I68+I69</f>
        <v>162496331.44</v>
      </c>
      <c r="J67" s="39">
        <f t="shared" si="4"/>
        <v>2.8032263438151062</v>
      </c>
      <c r="K67" s="17">
        <f t="shared" ref="K67" si="24">+C67-I67</f>
        <v>-2853541.25</v>
      </c>
      <c r="L67" s="97">
        <f t="shared" ref="L67" si="25">+C67/I67*100-100</f>
        <v>-1.7560650291072193</v>
      </c>
      <c r="M67" s="82" t="s">
        <v>138</v>
      </c>
    </row>
    <row r="68" spans="1:13">
      <c r="A68" s="21">
        <v>4611</v>
      </c>
      <c r="B68" s="22" t="s">
        <v>179</v>
      </c>
      <c r="C68" s="23">
        <v>56391783.43</v>
      </c>
      <c r="D68" s="41">
        <f t="shared" si="0"/>
        <v>0.91328642227836621</v>
      </c>
      <c r="E68" s="23">
        <v>57580667.230000004</v>
      </c>
      <c r="F68" s="41">
        <f t="shared" si="7"/>
        <v>0.93254084847601471</v>
      </c>
      <c r="G68" s="23">
        <f t="shared" ref="G68:G77" si="26">+C68-E68</f>
        <v>-1188883.8000000045</v>
      </c>
      <c r="H68" s="98">
        <f t="shared" ref="H68:H78" si="27">+C68/E68*100-100</f>
        <v>-2.0647273767272196</v>
      </c>
      <c r="I68" s="23">
        <v>21982894.329999998</v>
      </c>
      <c r="J68" s="41">
        <f t="shared" si="4"/>
        <v>0.37922719825778567</v>
      </c>
      <c r="K68" s="23">
        <f t="shared" ref="K68:K71" si="28">+C68-I68</f>
        <v>34408889.100000001</v>
      </c>
      <c r="L68" s="98">
        <f t="shared" ref="L68:L71" si="29">+C68/I68*100-100</f>
        <v>156.52574489721439</v>
      </c>
      <c r="M68" s="74" t="s">
        <v>139</v>
      </c>
    </row>
    <row r="69" spans="1:13" ht="15" customHeight="1">
      <c r="A69" s="21">
        <v>4612</v>
      </c>
      <c r="B69" s="22" t="s">
        <v>180</v>
      </c>
      <c r="C69" s="23">
        <v>103251006.75999999</v>
      </c>
      <c r="D69" s="41">
        <f t="shared" si="0"/>
        <v>1.6721894010948077</v>
      </c>
      <c r="E69" s="23">
        <v>104052188.2</v>
      </c>
      <c r="F69" s="41">
        <f t="shared" si="7"/>
        <v>1.6851648398276811</v>
      </c>
      <c r="G69" s="23">
        <f t="shared" si="26"/>
        <v>-801181.44000001252</v>
      </c>
      <c r="H69" s="98">
        <f t="shared" si="27"/>
        <v>-0.76998038566959792</v>
      </c>
      <c r="I69" s="23">
        <v>140513437.11000001</v>
      </c>
      <c r="J69" s="41">
        <f t="shared" si="4"/>
        <v>2.4239991455573211</v>
      </c>
      <c r="K69" s="23">
        <f t="shared" si="28"/>
        <v>-37262430.350000024</v>
      </c>
      <c r="L69" s="98">
        <f t="shared" si="29"/>
        <v>-26.51876654389244</v>
      </c>
      <c r="M69" s="74" t="s">
        <v>140</v>
      </c>
    </row>
    <row r="70" spans="1:13" s="2" customFormat="1" ht="15" customHeight="1">
      <c r="A70" s="83">
        <v>4418</v>
      </c>
      <c r="B70" s="16" t="s">
        <v>63</v>
      </c>
      <c r="C70" s="17">
        <v>614939.4</v>
      </c>
      <c r="D70" s="39">
        <f t="shared" si="0"/>
        <v>9.9591779224565153E-3</v>
      </c>
      <c r="E70" s="17">
        <v>719000</v>
      </c>
      <c r="F70" s="39">
        <f t="shared" si="7"/>
        <v>1.1644478994590743E-2</v>
      </c>
      <c r="G70" s="17">
        <f t="shared" si="26"/>
        <v>-104060.59999999998</v>
      </c>
      <c r="H70" s="97">
        <f t="shared" si="27"/>
        <v>-14.472962447844225</v>
      </c>
      <c r="I70" s="17">
        <v>0</v>
      </c>
      <c r="J70" s="39">
        <f t="shared" si="4"/>
        <v>0</v>
      </c>
      <c r="K70" s="17">
        <f t="shared" si="28"/>
        <v>614939.4</v>
      </c>
      <c r="L70" s="97" t="e">
        <f t="shared" si="29"/>
        <v>#DIV/0!</v>
      </c>
      <c r="M70" s="82" t="s">
        <v>141</v>
      </c>
    </row>
    <row r="71" spans="1:13" s="2" customFormat="1" ht="15" customHeight="1">
      <c r="A71" s="83">
        <v>45</v>
      </c>
      <c r="B71" s="16" t="s">
        <v>44</v>
      </c>
      <c r="C71" s="17">
        <v>6983029.4399999995</v>
      </c>
      <c r="D71" s="39">
        <f t="shared" si="0"/>
        <v>0.11309282285492178</v>
      </c>
      <c r="E71" s="17">
        <v>0</v>
      </c>
      <c r="F71" s="39">
        <f t="shared" si="7"/>
        <v>0</v>
      </c>
      <c r="G71" s="17">
        <f t="shared" si="26"/>
        <v>6983029.4399999995</v>
      </c>
      <c r="H71" s="97" t="e">
        <f t="shared" si="27"/>
        <v>#DIV/0!</v>
      </c>
      <c r="I71" s="17">
        <v>8470525.7300000004</v>
      </c>
      <c r="J71" s="39">
        <f t="shared" si="4"/>
        <v>0.14612515040727053</v>
      </c>
      <c r="K71" s="17">
        <f t="shared" si="28"/>
        <v>-1487496.290000001</v>
      </c>
      <c r="L71" s="97">
        <f t="shared" si="29"/>
        <v>-17.560849673494843</v>
      </c>
      <c r="M71" s="82" t="s">
        <v>108</v>
      </c>
    </row>
    <row r="72" spans="1:13" s="2" customFormat="1" ht="15" customHeight="1">
      <c r="A72" s="15"/>
      <c r="B72" s="16" t="s">
        <v>54</v>
      </c>
      <c r="C72" s="17">
        <f>+C64-C67-C70-C71</f>
        <v>584933.30000004545</v>
      </c>
      <c r="D72" s="39">
        <f t="shared" si="0"/>
        <v>9.4732176983131772E-3</v>
      </c>
      <c r="E72" s="17">
        <f>+E64-E67-E70-E71</f>
        <v>-340771621.48906022</v>
      </c>
      <c r="F72" s="39">
        <f t="shared" si="7"/>
        <v>-5.5189262703504713</v>
      </c>
      <c r="G72" s="17">
        <f t="shared" si="26"/>
        <v>341356554.78906029</v>
      </c>
      <c r="H72" s="97">
        <f t="shared" si="27"/>
        <v>-100.17164965129551</v>
      </c>
      <c r="I72" s="17">
        <f>+I64-I67-I70-I71</f>
        <v>-231824551.32999995</v>
      </c>
      <c r="J72" s="39">
        <f t="shared" si="4"/>
        <v>-3.9992083739522801</v>
      </c>
      <c r="K72" s="17">
        <f t="shared" ref="K72:K78" si="30">+C72-I72</f>
        <v>232409484.63</v>
      </c>
      <c r="L72" s="97">
        <f t="shared" ref="L72:L78" si="31">+C72/I72*100-100</f>
        <v>-100.25231723587697</v>
      </c>
      <c r="M72" s="82" t="s">
        <v>142</v>
      </c>
    </row>
    <row r="73" spans="1:13" s="2" customFormat="1" ht="15" customHeight="1">
      <c r="A73" s="15"/>
      <c r="B73" s="16" t="s">
        <v>48</v>
      </c>
      <c r="C73" s="17">
        <f>SUM(C74:C78)+C63</f>
        <v>-584933.30000004172</v>
      </c>
      <c r="D73" s="39">
        <f t="shared" ref="D73:D78" si="32">+C73/$C$2*100</f>
        <v>-9.4732176983131165E-3</v>
      </c>
      <c r="E73" s="17">
        <f>SUM(E74:E78)+E63</f>
        <v>340771621.48906022</v>
      </c>
      <c r="F73" s="39">
        <f t="shared" si="7"/>
        <v>5.5189262703504713</v>
      </c>
      <c r="G73" s="17">
        <f t="shared" si="26"/>
        <v>-341356554.78906024</v>
      </c>
      <c r="H73" s="97">
        <f t="shared" si="27"/>
        <v>-100.17164965129551</v>
      </c>
      <c r="I73" s="17">
        <f>SUM(I74:I78)+I63</f>
        <v>231824551.32999995</v>
      </c>
      <c r="J73" s="39">
        <f t="shared" ref="J73:J78" si="33">+I73/$I$2*100</f>
        <v>3.9992083739522801</v>
      </c>
      <c r="K73" s="17">
        <f t="shared" si="30"/>
        <v>-232409484.63</v>
      </c>
      <c r="L73" s="97">
        <f t="shared" si="31"/>
        <v>-100.25231723587697</v>
      </c>
      <c r="M73" s="82" t="s">
        <v>143</v>
      </c>
    </row>
    <row r="74" spans="1:13">
      <c r="A74" s="21">
        <v>7511</v>
      </c>
      <c r="B74" s="22" t="s">
        <v>55</v>
      </c>
      <c r="C74" s="23">
        <v>0</v>
      </c>
      <c r="D74" s="41">
        <f t="shared" si="32"/>
        <v>0</v>
      </c>
      <c r="E74" s="23">
        <v>100000000</v>
      </c>
      <c r="F74" s="41">
        <f t="shared" si="7"/>
        <v>1.6195381077316748</v>
      </c>
      <c r="G74" s="23">
        <f t="shared" si="26"/>
        <v>-100000000</v>
      </c>
      <c r="H74" s="98">
        <f t="shared" si="27"/>
        <v>-100</v>
      </c>
      <c r="I74" s="23">
        <v>0</v>
      </c>
      <c r="J74" s="41">
        <f t="shared" si="33"/>
        <v>0</v>
      </c>
      <c r="K74" s="23">
        <f t="shared" si="30"/>
        <v>0</v>
      </c>
      <c r="L74" s="98" t="e">
        <f t="shared" si="31"/>
        <v>#DIV/0!</v>
      </c>
      <c r="M74" s="74" t="s">
        <v>144</v>
      </c>
    </row>
    <row r="75" spans="1:13" ht="15" customHeight="1">
      <c r="A75" s="21">
        <v>7512</v>
      </c>
      <c r="B75" s="22" t="s">
        <v>49</v>
      </c>
      <c r="C75" s="23">
        <v>110725747.29999998</v>
      </c>
      <c r="D75" s="41">
        <f t="shared" si="32"/>
        <v>1.7932456725941757</v>
      </c>
      <c r="E75" s="23">
        <v>0</v>
      </c>
      <c r="F75" s="41">
        <f t="shared" si="7"/>
        <v>0</v>
      </c>
      <c r="G75" s="23">
        <f t="shared" si="26"/>
        <v>110725747.29999998</v>
      </c>
      <c r="H75" s="98" t="e">
        <f t="shared" si="27"/>
        <v>#DIV/0!</v>
      </c>
      <c r="I75" s="23">
        <v>73776153.820000008</v>
      </c>
      <c r="J75" s="41">
        <f t="shared" si="33"/>
        <v>1.2727133966710031</v>
      </c>
      <c r="K75" s="23">
        <f t="shared" si="30"/>
        <v>36949593.479999974</v>
      </c>
      <c r="L75" s="98">
        <f t="shared" si="31"/>
        <v>50.08338272844918</v>
      </c>
      <c r="M75" s="74" t="s">
        <v>145</v>
      </c>
    </row>
    <row r="76" spans="1:13" ht="15" customHeight="1">
      <c r="A76" s="18">
        <v>72</v>
      </c>
      <c r="B76" s="19" t="s">
        <v>172</v>
      </c>
      <c r="C76" s="20">
        <v>1883241.7000000002</v>
      </c>
      <c r="D76" s="40">
        <f t="shared" si="32"/>
        <v>3.049981699219383E-2</v>
      </c>
      <c r="E76" s="20">
        <v>3000000</v>
      </c>
      <c r="F76" s="40">
        <f t="shared" si="7"/>
        <v>4.8586143231950249E-2</v>
      </c>
      <c r="G76" s="20">
        <f t="shared" si="26"/>
        <v>-1116758.2999999998</v>
      </c>
      <c r="H76" s="93">
        <f t="shared" si="27"/>
        <v>-37.225276666666659</v>
      </c>
      <c r="I76" s="20">
        <v>2200721.44</v>
      </c>
      <c r="J76" s="40">
        <f t="shared" si="33"/>
        <v>3.7964674410416441E-2</v>
      </c>
      <c r="K76" s="20">
        <f t="shared" si="30"/>
        <v>-317479.73999999976</v>
      </c>
      <c r="L76" s="93">
        <f t="shared" si="31"/>
        <v>-14.426166539278128</v>
      </c>
      <c r="M76" s="73" t="s">
        <v>146</v>
      </c>
    </row>
    <row r="77" spans="1:13" ht="15" customHeight="1">
      <c r="A77" s="28">
        <v>73</v>
      </c>
      <c r="B77" s="29" t="s">
        <v>187</v>
      </c>
      <c r="C77" s="30">
        <v>8365136.9800000004</v>
      </c>
      <c r="D77" s="40">
        <f t="shared" si="32"/>
        <v>0.13547658115505459</v>
      </c>
      <c r="E77" s="30">
        <v>0</v>
      </c>
      <c r="F77" s="40">
        <f t="shared" si="7"/>
        <v>0</v>
      </c>
      <c r="G77" s="20">
        <f t="shared" si="26"/>
        <v>8365136.9800000004</v>
      </c>
      <c r="H77" s="93" t="e">
        <f t="shared" si="27"/>
        <v>#DIV/0!</v>
      </c>
      <c r="I77" s="30">
        <v>8147105.0700000003</v>
      </c>
      <c r="J77" s="40">
        <f>+I77/$I$2*100</f>
        <v>0.14054581636193039</v>
      </c>
      <c r="K77" s="20">
        <f t="shared" si="30"/>
        <v>218031.91000000015</v>
      </c>
      <c r="L77" s="93">
        <f t="shared" si="31"/>
        <v>2.6761887581744332</v>
      </c>
      <c r="M77" s="73" t="s">
        <v>108</v>
      </c>
    </row>
    <row r="78" spans="1:13" ht="15" customHeight="1" thickBot="1">
      <c r="A78" s="24"/>
      <c r="B78" s="25" t="s">
        <v>50</v>
      </c>
      <c r="C78" s="26">
        <f>+-C72-(SUM(C74:C77)+C63)</f>
        <v>-121559059.28000003</v>
      </c>
      <c r="D78" s="42">
        <f t="shared" si="32"/>
        <v>-1.9686952884397375</v>
      </c>
      <c r="E78" s="26">
        <f>+-E72-(SUM(E74:E77)+E63)</f>
        <v>237771621.48906022</v>
      </c>
      <c r="F78" s="42">
        <f t="shared" si="7"/>
        <v>3.8508020193868466</v>
      </c>
      <c r="G78" s="26">
        <f>+C78-E78</f>
        <v>-359330680.76906025</v>
      </c>
      <c r="H78" s="99">
        <f t="shared" si="27"/>
        <v>-151.12429251175078</v>
      </c>
      <c r="I78" s="26">
        <f>+-I72-(SUM(I74:I77)+I63)</f>
        <v>147700570.99999994</v>
      </c>
      <c r="J78" s="42">
        <f t="shared" si="33"/>
        <v>2.5479844865089305</v>
      </c>
      <c r="K78" s="26">
        <f t="shared" si="30"/>
        <v>-269259630.27999997</v>
      </c>
      <c r="L78" s="99">
        <f t="shared" si="31"/>
        <v>-182.30100835561433</v>
      </c>
      <c r="M78" s="77" t="s">
        <v>147</v>
      </c>
    </row>
    <row r="79" spans="1:13" ht="13.5" customHeight="1"/>
    <row r="82" spans="9:9">
      <c r="I82" s="7"/>
    </row>
  </sheetData>
  <sheetProtection algorithmName="SHA-512" hashValue="JiRcXRFIJmFBNBbSTF1RlfrvMb6XVTz1iPSTL54syNAzchhErAuL+0A1xb/wI77gdrrpwpcSeWV8P95YM0uiBA==" saltValue="dB53yW5oXcLWBPVxLzgkVg=="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80"/>
  <sheetViews>
    <sheetView zoomScale="90" zoomScaleNormal="90" zoomScaleSheetLayoutView="90" workbookViewId="0">
      <pane ySplit="5" topLeftCell="A35" activePane="bottomLeft" state="frozen"/>
      <selection activeCell="G14" sqref="G14"/>
      <selection pane="bottomLeft" activeCell="C38" sqref="C38 C48:C54"/>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100" customWidth="1"/>
    <col min="9" max="9" width="9.140625" style="6"/>
    <col min="10" max="10" width="10.42578125" style="7" customWidth="1"/>
    <col min="11" max="11" width="11.140625" style="6" customWidth="1"/>
    <col min="12" max="12" width="11.7109375" style="100"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58</v>
      </c>
      <c r="B2" s="8"/>
      <c r="C2" s="119">
        <f>+'Centralna država-ek klas'!C2:D2</f>
        <v>6174600000</v>
      </c>
      <c r="D2" s="120"/>
      <c r="E2" s="119">
        <f>+'Centralna država-ek klas'!E2:F2</f>
        <v>6174600000</v>
      </c>
      <c r="F2" s="120"/>
      <c r="G2" s="9"/>
      <c r="H2" s="101"/>
      <c r="I2" s="119">
        <f>+'Centralna država-ek klas'!I2:J2</f>
        <v>5796761000</v>
      </c>
      <c r="J2" s="120"/>
      <c r="K2" s="9"/>
      <c r="L2" s="101"/>
      <c r="M2" s="8" t="s">
        <v>78</v>
      </c>
    </row>
    <row r="3" spans="1:16384" ht="15" customHeight="1" thickBot="1">
      <c r="A3" s="8"/>
      <c r="B3" s="8"/>
      <c r="C3" s="11"/>
      <c r="D3" s="8"/>
      <c r="E3" s="11"/>
      <c r="F3" s="10"/>
      <c r="G3" s="11"/>
      <c r="H3" s="101"/>
      <c r="I3" s="11"/>
      <c r="J3" s="10"/>
      <c r="K3" s="11"/>
      <c r="L3" s="101"/>
      <c r="M3" s="8"/>
    </row>
    <row r="4" spans="1:16384" ht="15" customHeight="1">
      <c r="A4" s="111" t="s">
        <v>70</v>
      </c>
      <c r="B4" s="123" t="s">
        <v>71</v>
      </c>
      <c r="C4" s="115" t="s">
        <v>189</v>
      </c>
      <c r="D4" s="116"/>
      <c r="E4" s="113" t="s">
        <v>190</v>
      </c>
      <c r="F4" s="114"/>
      <c r="G4" s="113" t="s">
        <v>171</v>
      </c>
      <c r="H4" s="114"/>
      <c r="I4" s="113" t="s">
        <v>192</v>
      </c>
      <c r="J4" s="114"/>
      <c r="K4" s="113" t="s">
        <v>171</v>
      </c>
      <c r="L4" s="114"/>
      <c r="M4" s="121" t="s">
        <v>148</v>
      </c>
    </row>
    <row r="5" spans="1:16384" ht="23.25" customHeight="1">
      <c r="A5" s="112"/>
      <c r="B5" s="124"/>
      <c r="C5" s="12" t="s">
        <v>61</v>
      </c>
      <c r="D5" s="13" t="s">
        <v>56</v>
      </c>
      <c r="E5" s="12" t="s">
        <v>61</v>
      </c>
      <c r="F5" s="13" t="s">
        <v>56</v>
      </c>
      <c r="G5" s="12" t="s">
        <v>64</v>
      </c>
      <c r="H5" s="102" t="s">
        <v>62</v>
      </c>
      <c r="I5" s="12" t="s">
        <v>61</v>
      </c>
      <c r="J5" s="14" t="s">
        <v>56</v>
      </c>
      <c r="K5" s="12" t="s">
        <v>61</v>
      </c>
      <c r="L5" s="104" t="s">
        <v>62</v>
      </c>
      <c r="M5" s="122"/>
    </row>
    <row r="6" spans="1:16384" s="34" customFormat="1" ht="15" customHeight="1">
      <c r="A6" s="31"/>
      <c r="B6" s="32" t="s">
        <v>51</v>
      </c>
      <c r="C6" s="33">
        <f>+C7+C12+C19+C30+C35+C36</f>
        <v>145908212.20000002</v>
      </c>
      <c r="D6" s="43">
        <f>+C6/$C$2*100</f>
        <v>2.3630390988889971</v>
      </c>
      <c r="E6" s="33">
        <f>+E7+E12+E19+E30+E35+E36</f>
        <v>165966197.85499999</v>
      </c>
      <c r="F6" s="43">
        <f t="shared" ref="F6:F62" si="0">+E6/$E$2*100</f>
        <v>2.6878858202150746</v>
      </c>
      <c r="G6" s="33">
        <f>+C6-E6</f>
        <v>-20057985.654999971</v>
      </c>
      <c r="H6" s="103">
        <f>+C6/E6*100-100</f>
        <v>-12.085584844526025</v>
      </c>
      <c r="I6" s="33">
        <f>+I7+I12+I19+I30+I35+I36</f>
        <v>115839270.11000001</v>
      </c>
      <c r="J6" s="43">
        <f>+I6/$I$2*100</f>
        <v>1.9983447671898154</v>
      </c>
      <c r="K6" s="33">
        <f>+C6-I6</f>
        <v>30068942.090000004</v>
      </c>
      <c r="L6" s="103">
        <f>+C6/I6*100-100</f>
        <v>25.957468535019927</v>
      </c>
      <c r="M6" s="72"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80291624.220000014</v>
      </c>
      <c r="D7" s="40">
        <f t="shared" ref="D7:D66" si="1">+C7/$C$2*100</f>
        <v>1.3003534515596156</v>
      </c>
      <c r="E7" s="20">
        <f>+SUM(E8:E11)</f>
        <v>92644767.5</v>
      </c>
      <c r="F7" s="40">
        <f t="shared" si="0"/>
        <v>1.5004173144819097</v>
      </c>
      <c r="G7" s="20">
        <f t="shared" ref="G7:G65" si="2">+C7-E7</f>
        <v>-12353143.279999986</v>
      </c>
      <c r="H7" s="93">
        <f t="shared" ref="H7:H65" si="3">+C7/E7*100-100</f>
        <v>-13.333881246990003</v>
      </c>
      <c r="I7" s="69">
        <f>+SUM(I8:I11)</f>
        <v>51446728.210000001</v>
      </c>
      <c r="J7" s="40">
        <f t="shared" ref="J7:J66" si="4">+I7/$I$2*100</f>
        <v>0.8875081827593031</v>
      </c>
      <c r="K7" s="20">
        <f>+C7-I7</f>
        <v>28844896.010000013</v>
      </c>
      <c r="L7" s="93">
        <f t="shared" ref="L7:L65" si="5">+C7/I7*100-100</f>
        <v>56.067503247744469</v>
      </c>
      <c r="M7" s="73" t="s">
        <v>79</v>
      </c>
    </row>
    <row r="8" spans="1:16384" ht="15" customHeight="1">
      <c r="A8" s="21">
        <v>7111</v>
      </c>
      <c r="B8" s="22" t="s">
        <v>2</v>
      </c>
      <c r="C8" s="23">
        <v>32392234.470000003</v>
      </c>
      <c r="D8" s="41">
        <f t="shared" si="1"/>
        <v>0.52460458118744535</v>
      </c>
      <c r="E8" s="23">
        <v>33854455</v>
      </c>
      <c r="F8" s="41">
        <f t="shared" si="0"/>
        <v>0.54828579988987147</v>
      </c>
      <c r="G8" s="23">
        <f t="shared" si="2"/>
        <v>-1462220.5299999975</v>
      </c>
      <c r="H8" s="98">
        <f t="shared" si="3"/>
        <v>-4.3191377028518048</v>
      </c>
      <c r="I8" s="23">
        <v>12129807.520000001</v>
      </c>
      <c r="J8" s="41">
        <f t="shared" si="4"/>
        <v>0.20925146853561843</v>
      </c>
      <c r="K8" s="23">
        <f t="shared" ref="K8:K65" si="6">+C8-I8</f>
        <v>20262426.950000003</v>
      </c>
      <c r="L8" s="98">
        <f t="shared" si="5"/>
        <v>167.04656620965079</v>
      </c>
      <c r="M8" s="74" t="s">
        <v>80</v>
      </c>
    </row>
    <row r="9" spans="1:16384" ht="15" customHeight="1">
      <c r="A9" s="21">
        <v>71131</v>
      </c>
      <c r="B9" s="22" t="s">
        <v>66</v>
      </c>
      <c r="C9" s="23">
        <v>26621696.669999998</v>
      </c>
      <c r="D9" s="41">
        <f t="shared" si="1"/>
        <v>0.43114852249538432</v>
      </c>
      <c r="E9" s="23">
        <v>40957000</v>
      </c>
      <c r="F9" s="41">
        <f t="shared" si="0"/>
        <v>0.66331422278366214</v>
      </c>
      <c r="G9" s="23">
        <f t="shared" ref="G9" si="7">+C9-E9</f>
        <v>-14335303.330000002</v>
      </c>
      <c r="H9" s="98">
        <f t="shared" ref="H9" si="8">+C9/E9*100-100</f>
        <v>-35.000862685255271</v>
      </c>
      <c r="I9" s="23">
        <v>21909724.009999998</v>
      </c>
      <c r="J9" s="41">
        <f t="shared" ref="J9" si="9">+I9/$I$2*100</f>
        <v>0.3779649361082853</v>
      </c>
      <c r="K9" s="23">
        <f t="shared" ref="K9" si="10">+C9-I9</f>
        <v>4711972.66</v>
      </c>
      <c r="L9" s="98">
        <f t="shared" ref="L9" si="11">+C9/I9*100-100</f>
        <v>21.506307691732545</v>
      </c>
      <c r="M9" s="74" t="s">
        <v>150</v>
      </c>
    </row>
    <row r="10" spans="1:16384" ht="15" customHeight="1">
      <c r="A10" s="21">
        <v>71132</v>
      </c>
      <c r="B10" s="22" t="s">
        <v>4</v>
      </c>
      <c r="C10" s="23">
        <v>12081934.32</v>
      </c>
      <c r="D10" s="41">
        <f t="shared" si="1"/>
        <v>0.19567153046351182</v>
      </c>
      <c r="E10" s="23">
        <v>9673312.5</v>
      </c>
      <c r="F10" s="41">
        <f t="shared" si="0"/>
        <v>0.15666298221747157</v>
      </c>
      <c r="G10" s="23">
        <f t="shared" si="2"/>
        <v>2408621.8200000003</v>
      </c>
      <c r="H10" s="98">
        <f t="shared" si="3"/>
        <v>24.899658932759579</v>
      </c>
      <c r="I10" s="23">
        <v>9967117.0600000005</v>
      </c>
      <c r="J10" s="41">
        <f t="shared" si="4"/>
        <v>0.17194286705972525</v>
      </c>
      <c r="K10" s="23">
        <f t="shared" si="6"/>
        <v>2114817.2599999998</v>
      </c>
      <c r="L10" s="98">
        <f t="shared" si="5"/>
        <v>21.21794343609325</v>
      </c>
      <c r="M10" s="74" t="s">
        <v>82</v>
      </c>
    </row>
    <row r="11" spans="1:16384" ht="15" customHeight="1">
      <c r="A11" s="21"/>
      <c r="B11" s="22" t="s">
        <v>159</v>
      </c>
      <c r="C11" s="23">
        <v>9195758.7600000035</v>
      </c>
      <c r="D11" s="41">
        <f t="shared" si="1"/>
        <v>0.1489288174132738</v>
      </c>
      <c r="E11" s="23">
        <v>8160000</v>
      </c>
      <c r="F11" s="41">
        <f t="shared" si="0"/>
        <v>0.13215430959090466</v>
      </c>
      <c r="G11" s="23">
        <f t="shared" si="2"/>
        <v>1035758.7600000035</v>
      </c>
      <c r="H11" s="98">
        <f t="shared" si="3"/>
        <v>12.693122058823576</v>
      </c>
      <c r="I11" s="23">
        <v>7440079.6200000001</v>
      </c>
      <c r="J11" s="41">
        <f t="shared" si="4"/>
        <v>0.12834891105567403</v>
      </c>
      <c r="K11" s="23">
        <f t="shared" si="6"/>
        <v>1755679.1400000034</v>
      </c>
      <c r="L11" s="98">
        <f t="shared" si="5"/>
        <v>23.597585371001756</v>
      </c>
      <c r="M11" s="74" t="s">
        <v>160</v>
      </c>
      <c r="P11" s="87"/>
    </row>
    <row r="12" spans="1:16384" ht="15" customHeight="1">
      <c r="A12" s="18">
        <v>713</v>
      </c>
      <c r="B12" s="19" t="s">
        <v>13</v>
      </c>
      <c r="C12" s="69">
        <f>SUM(C13:C18)</f>
        <v>2097229.39</v>
      </c>
      <c r="D12" s="40">
        <f t="shared" si="1"/>
        <v>3.3965429177598552E-2</v>
      </c>
      <c r="E12" s="20">
        <f>SUM(E13:E18)</f>
        <v>2474000</v>
      </c>
      <c r="F12" s="40">
        <f t="shared" si="0"/>
        <v>4.0067372785281635E-2</v>
      </c>
      <c r="G12" s="20">
        <f t="shared" si="2"/>
        <v>-376770.60999999987</v>
      </c>
      <c r="H12" s="93">
        <f t="shared" si="3"/>
        <v>-15.229208164915107</v>
      </c>
      <c r="I12" s="69">
        <f>I13+I17+I18</f>
        <v>1845530.46</v>
      </c>
      <c r="J12" s="40">
        <f t="shared" si="4"/>
        <v>3.1837270158283221E-2</v>
      </c>
      <c r="K12" s="20">
        <f t="shared" si="6"/>
        <v>251698.93000000017</v>
      </c>
      <c r="L12" s="93">
        <f t="shared" si="5"/>
        <v>13.638297251403813</v>
      </c>
      <c r="M12" s="73" t="s">
        <v>92</v>
      </c>
    </row>
    <row r="13" spans="1:16384">
      <c r="A13" s="21">
        <v>7131</v>
      </c>
      <c r="B13" s="22" t="s">
        <v>14</v>
      </c>
      <c r="C13" s="23">
        <v>542911.02000000014</v>
      </c>
      <c r="D13" s="41">
        <f t="shared" si="1"/>
        <v>8.7926508599747363E-3</v>
      </c>
      <c r="E13" s="23">
        <v>559750</v>
      </c>
      <c r="F13" s="41">
        <f t="shared" si="0"/>
        <v>9.0653645580280502E-3</v>
      </c>
      <c r="G13" s="23">
        <f t="shared" si="2"/>
        <v>-16838.979999999865</v>
      </c>
      <c r="H13" s="98">
        <f t="shared" si="3"/>
        <v>-3.0083037070120326</v>
      </c>
      <c r="I13" s="23">
        <v>488265.10000000003</v>
      </c>
      <c r="J13" s="41">
        <f t="shared" si="4"/>
        <v>8.4230676407048705E-3</v>
      </c>
      <c r="K13" s="23">
        <f t="shared" si="6"/>
        <v>54645.9200000001</v>
      </c>
      <c r="L13" s="98">
        <f t="shared" si="5"/>
        <v>11.191854588828917</v>
      </c>
      <c r="M13" s="74" t="s">
        <v>93</v>
      </c>
      <c r="P13" s="86"/>
    </row>
    <row r="14" spans="1:16384" hidden="1">
      <c r="A14" s="21">
        <v>7132</v>
      </c>
      <c r="B14" s="22" t="s">
        <v>15</v>
      </c>
      <c r="C14" s="23"/>
      <c r="D14" s="41">
        <f t="shared" si="1"/>
        <v>0</v>
      </c>
      <c r="E14" s="23">
        <v>0</v>
      </c>
      <c r="F14" s="41">
        <f t="shared" si="0"/>
        <v>0</v>
      </c>
      <c r="G14" s="23">
        <f t="shared" si="2"/>
        <v>0</v>
      </c>
      <c r="H14" s="98" t="e">
        <f t="shared" si="3"/>
        <v>#DIV/0!</v>
      </c>
      <c r="I14" s="23"/>
      <c r="J14" s="41">
        <f t="shared" si="4"/>
        <v>0</v>
      </c>
      <c r="K14" s="23">
        <f t="shared" si="6"/>
        <v>0</v>
      </c>
      <c r="L14" s="98" t="e">
        <f t="shared" si="5"/>
        <v>#DIV/0!</v>
      </c>
      <c r="M14" s="74" t="s">
        <v>94</v>
      </c>
    </row>
    <row r="15" spans="1:16384" ht="14.25" hidden="1" customHeight="1">
      <c r="A15" s="21">
        <v>7133</v>
      </c>
      <c r="B15" s="22" t="s">
        <v>16</v>
      </c>
      <c r="C15" s="23"/>
      <c r="D15" s="41">
        <f t="shared" si="1"/>
        <v>0</v>
      </c>
      <c r="E15" s="23">
        <v>0</v>
      </c>
      <c r="F15" s="41">
        <f t="shared" si="0"/>
        <v>0</v>
      </c>
      <c r="G15" s="23">
        <f t="shared" si="2"/>
        <v>0</v>
      </c>
      <c r="H15" s="98" t="e">
        <f t="shared" si="3"/>
        <v>#DIV/0!</v>
      </c>
      <c r="I15" s="23"/>
      <c r="J15" s="41">
        <f t="shared" si="4"/>
        <v>0</v>
      </c>
      <c r="K15" s="23">
        <f t="shared" si="6"/>
        <v>0</v>
      </c>
      <c r="L15" s="98" t="e">
        <f t="shared" si="5"/>
        <v>#DIV/0!</v>
      </c>
      <c r="M15" s="74" t="s">
        <v>156</v>
      </c>
    </row>
    <row r="16" spans="1:16384" hidden="1">
      <c r="A16" s="21">
        <v>7134</v>
      </c>
      <c r="B16" s="22" t="s">
        <v>151</v>
      </c>
      <c r="C16" s="23"/>
      <c r="D16" s="41">
        <f t="shared" si="1"/>
        <v>0</v>
      </c>
      <c r="E16" s="23">
        <v>0</v>
      </c>
      <c r="F16" s="41">
        <f t="shared" ref="F16:F17" si="12">+E16/$E$2*100</f>
        <v>0</v>
      </c>
      <c r="G16" s="23">
        <f t="shared" ref="G16:G17" si="13">+C16-E16</f>
        <v>0</v>
      </c>
      <c r="H16" s="98" t="e">
        <f t="shared" ref="H16:H17" si="14">+C16/E16*100-100</f>
        <v>#DIV/0!</v>
      </c>
      <c r="I16" s="23"/>
      <c r="J16" s="41">
        <f t="shared" ref="J16:J17" si="15">+I16/$I$2*100</f>
        <v>0</v>
      </c>
      <c r="K16" s="23">
        <f t="shared" ref="K16:K17" si="16">+C16-I16</f>
        <v>0</v>
      </c>
      <c r="L16" s="98" t="e">
        <f t="shared" ref="L16:L17" si="17">+C16/I16*100-100</f>
        <v>#DIV/0!</v>
      </c>
      <c r="M16" s="74" t="s">
        <v>155</v>
      </c>
    </row>
    <row r="17" spans="1:16" ht="15" customHeight="1">
      <c r="A17" s="21">
        <v>7135</v>
      </c>
      <c r="B17" s="22" t="s">
        <v>17</v>
      </c>
      <c r="C17" s="23">
        <v>1290951.23</v>
      </c>
      <c r="D17" s="41">
        <f t="shared" si="1"/>
        <v>2.0907447122080782E-2</v>
      </c>
      <c r="E17" s="23">
        <v>1441250</v>
      </c>
      <c r="F17" s="41">
        <f t="shared" si="12"/>
        <v>2.3341592977682766E-2</v>
      </c>
      <c r="G17" s="23">
        <f t="shared" si="13"/>
        <v>-150298.77000000002</v>
      </c>
      <c r="H17" s="98">
        <f t="shared" si="14"/>
        <v>-10.428362185602779</v>
      </c>
      <c r="I17" s="23">
        <v>1156587.94</v>
      </c>
      <c r="J17" s="41">
        <f t="shared" si="15"/>
        <v>1.9952313714503667E-2</v>
      </c>
      <c r="K17" s="23">
        <f t="shared" si="16"/>
        <v>134363.29000000004</v>
      </c>
      <c r="L17" s="98">
        <f t="shared" si="17"/>
        <v>11.617213473624858</v>
      </c>
      <c r="M17" s="74" t="s">
        <v>154</v>
      </c>
    </row>
    <row r="18" spans="1:16" ht="15" customHeight="1">
      <c r="A18" s="21">
        <v>7136</v>
      </c>
      <c r="B18" s="22" t="s">
        <v>18</v>
      </c>
      <c r="C18" s="23">
        <v>263367.14</v>
      </c>
      <c r="D18" s="41">
        <f t="shared" si="1"/>
        <v>4.2653311955430312E-3</v>
      </c>
      <c r="E18" s="23">
        <v>473000</v>
      </c>
      <c r="F18" s="41">
        <f t="shared" si="0"/>
        <v>7.6604152495708226E-3</v>
      </c>
      <c r="G18" s="23">
        <f t="shared" si="2"/>
        <v>-209632.86</v>
      </c>
      <c r="H18" s="98">
        <f t="shared" si="3"/>
        <v>-44.319843551797035</v>
      </c>
      <c r="I18" s="23">
        <v>200677.42</v>
      </c>
      <c r="J18" s="41">
        <f t="shared" si="4"/>
        <v>3.4618888030746829E-3</v>
      </c>
      <c r="K18" s="23">
        <f t="shared" si="6"/>
        <v>62689.72</v>
      </c>
      <c r="L18" s="98">
        <f t="shared" si="5"/>
        <v>31.239050213023461</v>
      </c>
      <c r="M18" s="74" t="s">
        <v>96</v>
      </c>
    </row>
    <row r="19" spans="1:16" ht="15" customHeight="1">
      <c r="A19" s="18">
        <v>714</v>
      </c>
      <c r="B19" s="19" t="s">
        <v>19</v>
      </c>
      <c r="C19" s="20">
        <f>+SUM(C20:C29)</f>
        <v>34202480.910000004</v>
      </c>
      <c r="D19" s="40">
        <f t="shared" si="1"/>
        <v>0.55392221212710135</v>
      </c>
      <c r="E19" s="20">
        <f>+SUM(E20:E29)</f>
        <v>32449200</v>
      </c>
      <c r="F19" s="40">
        <f t="shared" si="0"/>
        <v>0.5255271596540666</v>
      </c>
      <c r="G19" s="20">
        <f t="shared" si="2"/>
        <v>1753280.9100000039</v>
      </c>
      <c r="H19" s="93">
        <f t="shared" si="3"/>
        <v>5.4031560408269002</v>
      </c>
      <c r="I19" s="69">
        <f>+SUM(I20:I29)</f>
        <v>25068142.750000004</v>
      </c>
      <c r="J19" s="40">
        <f t="shared" si="4"/>
        <v>0.43245085919533349</v>
      </c>
      <c r="K19" s="20">
        <f t="shared" si="6"/>
        <v>9134338.1600000001</v>
      </c>
      <c r="L19" s="93">
        <f t="shared" si="5"/>
        <v>36.438033128720718</v>
      </c>
      <c r="M19" s="73" t="s">
        <v>97</v>
      </c>
      <c r="P19" s="86"/>
    </row>
    <row r="20" spans="1:16" ht="15" customHeight="1">
      <c r="A20" s="21">
        <v>7141</v>
      </c>
      <c r="B20" s="22" t="s">
        <v>20</v>
      </c>
      <c r="C20" s="23">
        <v>2265688.2000000002</v>
      </c>
      <c r="D20" s="41">
        <f t="shared" si="1"/>
        <v>3.6693683801379849E-2</v>
      </c>
      <c r="E20" s="23">
        <v>3070200</v>
      </c>
      <c r="F20" s="41">
        <f t="shared" si="0"/>
        <v>4.9723058983577886E-2</v>
      </c>
      <c r="G20" s="23">
        <f t="shared" si="2"/>
        <v>-804511.79999999981</v>
      </c>
      <c r="H20" s="98">
        <f t="shared" si="3"/>
        <v>-26.203888997459444</v>
      </c>
      <c r="I20" s="23">
        <v>2003397.8299999994</v>
      </c>
      <c r="J20" s="41">
        <f t="shared" si="4"/>
        <v>3.4560642227616407E-2</v>
      </c>
      <c r="K20" s="23">
        <f t="shared" si="6"/>
        <v>262290.37000000081</v>
      </c>
      <c r="L20" s="98">
        <f t="shared" si="5"/>
        <v>13.092275836197786</v>
      </c>
      <c r="M20" s="74" t="s">
        <v>98</v>
      </c>
      <c r="P20" s="80"/>
    </row>
    <row r="21" spans="1:16" ht="15" customHeight="1">
      <c r="A21" s="21">
        <v>7142</v>
      </c>
      <c r="B21" s="22" t="s">
        <v>21</v>
      </c>
      <c r="C21" s="23">
        <v>6787666.0199999996</v>
      </c>
      <c r="D21" s="41">
        <f t="shared" si="1"/>
        <v>0.10992883781945388</v>
      </c>
      <c r="E21" s="23">
        <v>3719750</v>
      </c>
      <c r="F21" s="41">
        <f t="shared" si="0"/>
        <v>6.0242768762348985E-2</v>
      </c>
      <c r="G21" s="23">
        <f t="shared" si="2"/>
        <v>3067916.0199999996</v>
      </c>
      <c r="H21" s="98">
        <f t="shared" si="3"/>
        <v>82.476403521742043</v>
      </c>
      <c r="I21" s="23">
        <v>2678979.6400000006</v>
      </c>
      <c r="J21" s="41">
        <f t="shared" si="4"/>
        <v>4.6215112888042142E-2</v>
      </c>
      <c r="K21" s="23">
        <f t="shared" si="6"/>
        <v>4108686.379999999</v>
      </c>
      <c r="L21" s="98">
        <f t="shared" si="5"/>
        <v>153.36758513028482</v>
      </c>
      <c r="M21" s="74" t="s">
        <v>99</v>
      </c>
    </row>
    <row r="22" spans="1:16" hidden="1">
      <c r="A22" s="21">
        <v>7143</v>
      </c>
      <c r="B22" s="22" t="s">
        <v>22</v>
      </c>
      <c r="C22" s="23"/>
      <c r="D22" s="41">
        <f t="shared" si="1"/>
        <v>0</v>
      </c>
      <c r="E22" s="23"/>
      <c r="F22" s="41">
        <f t="shared" si="0"/>
        <v>0</v>
      </c>
      <c r="G22" s="23">
        <f t="shared" si="2"/>
        <v>0</v>
      </c>
      <c r="H22" s="98" t="e">
        <f t="shared" si="3"/>
        <v>#DIV/0!</v>
      </c>
      <c r="I22" s="23"/>
      <c r="J22" s="41">
        <f t="shared" si="4"/>
        <v>0</v>
      </c>
      <c r="K22" s="23">
        <f t="shared" si="6"/>
        <v>0</v>
      </c>
      <c r="L22" s="98" t="e">
        <f t="shared" si="5"/>
        <v>#DIV/0!</v>
      </c>
      <c r="M22" s="74" t="s">
        <v>100</v>
      </c>
    </row>
    <row r="23" spans="1:16" hidden="1">
      <c r="A23" s="21">
        <v>7144</v>
      </c>
      <c r="B23" s="22" t="s">
        <v>23</v>
      </c>
      <c r="C23" s="23"/>
      <c r="D23" s="41">
        <f>+C23/$C$2*100</f>
        <v>0</v>
      </c>
      <c r="E23" s="23"/>
      <c r="F23" s="41">
        <f>+E23/$E$2*100</f>
        <v>0</v>
      </c>
      <c r="G23" s="23">
        <f>+C23-E23</f>
        <v>0</v>
      </c>
      <c r="H23" s="98" t="e">
        <f>+C23/E23*100-100</f>
        <v>#DIV/0!</v>
      </c>
      <c r="I23" s="23"/>
      <c r="J23" s="41">
        <f>+I23/$I$2*100</f>
        <v>0</v>
      </c>
      <c r="K23" s="23">
        <f>+C23-I23</f>
        <v>0</v>
      </c>
      <c r="L23" s="98" t="e">
        <f>+C23/I23*100-100</f>
        <v>#DIV/0!</v>
      </c>
      <c r="M23" s="74" t="s">
        <v>101</v>
      </c>
    </row>
    <row r="24" spans="1:16" ht="15.75" hidden="1" customHeight="1">
      <c r="A24" s="21"/>
      <c r="B24" s="22" t="s">
        <v>24</v>
      </c>
      <c r="C24" s="23"/>
      <c r="D24" s="41"/>
      <c r="E24" s="23"/>
      <c r="F24" s="41">
        <f>+E24/$E$2*100</f>
        <v>0</v>
      </c>
      <c r="G24" s="23"/>
      <c r="H24" s="98"/>
      <c r="I24" s="23"/>
      <c r="J24" s="41">
        <f>+I24/$I$2*100</f>
        <v>0</v>
      </c>
      <c r="K24" s="23">
        <f>+C24-I24</f>
        <v>0</v>
      </c>
      <c r="L24" s="98" t="e">
        <f>+C24/I24*100-100</f>
        <v>#DIV/0!</v>
      </c>
      <c r="M24" s="74"/>
    </row>
    <row r="25" spans="1:16" ht="17.25" hidden="1" customHeight="1">
      <c r="A25" s="21">
        <v>7145</v>
      </c>
      <c r="B25" s="22" t="s">
        <v>67</v>
      </c>
      <c r="C25" s="23"/>
      <c r="D25" s="41">
        <f t="shared" ref="D25:D29" si="18">+C25/$C$2*100</f>
        <v>0</v>
      </c>
      <c r="E25" s="23"/>
      <c r="F25" s="41">
        <f t="shared" ref="F25:F29" si="19">+E25/$E$2*100</f>
        <v>0</v>
      </c>
      <c r="G25" s="23">
        <f t="shared" ref="G25:G27" si="20">+C25-E25</f>
        <v>0</v>
      </c>
      <c r="H25" s="98" t="e">
        <f t="shared" ref="H25:H27" si="21">+C25/E25*100-100</f>
        <v>#DIV/0!</v>
      </c>
      <c r="I25" s="23"/>
      <c r="J25" s="41">
        <f t="shared" ref="J25:J27" si="22">+I25/$I$2*100</f>
        <v>0</v>
      </c>
      <c r="K25" s="23">
        <f t="shared" ref="K25:K27" si="23">+C25-I25</f>
        <v>0</v>
      </c>
      <c r="L25" s="98" t="e">
        <f t="shared" ref="L25:L27" si="24">+C25/I25*100-100</f>
        <v>#DIV/0!</v>
      </c>
      <c r="M25" s="74" t="s">
        <v>157</v>
      </c>
    </row>
    <row r="26" spans="1:16" ht="15" customHeight="1">
      <c r="A26" s="21">
        <v>7146</v>
      </c>
      <c r="B26" s="22" t="s">
        <v>184</v>
      </c>
      <c r="C26" s="23">
        <v>21631921.130000003</v>
      </c>
      <c r="D26" s="41">
        <f t="shared" si="18"/>
        <v>0.3503372061348104</v>
      </c>
      <c r="E26" s="23">
        <v>19700000</v>
      </c>
      <c r="F26" s="41">
        <f t="shared" si="19"/>
        <v>0.31904900722313995</v>
      </c>
      <c r="G26" s="23">
        <f t="shared" si="20"/>
        <v>1931921.1300000027</v>
      </c>
      <c r="H26" s="98">
        <f t="shared" si="21"/>
        <v>9.8067062436548298</v>
      </c>
      <c r="I26" s="23">
        <v>16367006.65</v>
      </c>
      <c r="J26" s="41">
        <f t="shared" si="22"/>
        <v>0.28234744627215091</v>
      </c>
      <c r="K26" s="23">
        <f t="shared" si="23"/>
        <v>5264914.4800000023</v>
      </c>
      <c r="L26" s="98">
        <f t="shared" si="24"/>
        <v>32.167852024426253</v>
      </c>
      <c r="M26" s="74" t="s">
        <v>185</v>
      </c>
    </row>
    <row r="27" spans="1:16" ht="26.25" customHeight="1">
      <c r="A27" s="21">
        <v>7147</v>
      </c>
      <c r="B27" s="27" t="s">
        <v>68</v>
      </c>
      <c r="C27" s="23">
        <v>2449033.2299999995</v>
      </c>
      <c r="D27" s="41">
        <f t="shared" si="18"/>
        <v>3.9663026430861913E-2</v>
      </c>
      <c r="E27" s="23">
        <v>3126350</v>
      </c>
      <c r="F27" s="41">
        <f t="shared" si="19"/>
        <v>5.0632429631069217E-2</v>
      </c>
      <c r="G27" s="23">
        <f t="shared" si="20"/>
        <v>-677316.77000000048</v>
      </c>
      <c r="H27" s="98">
        <f t="shared" si="21"/>
        <v>-21.664777456138964</v>
      </c>
      <c r="I27" s="23">
        <v>2025060.19</v>
      </c>
      <c r="J27" s="41">
        <f t="shared" si="22"/>
        <v>3.4934339883945537E-2</v>
      </c>
      <c r="K27" s="23">
        <f t="shared" si="23"/>
        <v>423973.03999999957</v>
      </c>
      <c r="L27" s="98">
        <f t="shared" si="24"/>
        <v>20.936317947171716</v>
      </c>
      <c r="M27" s="75" t="s">
        <v>158</v>
      </c>
    </row>
    <row r="28" spans="1:16" ht="15" hidden="1" customHeight="1">
      <c r="A28" s="21">
        <v>7148</v>
      </c>
      <c r="B28" s="22" t="s">
        <v>24</v>
      </c>
      <c r="C28" s="84"/>
      <c r="D28" s="41">
        <f t="shared" si="18"/>
        <v>0</v>
      </c>
      <c r="E28" s="78"/>
      <c r="F28" s="41">
        <f t="shared" si="19"/>
        <v>0</v>
      </c>
      <c r="G28" s="78">
        <f t="shared" si="2"/>
        <v>0</v>
      </c>
      <c r="H28" s="98" t="e">
        <f t="shared" si="3"/>
        <v>#DIV/0!</v>
      </c>
      <c r="I28" s="78"/>
      <c r="J28" s="41">
        <f t="shared" si="4"/>
        <v>0</v>
      </c>
      <c r="K28" s="78">
        <f t="shared" si="6"/>
        <v>0</v>
      </c>
      <c r="L28" s="98" t="e">
        <f t="shared" si="5"/>
        <v>#DIV/0!</v>
      </c>
      <c r="M28" s="74" t="s">
        <v>102</v>
      </c>
    </row>
    <row r="29" spans="1:16" ht="15" customHeight="1">
      <c r="A29" s="21">
        <v>7149</v>
      </c>
      <c r="B29" s="22" t="s">
        <v>25</v>
      </c>
      <c r="C29" s="84">
        <v>1068172.33</v>
      </c>
      <c r="D29" s="41">
        <f t="shared" si="18"/>
        <v>1.7299457940595342E-2</v>
      </c>
      <c r="E29" s="78">
        <v>2832900</v>
      </c>
      <c r="F29" s="41">
        <f t="shared" si="19"/>
        <v>4.5879895053930621E-2</v>
      </c>
      <c r="G29" s="78">
        <f t="shared" si="2"/>
        <v>-1764727.67</v>
      </c>
      <c r="H29" s="98">
        <f t="shared" si="3"/>
        <v>-62.294033322743473</v>
      </c>
      <c r="I29" s="23">
        <v>1993698.44</v>
      </c>
      <c r="J29" s="41">
        <f t="shared" si="4"/>
        <v>3.4393317923578352E-2</v>
      </c>
      <c r="K29" s="78">
        <f t="shared" si="6"/>
        <v>-925526.10999999987</v>
      </c>
      <c r="L29" s="98">
        <f t="shared" si="5"/>
        <v>-46.422572813970795</v>
      </c>
      <c r="M29" s="74" t="s">
        <v>103</v>
      </c>
    </row>
    <row r="30" spans="1:16" ht="15" customHeight="1">
      <c r="A30" s="18">
        <v>715</v>
      </c>
      <c r="B30" s="19" t="s">
        <v>26</v>
      </c>
      <c r="C30" s="20">
        <f>+SUM(C31:C34)</f>
        <v>6682676.620000001</v>
      </c>
      <c r="D30" s="40">
        <f t="shared" si="1"/>
        <v>0.10822849447737508</v>
      </c>
      <c r="E30" s="20">
        <f>+SUM(E31:E34)</f>
        <v>7117307.5</v>
      </c>
      <c r="F30" s="40">
        <f t="shared" si="0"/>
        <v>0.11526750720694458</v>
      </c>
      <c r="G30" s="20">
        <f t="shared" si="2"/>
        <v>-434630.87999999896</v>
      </c>
      <c r="H30" s="93">
        <f t="shared" si="3"/>
        <v>-6.1066755932633043</v>
      </c>
      <c r="I30" s="20">
        <f>+SUM(I31:I34)</f>
        <v>6826369.3099999987</v>
      </c>
      <c r="J30" s="40">
        <f t="shared" si="4"/>
        <v>0.11776178645281389</v>
      </c>
      <c r="K30" s="20">
        <f t="shared" si="6"/>
        <v>-143692.68999999762</v>
      </c>
      <c r="L30" s="93">
        <f t="shared" si="5"/>
        <v>-2.1049650769626709</v>
      </c>
      <c r="M30" s="73" t="s">
        <v>104</v>
      </c>
    </row>
    <row r="31" spans="1:16" ht="15" customHeight="1">
      <c r="A31" s="21">
        <v>7151</v>
      </c>
      <c r="B31" s="22" t="s">
        <v>27</v>
      </c>
      <c r="C31" s="84">
        <v>792178.56</v>
      </c>
      <c r="D31" s="41">
        <f t="shared" si="1"/>
        <v>1.2829633660480032E-2</v>
      </c>
      <c r="E31" s="78">
        <v>739050</v>
      </c>
      <c r="F31" s="41">
        <f t="shared" si="0"/>
        <v>1.1969196385190943E-2</v>
      </c>
      <c r="G31" s="78">
        <f t="shared" si="2"/>
        <v>53128.560000000056</v>
      </c>
      <c r="H31" s="98">
        <f t="shared" si="3"/>
        <v>7.1887639537243899</v>
      </c>
      <c r="I31" s="78">
        <v>674827.84000000008</v>
      </c>
      <c r="J31" s="41">
        <f t="shared" si="4"/>
        <v>1.1641463914072015E-2</v>
      </c>
      <c r="K31" s="78">
        <f t="shared" si="6"/>
        <v>117350.71999999997</v>
      </c>
      <c r="L31" s="98">
        <f t="shared" si="5"/>
        <v>17.389727133960562</v>
      </c>
      <c r="M31" s="74" t="s">
        <v>105</v>
      </c>
    </row>
    <row r="32" spans="1:16" ht="15" customHeight="1">
      <c r="A32" s="21">
        <v>7152</v>
      </c>
      <c r="B32" s="22" t="s">
        <v>28</v>
      </c>
      <c r="C32" s="84">
        <v>1598730.3800000001</v>
      </c>
      <c r="D32" s="41">
        <f t="shared" si="1"/>
        <v>2.5892047743983418E-2</v>
      </c>
      <c r="E32" s="78">
        <v>1251850</v>
      </c>
      <c r="F32" s="41">
        <f t="shared" si="0"/>
        <v>2.0274187801638973E-2</v>
      </c>
      <c r="G32" s="78">
        <f t="shared" si="2"/>
        <v>346880.38000000012</v>
      </c>
      <c r="H32" s="98">
        <f t="shared" si="3"/>
        <v>27.709420457722572</v>
      </c>
      <c r="I32" s="78">
        <v>1173394.9699999997</v>
      </c>
      <c r="J32" s="41">
        <f t="shared" si="4"/>
        <v>2.0242252009354873E-2</v>
      </c>
      <c r="K32" s="78">
        <f t="shared" si="6"/>
        <v>425335.41000000038</v>
      </c>
      <c r="L32" s="98">
        <f t="shared" si="5"/>
        <v>36.248272821554735</v>
      </c>
      <c r="M32" s="74" t="s">
        <v>106</v>
      </c>
      <c r="P32" s="80"/>
    </row>
    <row r="33" spans="1:16384">
      <c r="A33" s="21">
        <v>7153</v>
      </c>
      <c r="B33" s="22" t="s">
        <v>29</v>
      </c>
      <c r="C33" s="84">
        <v>1633469.2999999998</v>
      </c>
      <c r="D33" s="41">
        <f t="shared" si="1"/>
        <v>2.6454657791597832E-2</v>
      </c>
      <c r="E33" s="78">
        <v>2081595</v>
      </c>
      <c r="F33" s="41">
        <f t="shared" si="0"/>
        <v>3.3712224273637161E-2</v>
      </c>
      <c r="G33" s="78">
        <f t="shared" si="2"/>
        <v>-448125.70000000019</v>
      </c>
      <c r="H33" s="98">
        <f t="shared" si="3"/>
        <v>-21.527996560329939</v>
      </c>
      <c r="I33" s="78">
        <v>1105854.9299999997</v>
      </c>
      <c r="J33" s="41">
        <f t="shared" si="4"/>
        <v>1.9077117893941113E-2</v>
      </c>
      <c r="K33" s="78">
        <f t="shared" si="6"/>
        <v>527614.37000000011</v>
      </c>
      <c r="L33" s="98">
        <f t="shared" si="5"/>
        <v>47.710993158930933</v>
      </c>
      <c r="M33" s="74" t="s">
        <v>107</v>
      </c>
    </row>
    <row r="34" spans="1:16384" s="3" customFormat="1" ht="15" customHeight="1">
      <c r="A34" s="21">
        <v>7155</v>
      </c>
      <c r="B34" s="22" t="s">
        <v>26</v>
      </c>
      <c r="C34" s="84">
        <v>2658298.3800000004</v>
      </c>
      <c r="D34" s="41">
        <f t="shared" si="1"/>
        <v>4.305215528131378E-2</v>
      </c>
      <c r="E34" s="78">
        <v>3044812.5</v>
      </c>
      <c r="F34" s="41">
        <f t="shared" si="0"/>
        <v>4.9311898746477505E-2</v>
      </c>
      <c r="G34" s="78">
        <f t="shared" si="2"/>
        <v>-386514.11999999965</v>
      </c>
      <c r="H34" s="98">
        <f t="shared" si="3"/>
        <v>-12.694184617279376</v>
      </c>
      <c r="I34" s="78">
        <v>3872291.57</v>
      </c>
      <c r="J34" s="41">
        <f t="shared" si="4"/>
        <v>6.6800952635445887E-2</v>
      </c>
      <c r="K34" s="78">
        <f t="shared" si="6"/>
        <v>-1213993.1899999995</v>
      </c>
      <c r="L34" s="98">
        <f t="shared" si="5"/>
        <v>-31.350769126096552</v>
      </c>
      <c r="M34" s="74" t="s">
        <v>104</v>
      </c>
      <c r="N34" s="1"/>
      <c r="O34" s="1"/>
      <c r="P34" s="1"/>
      <c r="Q34" s="1"/>
      <c r="R34" s="1"/>
    </row>
    <row r="35" spans="1:16384" ht="15" customHeight="1">
      <c r="A35" s="18">
        <v>73</v>
      </c>
      <c r="B35" s="106" t="s">
        <v>188</v>
      </c>
      <c r="C35" s="20">
        <v>0</v>
      </c>
      <c r="D35" s="40">
        <f t="shared" si="1"/>
        <v>0</v>
      </c>
      <c r="E35" s="20">
        <v>157250</v>
      </c>
      <c r="F35" s="40">
        <f t="shared" si="0"/>
        <v>2.5467236744080588E-3</v>
      </c>
      <c r="G35" s="20">
        <f t="shared" si="2"/>
        <v>-157250</v>
      </c>
      <c r="H35" s="93">
        <f t="shared" si="3"/>
        <v>-100</v>
      </c>
      <c r="I35" s="20">
        <v>0</v>
      </c>
      <c r="J35" s="40">
        <f t="shared" si="4"/>
        <v>0</v>
      </c>
      <c r="K35" s="20">
        <f t="shared" si="6"/>
        <v>0</v>
      </c>
      <c r="L35" s="93" t="e">
        <f t="shared" si="5"/>
        <v>#DIV/0!</v>
      </c>
      <c r="M35" s="73" t="s">
        <v>108</v>
      </c>
    </row>
    <row r="36" spans="1:16384" ht="15" customHeight="1">
      <c r="A36" s="18">
        <v>74</v>
      </c>
      <c r="B36" s="19" t="s">
        <v>183</v>
      </c>
      <c r="C36" s="20">
        <v>22634201.060000002</v>
      </c>
      <c r="D36" s="40">
        <f t="shared" si="1"/>
        <v>0.36656951154730671</v>
      </c>
      <c r="E36" s="20">
        <v>31123672.855</v>
      </c>
      <c r="F36" s="40">
        <f t="shared" si="0"/>
        <v>0.50405974241246398</v>
      </c>
      <c r="G36" s="20">
        <f t="shared" si="2"/>
        <v>-8489471.7949999981</v>
      </c>
      <c r="H36" s="93">
        <f t="shared" si="3"/>
        <v>-27.276574440783492</v>
      </c>
      <c r="I36" s="20">
        <v>30652499.380000003</v>
      </c>
      <c r="J36" s="40">
        <f t="shared" si="4"/>
        <v>0.52878666862408163</v>
      </c>
      <c r="K36" s="20">
        <f t="shared" si="6"/>
        <v>-8018298.3200000003</v>
      </c>
      <c r="L36" s="93">
        <f t="shared" si="5"/>
        <v>-26.15870967191583</v>
      </c>
      <c r="M36" s="73" t="s">
        <v>109</v>
      </c>
    </row>
    <row r="37" spans="1:16384" s="34" customFormat="1" ht="15" customHeight="1">
      <c r="A37" s="31"/>
      <c r="B37" s="32" t="s">
        <v>72</v>
      </c>
      <c r="C37" s="33">
        <f>+C38+C48+C49++C50+C51+C52+C53+C54</f>
        <v>140855714.84999999</v>
      </c>
      <c r="D37" s="43">
        <f t="shared" si="1"/>
        <v>2.2812119789136136</v>
      </c>
      <c r="E37" s="33">
        <f>+E38+E48+E49++E50+E51+E52+E53+E54</f>
        <v>204422225.28999999</v>
      </c>
      <c r="F37" s="43">
        <f t="shared" si="0"/>
        <v>3.3106958392446471</v>
      </c>
      <c r="G37" s="33">
        <f t="shared" si="2"/>
        <v>-63566510.439999998</v>
      </c>
      <c r="H37" s="103">
        <f t="shared" si="3"/>
        <v>-31.095694389307468</v>
      </c>
      <c r="I37" s="33">
        <f>+I38+I48+I49++I50+I51+I52+I53+I54</f>
        <v>136322692.0336</v>
      </c>
      <c r="J37" s="43">
        <f t="shared" si="4"/>
        <v>2.3517045473084019</v>
      </c>
      <c r="K37" s="33">
        <f t="shared" si="6"/>
        <v>4533022.8163999915</v>
      </c>
      <c r="L37" s="103">
        <f t="shared" si="5"/>
        <v>3.3252151558764069</v>
      </c>
      <c r="M37" s="72"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69</v>
      </c>
      <c r="C38" s="69">
        <f>SUM(C39:C47)</f>
        <v>50932361.689999998</v>
      </c>
      <c r="D38" s="40">
        <f t="shared" si="1"/>
        <v>0.82486900673727859</v>
      </c>
      <c r="E38" s="69">
        <f>SUM(E39:E47)</f>
        <v>62741360.079999998</v>
      </c>
      <c r="F38" s="40">
        <f t="shared" si="0"/>
        <v>1.0161202358047485</v>
      </c>
      <c r="G38" s="20">
        <f t="shared" si="2"/>
        <v>-11808998.390000001</v>
      </c>
      <c r="H38" s="93">
        <f t="shared" si="3"/>
        <v>-18.821712463584845</v>
      </c>
      <c r="I38" s="69">
        <f>SUM(I39:I47)</f>
        <v>41371202.409999996</v>
      </c>
      <c r="J38" s="40">
        <f t="shared" si="4"/>
        <v>0.71369515510472137</v>
      </c>
      <c r="K38" s="20">
        <f t="shared" si="6"/>
        <v>9561159.2800000012</v>
      </c>
      <c r="L38" s="93">
        <f t="shared" si="5"/>
        <v>23.110663270664176</v>
      </c>
      <c r="M38" s="73" t="s">
        <v>111</v>
      </c>
    </row>
    <row r="39" spans="1:16384" ht="15" customHeight="1">
      <c r="A39" s="21">
        <v>411</v>
      </c>
      <c r="B39" s="22" t="s">
        <v>30</v>
      </c>
      <c r="C39" s="23">
        <v>31356234.299999997</v>
      </c>
      <c r="D39" s="41">
        <f t="shared" si="1"/>
        <v>0.50782616363813038</v>
      </c>
      <c r="E39" s="23">
        <v>34514543.850000001</v>
      </c>
      <c r="F39" s="41">
        <f t="shared" si="0"/>
        <v>0.55897619036050927</v>
      </c>
      <c r="G39" s="23">
        <f t="shared" si="2"/>
        <v>-3158309.5500000045</v>
      </c>
      <c r="H39" s="98">
        <f t="shared" si="3"/>
        <v>-9.1506628733846185</v>
      </c>
      <c r="I39" s="23">
        <v>24394726.219999999</v>
      </c>
      <c r="J39" s="41">
        <f t="shared" si="4"/>
        <v>0.42083374180857203</v>
      </c>
      <c r="K39" s="23">
        <f t="shared" si="6"/>
        <v>6961508.0799999982</v>
      </c>
      <c r="L39" s="98">
        <f t="shared" si="5"/>
        <v>28.536938751510206</v>
      </c>
      <c r="M39" s="74" t="s">
        <v>112</v>
      </c>
    </row>
    <row r="40" spans="1:16384" ht="15" customHeight="1">
      <c r="A40" s="21">
        <v>412</v>
      </c>
      <c r="B40" s="22" t="s">
        <v>31</v>
      </c>
      <c r="C40" s="23">
        <v>1900076.5099999998</v>
      </c>
      <c r="D40" s="41">
        <f t="shared" si="1"/>
        <v>3.0772463155508047E-2</v>
      </c>
      <c r="E40" s="23">
        <v>2788219</v>
      </c>
      <c r="F40" s="41">
        <f t="shared" si="0"/>
        <v>4.5156269232015031E-2</v>
      </c>
      <c r="G40" s="23">
        <f t="shared" si="2"/>
        <v>-888142.49000000022</v>
      </c>
      <c r="H40" s="98">
        <f t="shared" si="3"/>
        <v>-31.853397814160232</v>
      </c>
      <c r="I40" s="23">
        <v>1550985.62</v>
      </c>
      <c r="J40" s="41">
        <f t="shared" si="4"/>
        <v>2.6756073262292512E-2</v>
      </c>
      <c r="K40" s="23">
        <f t="shared" si="6"/>
        <v>349090.88999999966</v>
      </c>
      <c r="L40" s="98">
        <f t="shared" si="5"/>
        <v>22.5076806321389</v>
      </c>
      <c r="M40" s="74" t="s">
        <v>113</v>
      </c>
    </row>
    <row r="41" spans="1:16384" ht="15" customHeight="1">
      <c r="A41" s="21">
        <v>413</v>
      </c>
      <c r="B41" s="22" t="s">
        <v>73</v>
      </c>
      <c r="C41" s="23">
        <v>4148967.7800000007</v>
      </c>
      <c r="D41" s="41">
        <f t="shared" si="1"/>
        <v>6.719411427460889E-2</v>
      </c>
      <c r="E41" s="23">
        <v>5590456</v>
      </c>
      <c r="F41" s="41">
        <f t="shared" si="0"/>
        <v>9.0539565315971876E-2</v>
      </c>
      <c r="G41" s="23">
        <f t="shared" si="2"/>
        <v>-1441488.2199999993</v>
      </c>
      <c r="H41" s="98">
        <f t="shared" si="3"/>
        <v>-25.784805747509679</v>
      </c>
      <c r="I41" s="23">
        <v>4205738.47</v>
      </c>
      <c r="J41" s="41">
        <f t="shared" si="4"/>
        <v>7.2553249478458745E-2</v>
      </c>
      <c r="K41" s="23">
        <f t="shared" si="6"/>
        <v>-56770.689999999013</v>
      </c>
      <c r="L41" s="98">
        <f t="shared" si="5"/>
        <v>-1.3498388072618042</v>
      </c>
      <c r="M41" s="74" t="s">
        <v>114</v>
      </c>
    </row>
    <row r="42" spans="1:16384" ht="15" customHeight="1">
      <c r="A42" s="21">
        <v>414</v>
      </c>
      <c r="B42" s="22" t="s">
        <v>74</v>
      </c>
      <c r="C42" s="23">
        <v>4136941.1799999997</v>
      </c>
      <c r="D42" s="41">
        <f t="shared" si="1"/>
        <v>6.6999338904544417E-2</v>
      </c>
      <c r="E42" s="23">
        <v>6783361.7300000004</v>
      </c>
      <c r="F42" s="41">
        <f t="shared" si="0"/>
        <v>0.10985912820263662</v>
      </c>
      <c r="G42" s="23">
        <f t="shared" si="2"/>
        <v>-2646420.5500000007</v>
      </c>
      <c r="H42" s="98">
        <f t="shared" si="3"/>
        <v>-39.013407442153323</v>
      </c>
      <c r="I42" s="23">
        <v>3274731.98</v>
      </c>
      <c r="J42" s="41">
        <f t="shared" si="4"/>
        <v>5.649244431502351E-2</v>
      </c>
      <c r="K42" s="23">
        <f t="shared" si="6"/>
        <v>862209.19999999972</v>
      </c>
      <c r="L42" s="98">
        <f t="shared" si="5"/>
        <v>26.329153202943957</v>
      </c>
      <c r="M42" s="74" t="s">
        <v>115</v>
      </c>
    </row>
    <row r="43" spans="1:16384" ht="15.75" customHeight="1">
      <c r="A43" s="21">
        <v>415</v>
      </c>
      <c r="B43" s="22" t="s">
        <v>32</v>
      </c>
      <c r="C43" s="23">
        <v>2758126.82</v>
      </c>
      <c r="D43" s="41">
        <f t="shared" si="1"/>
        <v>4.4668914909467818E-2</v>
      </c>
      <c r="E43" s="23">
        <v>3907558.5</v>
      </c>
      <c r="F43" s="41">
        <f t="shared" si="0"/>
        <v>6.3284398989408214E-2</v>
      </c>
      <c r="G43" s="23">
        <f t="shared" si="2"/>
        <v>-1149431.6800000002</v>
      </c>
      <c r="H43" s="98">
        <f t="shared" si="3"/>
        <v>-29.415597488815592</v>
      </c>
      <c r="I43" s="23">
        <v>2563228.8899999997</v>
      </c>
      <c r="J43" s="41">
        <f t="shared" si="4"/>
        <v>4.4218295182430319E-2</v>
      </c>
      <c r="K43" s="23">
        <f t="shared" si="6"/>
        <v>194897.93000000017</v>
      </c>
      <c r="L43" s="98">
        <f t="shared" si="5"/>
        <v>7.603610070109653</v>
      </c>
      <c r="M43" s="74" t="s">
        <v>116</v>
      </c>
    </row>
    <row r="44" spans="1:16384" ht="15" customHeight="1">
      <c r="A44" s="21">
        <v>416</v>
      </c>
      <c r="B44" s="22" t="s">
        <v>33</v>
      </c>
      <c r="C44" s="23">
        <v>1198775.02</v>
      </c>
      <c r="D44" s="41">
        <f t="shared" si="1"/>
        <v>1.9414618274868008E-2</v>
      </c>
      <c r="E44" s="23">
        <v>1435315</v>
      </c>
      <c r="F44" s="41">
        <f t="shared" si="0"/>
        <v>2.324547339098889E-2</v>
      </c>
      <c r="G44" s="23">
        <f t="shared" si="2"/>
        <v>-236539.97999999998</v>
      </c>
      <c r="H44" s="98">
        <f t="shared" si="3"/>
        <v>-16.480004737635994</v>
      </c>
      <c r="I44" s="23">
        <v>1002682.56</v>
      </c>
      <c r="J44" s="41">
        <f t="shared" si="4"/>
        <v>1.7297289986597689E-2</v>
      </c>
      <c r="K44" s="23">
        <f t="shared" si="6"/>
        <v>196092.45999999996</v>
      </c>
      <c r="L44" s="98">
        <f t="shared" si="5"/>
        <v>19.5567837541724</v>
      </c>
      <c r="M44" s="74" t="s">
        <v>117</v>
      </c>
    </row>
    <row r="45" spans="1:16384" ht="15" customHeight="1">
      <c r="A45" s="21">
        <v>417</v>
      </c>
      <c r="B45" s="22" t="s">
        <v>34</v>
      </c>
      <c r="C45" s="23">
        <v>257252.06</v>
      </c>
      <c r="D45" s="41">
        <f t="shared" si="1"/>
        <v>4.1662951446247527E-3</v>
      </c>
      <c r="E45" s="23">
        <v>490873</v>
      </c>
      <c r="F45" s="41">
        <f t="shared" si="0"/>
        <v>7.9498752955657042E-3</v>
      </c>
      <c r="G45" s="23">
        <f t="shared" si="2"/>
        <v>-233620.94</v>
      </c>
      <c r="H45" s="98">
        <f t="shared" si="3"/>
        <v>-47.592949703894895</v>
      </c>
      <c r="I45" s="23">
        <v>265691.37</v>
      </c>
      <c r="J45" s="41">
        <f t="shared" si="4"/>
        <v>4.5834453067842545E-3</v>
      </c>
      <c r="K45" s="23">
        <f t="shared" si="6"/>
        <v>-8439.3099999999977</v>
      </c>
      <c r="L45" s="98">
        <f t="shared" si="5"/>
        <v>-3.1763583438935115</v>
      </c>
      <c r="M45" s="74" t="s">
        <v>118</v>
      </c>
    </row>
    <row r="46" spans="1:16384" ht="15" customHeight="1">
      <c r="A46" s="21">
        <v>418</v>
      </c>
      <c r="B46" s="22" t="s">
        <v>35</v>
      </c>
      <c r="C46" s="23">
        <v>961399.55</v>
      </c>
      <c r="D46" s="41">
        <f t="shared" si="1"/>
        <v>1.557023207981084E-2</v>
      </c>
      <c r="E46" s="23">
        <v>2453588</v>
      </c>
      <c r="F46" s="41">
        <f t="shared" si="0"/>
        <v>3.9736792666731448E-2</v>
      </c>
      <c r="G46" s="23">
        <f t="shared" si="2"/>
        <v>-1492188.45</v>
      </c>
      <c r="H46" s="98">
        <f t="shared" si="3"/>
        <v>-60.816585751152999</v>
      </c>
      <c r="I46" s="23">
        <v>934012.79000000015</v>
      </c>
      <c r="J46" s="41">
        <f t="shared" si="4"/>
        <v>1.6112666884144439E-2</v>
      </c>
      <c r="K46" s="23">
        <f t="shared" si="6"/>
        <v>27386.759999999893</v>
      </c>
      <c r="L46" s="98">
        <f t="shared" si="5"/>
        <v>2.93216113239734</v>
      </c>
      <c r="M46" s="74" t="s">
        <v>119</v>
      </c>
    </row>
    <row r="47" spans="1:16384" ht="15" customHeight="1">
      <c r="A47" s="21">
        <v>419</v>
      </c>
      <c r="B47" s="22" t="s">
        <v>36</v>
      </c>
      <c r="C47" s="23">
        <v>4214588.4700000007</v>
      </c>
      <c r="D47" s="41">
        <f t="shared" si="1"/>
        <v>6.8256866355715359E-2</v>
      </c>
      <c r="E47" s="23">
        <v>4777445</v>
      </c>
      <c r="F47" s="41">
        <f t="shared" si="0"/>
        <v>7.7372542350921517E-2</v>
      </c>
      <c r="G47" s="23">
        <f t="shared" si="2"/>
        <v>-562856.52999999933</v>
      </c>
      <c r="H47" s="98">
        <f t="shared" si="3"/>
        <v>-11.78153866763509</v>
      </c>
      <c r="I47" s="23">
        <v>3179404.5100000002</v>
      </c>
      <c r="J47" s="41">
        <f t="shared" si="4"/>
        <v>5.4847948880417885E-2</v>
      </c>
      <c r="K47" s="23">
        <f t="shared" si="6"/>
        <v>1035183.9600000004</v>
      </c>
      <c r="L47" s="98">
        <f t="shared" si="5"/>
        <v>32.559051757777127</v>
      </c>
      <c r="M47" s="74" t="s">
        <v>120</v>
      </c>
    </row>
    <row r="48" spans="1:16384" ht="15" customHeight="1">
      <c r="A48" s="18">
        <v>42</v>
      </c>
      <c r="B48" s="19" t="s">
        <v>37</v>
      </c>
      <c r="C48" s="20">
        <v>239309.56</v>
      </c>
      <c r="D48" s="40">
        <f t="shared" si="1"/>
        <v>3.8757095196449974E-3</v>
      </c>
      <c r="E48" s="20">
        <v>371845</v>
      </c>
      <c r="F48" s="40">
        <f t="shared" si="0"/>
        <v>6.0221714766948466E-3</v>
      </c>
      <c r="G48" s="20">
        <f t="shared" si="2"/>
        <v>-132535.44</v>
      </c>
      <c r="H48" s="93">
        <f t="shared" si="3"/>
        <v>-35.64265755892913</v>
      </c>
      <c r="I48" s="20">
        <v>149666.75</v>
      </c>
      <c r="J48" s="40">
        <f t="shared" si="4"/>
        <v>2.5819030662123208E-3</v>
      </c>
      <c r="K48" s="20">
        <f t="shared" si="6"/>
        <v>89642.81</v>
      </c>
      <c r="L48" s="93">
        <f t="shared" si="5"/>
        <v>59.894939924866406</v>
      </c>
      <c r="M48" s="73" t="s">
        <v>121</v>
      </c>
    </row>
    <row r="49" spans="1:16384" ht="15" customHeight="1">
      <c r="A49" s="18">
        <v>43</v>
      </c>
      <c r="B49" s="19" t="s">
        <v>173</v>
      </c>
      <c r="C49" s="20">
        <v>37325896.609999999</v>
      </c>
      <c r="D49" s="40">
        <f t="shared" si="1"/>
        <v>0.60450711965147541</v>
      </c>
      <c r="E49" s="20">
        <v>43752985.049999997</v>
      </c>
      <c r="F49" s="40">
        <f t="shared" si="0"/>
        <v>0.70859626615489257</v>
      </c>
      <c r="G49" s="20">
        <f t="shared" si="2"/>
        <v>-6427088.4399999976</v>
      </c>
      <c r="H49" s="93">
        <f t="shared" si="3"/>
        <v>-14.689485603451416</v>
      </c>
      <c r="I49" s="20">
        <v>31151356.710000001</v>
      </c>
      <c r="J49" s="40">
        <f t="shared" si="4"/>
        <v>0.53739246296336862</v>
      </c>
      <c r="K49" s="20">
        <f t="shared" si="6"/>
        <v>6174539.8999999985</v>
      </c>
      <c r="L49" s="93">
        <f t="shared" si="5"/>
        <v>19.821094655623426</v>
      </c>
      <c r="M49" s="73" t="s">
        <v>127</v>
      </c>
    </row>
    <row r="50" spans="1:16384" ht="15" customHeight="1">
      <c r="A50" s="18">
        <v>44</v>
      </c>
      <c r="B50" s="19" t="s">
        <v>65</v>
      </c>
      <c r="C50" s="20">
        <v>28905741.949999999</v>
      </c>
      <c r="D50" s="40">
        <f t="shared" si="1"/>
        <v>0.4681395062028309</v>
      </c>
      <c r="E50" s="20">
        <v>84332008.409999996</v>
      </c>
      <c r="F50" s="40">
        <f t="shared" si="0"/>
        <v>1.3657890132154309</v>
      </c>
      <c r="G50" s="20">
        <f t="shared" si="2"/>
        <v>-55426266.459999993</v>
      </c>
      <c r="H50" s="93">
        <f t="shared" si="3"/>
        <v>-65.72387816323797</v>
      </c>
      <c r="I50" s="20">
        <v>43742130.970000006</v>
      </c>
      <c r="J50" s="40">
        <f t="shared" si="4"/>
        <v>0.75459607477348134</v>
      </c>
      <c r="K50" s="20">
        <f t="shared" si="6"/>
        <v>-14836389.020000007</v>
      </c>
      <c r="L50" s="93">
        <f t="shared" si="5"/>
        <v>-33.917846915540892</v>
      </c>
      <c r="M50" s="73" t="s">
        <v>128</v>
      </c>
    </row>
    <row r="51" spans="1:16384" ht="15" customHeight="1">
      <c r="A51" s="18">
        <v>45</v>
      </c>
      <c r="B51" s="19" t="s">
        <v>44</v>
      </c>
      <c r="C51" s="20">
        <v>0</v>
      </c>
      <c r="D51" s="40">
        <f t="shared" si="1"/>
        <v>0</v>
      </c>
      <c r="E51" s="20">
        <v>777500</v>
      </c>
      <c r="F51" s="40">
        <f t="shared" si="0"/>
        <v>1.2591908787613773E-2</v>
      </c>
      <c r="G51" s="20">
        <f t="shared" si="2"/>
        <v>-777500</v>
      </c>
      <c r="H51" s="93">
        <f t="shared" si="3"/>
        <v>-100</v>
      </c>
      <c r="I51" s="20">
        <v>0</v>
      </c>
      <c r="J51" s="40">
        <f t="shared" si="4"/>
        <v>0</v>
      </c>
      <c r="K51" s="20">
        <f t="shared" si="6"/>
        <v>0</v>
      </c>
      <c r="L51" s="93" t="e">
        <f t="shared" si="5"/>
        <v>#DIV/0!</v>
      </c>
      <c r="M51" s="73" t="s">
        <v>129</v>
      </c>
    </row>
    <row r="52" spans="1:16384" ht="15" customHeight="1">
      <c r="A52" s="18">
        <v>462</v>
      </c>
      <c r="B52" s="19" t="s">
        <v>45</v>
      </c>
      <c r="C52" s="20">
        <v>0</v>
      </c>
      <c r="D52" s="40">
        <f t="shared" si="1"/>
        <v>0</v>
      </c>
      <c r="E52" s="20">
        <v>0</v>
      </c>
      <c r="F52" s="40">
        <f t="shared" si="0"/>
        <v>0</v>
      </c>
      <c r="G52" s="20">
        <f t="shared" si="2"/>
        <v>0</v>
      </c>
      <c r="H52" s="93" t="e">
        <f t="shared" si="3"/>
        <v>#DIV/0!</v>
      </c>
      <c r="I52" s="20">
        <v>0</v>
      </c>
      <c r="J52" s="40">
        <f t="shared" si="4"/>
        <v>0</v>
      </c>
      <c r="K52" s="20">
        <f t="shared" si="6"/>
        <v>0</v>
      </c>
      <c r="L52" s="93" t="e">
        <f t="shared" si="5"/>
        <v>#DIV/0!</v>
      </c>
      <c r="M52" s="73" t="s">
        <v>130</v>
      </c>
    </row>
    <row r="53" spans="1:16384" ht="15" customHeight="1">
      <c r="A53" s="18">
        <v>463</v>
      </c>
      <c r="B53" s="19" t="s">
        <v>46</v>
      </c>
      <c r="C53" s="20">
        <v>22154355.370000001</v>
      </c>
      <c r="D53" s="40">
        <f>+C53/$C$2*100</f>
        <v>0.35879822773944869</v>
      </c>
      <c r="E53" s="20">
        <v>10817786.75</v>
      </c>
      <c r="F53" s="40">
        <f>+E53/$E$2*100</f>
        <v>0.17519817882939787</v>
      </c>
      <c r="G53" s="20">
        <f>+C53-E53</f>
        <v>11336568.620000001</v>
      </c>
      <c r="H53" s="93">
        <f>+C53/E53*100-100</f>
        <v>104.79563779531892</v>
      </c>
      <c r="I53" s="20">
        <v>18532155.0636</v>
      </c>
      <c r="J53" s="40">
        <v>0</v>
      </c>
      <c r="K53" s="20">
        <f>+C53-I53</f>
        <v>3622200.306400001</v>
      </c>
      <c r="L53" s="93">
        <f>+C53/I53*100-100</f>
        <v>19.545488875789502</v>
      </c>
      <c r="M53" s="73" t="s">
        <v>131</v>
      </c>
    </row>
    <row r="54" spans="1:16384" ht="15" customHeight="1">
      <c r="A54" s="18">
        <v>47</v>
      </c>
      <c r="B54" s="19" t="s">
        <v>47</v>
      </c>
      <c r="C54" s="20">
        <v>1298049.67</v>
      </c>
      <c r="D54" s="40">
        <f t="shared" si="1"/>
        <v>2.102240906293525E-2</v>
      </c>
      <c r="E54" s="20">
        <v>1628740</v>
      </c>
      <c r="F54" s="40">
        <f t="shared" si="0"/>
        <v>2.6378064975868882E-2</v>
      </c>
      <c r="G54" s="20">
        <f t="shared" si="2"/>
        <v>-330690.33000000007</v>
      </c>
      <c r="H54" s="93">
        <f t="shared" si="3"/>
        <v>-20.303444994290061</v>
      </c>
      <c r="I54" s="20">
        <v>1376180.13</v>
      </c>
      <c r="J54" s="40">
        <f t="shared" si="4"/>
        <v>2.3740501462799653E-2</v>
      </c>
      <c r="K54" s="20">
        <f t="shared" si="6"/>
        <v>-78130.459999999963</v>
      </c>
      <c r="L54" s="93">
        <f t="shared" si="5"/>
        <v>-5.6773425438136513</v>
      </c>
      <c r="M54" s="73" t="s">
        <v>132</v>
      </c>
    </row>
    <row r="55" spans="1:16384" s="34" customFormat="1" ht="15" customHeight="1">
      <c r="A55" s="31"/>
      <c r="B55" s="32" t="s">
        <v>77</v>
      </c>
      <c r="C55" s="33">
        <f>+C6-C37</f>
        <v>5052497.3500000238</v>
      </c>
      <c r="D55" s="43">
        <f t="shared" si="1"/>
        <v>8.1827119975383417E-2</v>
      </c>
      <c r="E55" s="33">
        <f>+E6-E37</f>
        <v>-38456027.435000002</v>
      </c>
      <c r="F55" s="43">
        <f t="shared" si="0"/>
        <v>-0.62281001902957278</v>
      </c>
      <c r="G55" s="33">
        <f t="shared" si="2"/>
        <v>43508524.785000026</v>
      </c>
      <c r="H55" s="103">
        <f t="shared" si="3"/>
        <v>-113.13837566436098</v>
      </c>
      <c r="I55" s="33">
        <f>+I6-I37</f>
        <v>-20483421.923599988</v>
      </c>
      <c r="J55" s="43">
        <f t="shared" si="4"/>
        <v>-0.35335978011858671</v>
      </c>
      <c r="K55" s="33">
        <f t="shared" si="6"/>
        <v>25535919.273600012</v>
      </c>
      <c r="L55" s="103">
        <f t="shared" si="5"/>
        <v>-124.66627582464034</v>
      </c>
      <c r="M55" s="72"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182</v>
      </c>
      <c r="C56" s="20">
        <v>0</v>
      </c>
      <c r="D56" s="40">
        <f>+C56/$C$2*100</f>
        <v>0</v>
      </c>
      <c r="E56" s="20">
        <v>0</v>
      </c>
      <c r="F56" s="40">
        <f>+E56/$E$2*100</f>
        <v>0</v>
      </c>
      <c r="G56" s="20">
        <f>+C56-E56</f>
        <v>0</v>
      </c>
      <c r="H56" s="93" t="e">
        <f>+C56/E56*100-100</f>
        <v>#DIV/0!</v>
      </c>
      <c r="I56" s="20">
        <v>0</v>
      </c>
      <c r="J56" s="40">
        <f t="shared" si="4"/>
        <v>0</v>
      </c>
      <c r="K56" s="20">
        <f>+C56-I56</f>
        <v>0</v>
      </c>
      <c r="L56" s="93" t="e">
        <f>+C56/I56*100-100</f>
        <v>#DIV/0!</v>
      </c>
      <c r="M56" s="73" t="s">
        <v>133</v>
      </c>
    </row>
    <row r="57" spans="1:16384" s="34" customFormat="1" ht="15" hidden="1" customHeight="1">
      <c r="A57" s="31"/>
      <c r="B57" s="32" t="s">
        <v>59</v>
      </c>
      <c r="C57" s="33">
        <f>+C55-C56</f>
        <v>5052497.3500000238</v>
      </c>
      <c r="D57" s="43">
        <f t="shared" si="1"/>
        <v>8.1827119975383417E-2</v>
      </c>
      <c r="E57" s="33">
        <f>+E55-E56</f>
        <v>-38456027.435000002</v>
      </c>
      <c r="F57" s="43">
        <f t="shared" si="0"/>
        <v>-0.62281001902957278</v>
      </c>
      <c r="G57" s="33">
        <f t="shared" si="2"/>
        <v>43508524.785000026</v>
      </c>
      <c r="H57" s="103">
        <f t="shared" si="3"/>
        <v>-113.13837566436098</v>
      </c>
      <c r="I57" s="33">
        <f>+I55-I56</f>
        <v>-20483421.923599988</v>
      </c>
      <c r="J57" s="43">
        <f t="shared" si="4"/>
        <v>-0.35335978011858671</v>
      </c>
      <c r="K57" s="33">
        <f t="shared" si="6"/>
        <v>25535919.273600012</v>
      </c>
      <c r="L57" s="103">
        <f t="shared" si="5"/>
        <v>-124.66627582464034</v>
      </c>
      <c r="M57" s="72"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75</v>
      </c>
      <c r="C58" s="33">
        <f>+C57+C44</f>
        <v>6251272.3700000234</v>
      </c>
      <c r="D58" s="43">
        <f t="shared" si="1"/>
        <v>0.10124173825025141</v>
      </c>
      <c r="E58" s="33">
        <f>+E57+E44</f>
        <v>-37020712.435000002</v>
      </c>
      <c r="F58" s="43">
        <f t="shared" si="0"/>
        <v>-0.59956454563858386</v>
      </c>
      <c r="G58" s="33">
        <f t="shared" si="2"/>
        <v>43271984.805000022</v>
      </c>
      <c r="H58" s="103">
        <f t="shared" si="3"/>
        <v>-116.88587809047664</v>
      </c>
      <c r="I58" s="33">
        <f>+I57+I44</f>
        <v>-19480739.36359999</v>
      </c>
      <c r="J58" s="43">
        <f t="shared" si="4"/>
        <v>-0.33606249013198908</v>
      </c>
      <c r="K58" s="33">
        <f t="shared" si="6"/>
        <v>25732011.733600013</v>
      </c>
      <c r="L58" s="103">
        <f t="shared" si="5"/>
        <v>-132.08950262781406</v>
      </c>
      <c r="M58" s="72"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76</v>
      </c>
      <c r="C59" s="33">
        <f>+C6-(C37-C50)</f>
        <v>33958239.300000027</v>
      </c>
      <c r="D59" s="43">
        <f t="shared" si="1"/>
        <v>0.54996662617821435</v>
      </c>
      <c r="E59" s="33">
        <f>+E6-(E37-E50)</f>
        <v>45875980.974999994</v>
      </c>
      <c r="F59" s="43">
        <f t="shared" si="0"/>
        <v>0.74297899418585811</v>
      </c>
      <c r="G59" s="33">
        <f t="shared" si="2"/>
        <v>-11917741.674999967</v>
      </c>
      <c r="H59" s="103">
        <f t="shared" si="3"/>
        <v>-25.978172938676806</v>
      </c>
      <c r="I59" s="33">
        <f>+I6-(I37-I50)</f>
        <v>23258709.046400011</v>
      </c>
      <c r="J59" s="43">
        <f t="shared" si="4"/>
        <v>0.40123629465489452</v>
      </c>
      <c r="K59" s="33">
        <f t="shared" si="6"/>
        <v>10699530.253600016</v>
      </c>
      <c r="L59" s="103">
        <f t="shared" si="5"/>
        <v>46.00225331618779</v>
      </c>
      <c r="M59" s="72"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6793865.9100000011</v>
      </c>
      <c r="D60" s="43">
        <f t="shared" si="1"/>
        <v>0.11002924740064135</v>
      </c>
      <c r="E60" s="33">
        <f>+E61+E62</f>
        <v>6167589.5</v>
      </c>
      <c r="F60" s="43">
        <f t="shared" si="0"/>
        <v>9.9886462280957461E-2</v>
      </c>
      <c r="G60" s="33">
        <f t="shared" si="2"/>
        <v>626276.41000000108</v>
      </c>
      <c r="H60" s="103">
        <f t="shared" si="3"/>
        <v>10.154314096293234</v>
      </c>
      <c r="I60" s="33">
        <f>+I61+I62+I63</f>
        <v>5097963.2300000004</v>
      </c>
      <c r="J60" s="43">
        <f t="shared" si="4"/>
        <v>8.7945030509279237E-2</v>
      </c>
      <c r="K60" s="33">
        <f t="shared" si="6"/>
        <v>1695902.6800000006</v>
      </c>
      <c r="L60" s="103">
        <f t="shared" si="5"/>
        <v>33.266279168514131</v>
      </c>
      <c r="M60" s="72"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52</v>
      </c>
      <c r="C61" s="23">
        <v>5015849.370000001</v>
      </c>
      <c r="D61" s="41">
        <f t="shared" si="1"/>
        <v>8.123359197356915E-2</v>
      </c>
      <c r="E61" s="23">
        <v>4731109.5</v>
      </c>
      <c r="F61" s="41">
        <f t="shared" si="0"/>
        <v>7.6622121271013505E-2</v>
      </c>
      <c r="G61" s="23">
        <f t="shared" si="2"/>
        <v>284739.87000000104</v>
      </c>
      <c r="H61" s="98">
        <f t="shared" si="3"/>
        <v>6.018458672326247</v>
      </c>
      <c r="I61" s="23">
        <v>3565834.5</v>
      </c>
      <c r="J61" s="41">
        <f t="shared" si="4"/>
        <v>6.1514257703569282E-2</v>
      </c>
      <c r="K61" s="23">
        <f t="shared" si="6"/>
        <v>1450014.870000001</v>
      </c>
      <c r="L61" s="98">
        <f t="shared" si="5"/>
        <v>40.664110182343052</v>
      </c>
      <c r="M61" s="74" t="s">
        <v>139</v>
      </c>
    </row>
    <row r="62" spans="1:16384" ht="15" customHeight="1">
      <c r="A62" s="21">
        <v>4612</v>
      </c>
      <c r="B62" s="22" t="s">
        <v>53</v>
      </c>
      <c r="C62" s="23">
        <v>1778016.54</v>
      </c>
      <c r="D62" s="41">
        <f t="shared" si="1"/>
        <v>2.87956554270722E-2</v>
      </c>
      <c r="E62" s="23">
        <v>1436480</v>
      </c>
      <c r="F62" s="41">
        <f t="shared" si="0"/>
        <v>2.3264341009943963E-2</v>
      </c>
      <c r="G62" s="23">
        <f t="shared" si="2"/>
        <v>341536.54000000004</v>
      </c>
      <c r="H62" s="98">
        <f t="shared" si="3"/>
        <v>23.775934228113172</v>
      </c>
      <c r="I62" s="23">
        <v>1532128.7300000002</v>
      </c>
      <c r="J62" s="41">
        <f t="shared" si="4"/>
        <v>2.6430772805709948E-2</v>
      </c>
      <c r="K62" s="23">
        <f t="shared" si="6"/>
        <v>245887.80999999982</v>
      </c>
      <c r="L62" s="98">
        <f t="shared" si="5"/>
        <v>16.048769609587566</v>
      </c>
      <c r="M62" s="74" t="s">
        <v>140</v>
      </c>
    </row>
    <row r="63" spans="1:16384" ht="15" hidden="1" customHeight="1">
      <c r="A63" s="21">
        <v>463</v>
      </c>
      <c r="B63" s="22" t="s">
        <v>46</v>
      </c>
      <c r="C63" s="23"/>
      <c r="D63" s="41"/>
      <c r="E63" s="23"/>
      <c r="F63" s="41"/>
      <c r="G63" s="23"/>
      <c r="H63" s="98"/>
      <c r="I63" s="23"/>
      <c r="J63" s="41">
        <f t="shared" si="4"/>
        <v>0</v>
      </c>
      <c r="K63" s="23"/>
      <c r="L63" s="98"/>
      <c r="M63" s="74"/>
    </row>
    <row r="64" spans="1:16384" s="34" customFormat="1" ht="15" customHeight="1">
      <c r="A64" s="31">
        <v>4418</v>
      </c>
      <c r="B64" s="32" t="s">
        <v>63</v>
      </c>
      <c r="C64" s="33">
        <v>0</v>
      </c>
      <c r="D64" s="43">
        <f t="shared" si="1"/>
        <v>0</v>
      </c>
      <c r="E64" s="33">
        <v>0</v>
      </c>
      <c r="F64" s="43">
        <f t="shared" ref="F64:F73" si="25">+E64/$E$2*100</f>
        <v>0</v>
      </c>
      <c r="G64" s="33">
        <f t="shared" si="2"/>
        <v>0</v>
      </c>
      <c r="H64" s="103" t="e">
        <f t="shared" si="3"/>
        <v>#DIV/0!</v>
      </c>
      <c r="I64" s="33">
        <v>0</v>
      </c>
      <c r="J64" s="43">
        <f t="shared" si="4"/>
        <v>0</v>
      </c>
      <c r="K64" s="33">
        <f t="shared" si="6"/>
        <v>0</v>
      </c>
      <c r="L64" s="103" t="e">
        <f t="shared" si="5"/>
        <v>#DIV/0!</v>
      </c>
      <c r="M64" s="72"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v>45</v>
      </c>
      <c r="B65" s="32" t="s">
        <v>44</v>
      </c>
      <c r="C65" s="33">
        <v>35024.42</v>
      </c>
      <c r="D65" s="43">
        <f t="shared" si="1"/>
        <v>5.6723382891199427E-4</v>
      </c>
      <c r="E65" s="33">
        <v>0</v>
      </c>
      <c r="F65" s="43">
        <f t="shared" si="25"/>
        <v>0</v>
      </c>
      <c r="G65" s="33">
        <f t="shared" si="2"/>
        <v>35024.42</v>
      </c>
      <c r="H65" s="103" t="e">
        <f t="shared" si="3"/>
        <v>#DIV/0!</v>
      </c>
      <c r="I65" s="33">
        <v>1269794.32</v>
      </c>
      <c r="J65" s="43">
        <f t="shared" si="4"/>
        <v>2.1905238459891653E-2</v>
      </c>
      <c r="K65" s="33">
        <f t="shared" si="6"/>
        <v>-1234769.9000000001</v>
      </c>
      <c r="L65" s="103">
        <f t="shared" si="5"/>
        <v>-97.241724943296333</v>
      </c>
      <c r="M65" s="72"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54</v>
      </c>
      <c r="C66" s="33">
        <f>+C57-C60-C64-C65</f>
        <v>-1776392.9799999772</v>
      </c>
      <c r="D66" s="43">
        <f t="shared" si="1"/>
        <v>-2.8769361254169939E-2</v>
      </c>
      <c r="E66" s="33">
        <f>+E57-E60-E64-E65</f>
        <v>-44623616.935000002</v>
      </c>
      <c r="F66" s="43">
        <f t="shared" si="25"/>
        <v>-0.72269648131053021</v>
      </c>
      <c r="G66" s="33">
        <f t="shared" ref="G66:G73" si="26">+C66-E66</f>
        <v>42847223.955000028</v>
      </c>
      <c r="H66" s="103">
        <f t="shared" ref="H66:H73" si="27">+C66/E66*100-100</f>
        <v>-96.019164061515852</v>
      </c>
      <c r="I66" s="33">
        <f>+I57-I60-I64-I65</f>
        <v>-26851179.473599989</v>
      </c>
      <c r="J66" s="43">
        <f t="shared" si="4"/>
        <v>-0.46321004908775765</v>
      </c>
      <c r="K66" s="33">
        <f t="shared" ref="K66:K73" si="28">+C66-I66</f>
        <v>25074786.493600011</v>
      </c>
      <c r="L66" s="103">
        <f t="shared" ref="L66:L73" si="29">+C66/I66*100-100</f>
        <v>-93.384301863735544</v>
      </c>
      <c r="M66" s="72"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s="34" customFormat="1" ht="15" customHeight="1">
      <c r="A67" s="31"/>
      <c r="B67" s="32" t="s">
        <v>48</v>
      </c>
      <c r="C67" s="33">
        <f>+SUM(C68:C73)+C56</f>
        <v>1776392.9799999781</v>
      </c>
      <c r="D67" s="43">
        <f t="shared" ref="D67:D73" si="30">+C67/$C$2*100</f>
        <v>2.8769361254169956E-2</v>
      </c>
      <c r="E67" s="33">
        <f>+SUM(E68:E73)+E56</f>
        <v>44623616.935000002</v>
      </c>
      <c r="F67" s="43">
        <f t="shared" si="25"/>
        <v>0.72269648131053021</v>
      </c>
      <c r="G67" s="33">
        <f t="shared" si="26"/>
        <v>-42847223.955000028</v>
      </c>
      <c r="H67" s="103">
        <f t="shared" si="27"/>
        <v>-96.019164061515852</v>
      </c>
      <c r="I67" s="33">
        <f>+SUM(I68:I73)+I56</f>
        <v>26851179.473599989</v>
      </c>
      <c r="J67" s="43">
        <f t="shared" ref="J67:J73" si="31">+I67/$I$2*100</f>
        <v>0.46321004908775765</v>
      </c>
      <c r="K67" s="33">
        <f t="shared" si="28"/>
        <v>-25074786.493600011</v>
      </c>
      <c r="L67" s="103">
        <f t="shared" si="29"/>
        <v>-93.384301863735544</v>
      </c>
      <c r="M67" s="72"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pans="1:16384">
      <c r="A68" s="21">
        <v>7511</v>
      </c>
      <c r="B68" s="22" t="s">
        <v>55</v>
      </c>
      <c r="C68" s="23">
        <v>1399622</v>
      </c>
      <c r="D68" s="41">
        <f t="shared" si="30"/>
        <v>2.2667411654196223E-2</v>
      </c>
      <c r="E68" s="23">
        <v>1530000</v>
      </c>
      <c r="F68" s="41">
        <f t="shared" si="25"/>
        <v>2.4778933048294628E-2</v>
      </c>
      <c r="G68" s="23">
        <f t="shared" si="26"/>
        <v>-130378</v>
      </c>
      <c r="H68" s="98">
        <f t="shared" si="27"/>
        <v>-8.5214379084967362</v>
      </c>
      <c r="I68" s="70">
        <v>2742301.8000000003</v>
      </c>
      <c r="J68" s="41">
        <f t="shared" si="31"/>
        <v>4.7307484300284246E-2</v>
      </c>
      <c r="K68" s="23">
        <f t="shared" si="28"/>
        <v>-1342679.8000000003</v>
      </c>
      <c r="L68" s="98">
        <f t="shared" si="29"/>
        <v>-48.961780938917819</v>
      </c>
      <c r="M68" s="74" t="s">
        <v>144</v>
      </c>
    </row>
    <row r="69" spans="1:16384" ht="15" customHeight="1">
      <c r="A69" s="21">
        <v>7512</v>
      </c>
      <c r="B69" s="22" t="s">
        <v>49</v>
      </c>
      <c r="C69" s="23">
        <v>1269263.2799999998</v>
      </c>
      <c r="D69" s="41">
        <f t="shared" si="30"/>
        <v>2.0556202507044988E-2</v>
      </c>
      <c r="E69" s="23">
        <v>3774000</v>
      </c>
      <c r="F69" s="41">
        <f t="shared" si="25"/>
        <v>6.1121368185793418E-2</v>
      </c>
      <c r="G69" s="23">
        <f t="shared" si="26"/>
        <v>-2504736.7200000002</v>
      </c>
      <c r="H69" s="98">
        <f t="shared" si="27"/>
        <v>-66.368222575516697</v>
      </c>
      <c r="I69" s="70">
        <v>1545434.87</v>
      </c>
      <c r="J69" s="41">
        <f t="shared" si="31"/>
        <v>2.6660317201278441E-2</v>
      </c>
      <c r="K69" s="23">
        <f t="shared" si="28"/>
        <v>-276171.59000000032</v>
      </c>
      <c r="L69" s="98">
        <f t="shared" si="29"/>
        <v>-17.870153919847837</v>
      </c>
      <c r="M69" s="74" t="s">
        <v>145</v>
      </c>
    </row>
    <row r="70" spans="1:16384" ht="15" customHeight="1">
      <c r="A70" s="18">
        <v>72</v>
      </c>
      <c r="B70" s="19" t="s">
        <v>172</v>
      </c>
      <c r="C70" s="20">
        <v>2033470.4900000002</v>
      </c>
      <c r="D70" s="40">
        <f t="shared" si="30"/>
        <v>3.2932829495028022E-2</v>
      </c>
      <c r="E70" s="20">
        <v>7843500</v>
      </c>
      <c r="F70" s="40">
        <f t="shared" si="25"/>
        <v>0.12702847147993393</v>
      </c>
      <c r="G70" s="20">
        <f t="shared" si="26"/>
        <v>-5810029.5099999998</v>
      </c>
      <c r="H70" s="93">
        <f t="shared" si="27"/>
        <v>-74.074450309173187</v>
      </c>
      <c r="I70" s="69">
        <v>15102068.039999997</v>
      </c>
      <c r="J70" s="40">
        <f t="shared" si="31"/>
        <v>0.26052597372912212</v>
      </c>
      <c r="K70" s="20">
        <f t="shared" si="28"/>
        <v>-13068597.549999997</v>
      </c>
      <c r="L70" s="93">
        <f t="shared" si="29"/>
        <v>-86.535152108876332</v>
      </c>
      <c r="M70" s="73" t="s">
        <v>146</v>
      </c>
    </row>
    <row r="71" spans="1:16384" ht="15" customHeight="1">
      <c r="A71" s="28">
        <v>73</v>
      </c>
      <c r="B71" s="19" t="s">
        <v>188</v>
      </c>
      <c r="C71" s="30">
        <v>132023.38999999998</v>
      </c>
      <c r="D71" s="40">
        <f t="shared" si="30"/>
        <v>2.1381691121692089E-3</v>
      </c>
      <c r="E71" s="30">
        <v>0</v>
      </c>
      <c r="F71" s="40">
        <f t="shared" si="25"/>
        <v>0</v>
      </c>
      <c r="G71" s="20">
        <f t="shared" si="26"/>
        <v>132023.38999999998</v>
      </c>
      <c r="H71" s="93" t="e">
        <f t="shared" si="27"/>
        <v>#DIV/0!</v>
      </c>
      <c r="I71" s="69">
        <v>2658436.12</v>
      </c>
      <c r="J71" s="40">
        <f t="shared" si="31"/>
        <v>4.5860716355219752E-2</v>
      </c>
      <c r="K71" s="20">
        <f t="shared" si="28"/>
        <v>-2526412.73</v>
      </c>
      <c r="L71" s="93">
        <f t="shared" si="29"/>
        <v>-95.033794906458013</v>
      </c>
      <c r="M71" s="76" t="s">
        <v>108</v>
      </c>
    </row>
    <row r="72" spans="1:16384" ht="15" customHeight="1">
      <c r="A72" s="28"/>
      <c r="B72" s="29" t="s">
        <v>152</v>
      </c>
      <c r="C72" s="30">
        <v>5944928.1500000004</v>
      </c>
      <c r="D72" s="40">
        <f t="shared" si="30"/>
        <v>9.6280376866517678E-2</v>
      </c>
      <c r="E72" s="30">
        <v>4898670</v>
      </c>
      <c r="F72" s="40">
        <f t="shared" ref="F72" si="32">+E72/$E$2*100</f>
        <v>7.9335827422019237E-2</v>
      </c>
      <c r="G72" s="20">
        <f t="shared" ref="G72" si="33">+C72-E72</f>
        <v>1046258.1500000004</v>
      </c>
      <c r="H72" s="93">
        <f t="shared" ref="H72" si="34">+C72/E72*100-100</f>
        <v>21.358004315457066</v>
      </c>
      <c r="I72" s="71">
        <v>3136270.6999999997</v>
      </c>
      <c r="J72" s="40">
        <f t="shared" ref="J72" si="35">+I72/$I$2*100</f>
        <v>5.4103846958672257E-2</v>
      </c>
      <c r="K72" s="20">
        <f t="shared" ref="K72" si="36">+C72-I72</f>
        <v>2808657.4500000007</v>
      </c>
      <c r="L72" s="93">
        <f t="shared" ref="L72" si="37">+C72/I72*100-100</f>
        <v>89.554050611766428</v>
      </c>
      <c r="M72" s="76" t="s">
        <v>153</v>
      </c>
    </row>
    <row r="73" spans="1:16384" ht="15" customHeight="1" thickBot="1">
      <c r="A73" s="24"/>
      <c r="B73" s="25" t="s">
        <v>50</v>
      </c>
      <c r="C73" s="26">
        <f>+-C66-(SUM(C68:C72)+C56)</f>
        <v>-9002914.3300000206</v>
      </c>
      <c r="D73" s="42">
        <f t="shared" si="30"/>
        <v>-0.14580562838078615</v>
      </c>
      <c r="E73" s="26">
        <f>+-E66-SUM(E68:E72)</f>
        <v>26577446.935000002</v>
      </c>
      <c r="F73" s="42">
        <f t="shared" si="25"/>
        <v>0.43043188117448905</v>
      </c>
      <c r="G73" s="26">
        <f t="shared" si="26"/>
        <v>-35580361.265000023</v>
      </c>
      <c r="H73" s="99">
        <f t="shared" si="27"/>
        <v>-133.87426321278446</v>
      </c>
      <c r="I73" s="26">
        <f>+-I66-(SUM(I68:I72)+I56)</f>
        <v>1666667.9435999915</v>
      </c>
      <c r="J73" s="42">
        <f t="shared" si="31"/>
        <v>2.8751710543180781E-2</v>
      </c>
      <c r="K73" s="26">
        <f t="shared" si="28"/>
        <v>-10669582.273600012</v>
      </c>
      <c r="L73" s="99">
        <f t="shared" si="29"/>
        <v>-640.17444593995049</v>
      </c>
      <c r="M73" s="77" t="s">
        <v>147</v>
      </c>
    </row>
    <row r="74" spans="1:16384" ht="13.5" customHeight="1"/>
    <row r="78" spans="1:16384">
      <c r="G78" s="88"/>
    </row>
    <row r="80" spans="1:16384">
      <c r="J80" s="89"/>
    </row>
  </sheetData>
  <sheetProtection algorithmName="SHA-512" hashValue="ShdjOG6QBxjaRnVXfhpxWKkUDBfiSz2vZIgb2+SzYebAVGrDV7u+/faOauxMtXXujf6A6DAnD6R7kh8w+mfiUg==" saltValue="2gockUyhPKP7o+Bz0oZ7eQ=="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6" activePane="bottomLeft" state="frozen"/>
      <selection activeCell="G14" sqref="G14"/>
      <selection pane="bottomLeft" activeCell="O18" sqref="O18"/>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100" customWidth="1"/>
    <col min="9" max="9" width="9.140625" style="6"/>
    <col min="10" max="10" width="9.5703125" style="7" customWidth="1"/>
    <col min="11" max="11" width="11.28515625" style="6" customWidth="1"/>
    <col min="12" max="12" width="11.7109375" style="100"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9"/>
      <c r="M1" s="5"/>
    </row>
    <row r="2" spans="1:16357" ht="15.75" customHeight="1" thickBot="1">
      <c r="A2" s="8" t="s">
        <v>58</v>
      </c>
      <c r="B2" s="8"/>
      <c r="C2" s="119">
        <f>'Centralna država-ek klas'!C2:D2</f>
        <v>6174600000</v>
      </c>
      <c r="D2" s="120"/>
      <c r="E2" s="119">
        <f>'Centralna država-ek klas'!E2:F2</f>
        <v>6174600000</v>
      </c>
      <c r="F2" s="120"/>
      <c r="G2" s="9"/>
      <c r="H2" s="101"/>
      <c r="I2" s="119">
        <v>5796761000</v>
      </c>
      <c r="J2" s="120"/>
      <c r="K2" s="9"/>
      <c r="L2" s="101"/>
      <c r="M2" s="8" t="s">
        <v>78</v>
      </c>
    </row>
    <row r="3" spans="1:16357" ht="15" customHeight="1" thickBot="1">
      <c r="A3" s="8"/>
      <c r="B3" s="8"/>
      <c r="C3" s="11"/>
      <c r="D3" s="8"/>
      <c r="E3" s="11"/>
      <c r="F3" s="10"/>
      <c r="G3" s="11"/>
      <c r="H3" s="101"/>
      <c r="I3" s="11"/>
      <c r="J3" s="10"/>
      <c r="K3" s="11"/>
      <c r="L3" s="101"/>
      <c r="M3" s="8"/>
    </row>
    <row r="4" spans="1:16357" ht="15" customHeight="1">
      <c r="A4" s="111" t="s">
        <v>70</v>
      </c>
      <c r="B4" s="123" t="s">
        <v>71</v>
      </c>
      <c r="C4" s="115" t="s">
        <v>189</v>
      </c>
      <c r="D4" s="116"/>
      <c r="E4" s="113" t="s">
        <v>190</v>
      </c>
      <c r="F4" s="114"/>
      <c r="G4" s="113" t="s">
        <v>171</v>
      </c>
      <c r="H4" s="114"/>
      <c r="I4" s="113" t="s">
        <v>193</v>
      </c>
      <c r="J4" s="114"/>
      <c r="K4" s="113" t="s">
        <v>171</v>
      </c>
      <c r="L4" s="114"/>
      <c r="M4" s="121" t="s">
        <v>148</v>
      </c>
    </row>
    <row r="5" spans="1:16357" ht="24" customHeight="1">
      <c r="A5" s="112"/>
      <c r="B5" s="124"/>
      <c r="C5" s="12" t="s">
        <v>61</v>
      </c>
      <c r="D5" s="13" t="s">
        <v>56</v>
      </c>
      <c r="E5" s="12" t="s">
        <v>61</v>
      </c>
      <c r="F5" s="13" t="s">
        <v>56</v>
      </c>
      <c r="G5" s="12" t="s">
        <v>64</v>
      </c>
      <c r="H5" s="102" t="s">
        <v>62</v>
      </c>
      <c r="I5" s="12" t="s">
        <v>61</v>
      </c>
      <c r="J5" s="14" t="s">
        <v>56</v>
      </c>
      <c r="K5" s="12" t="s">
        <v>61</v>
      </c>
      <c r="L5" s="104" t="s">
        <v>62</v>
      </c>
      <c r="M5" s="122"/>
    </row>
    <row r="6" spans="1:16357" s="38" customFormat="1" ht="15" customHeight="1">
      <c r="A6" s="35"/>
      <c r="B6" s="36" t="s">
        <v>51</v>
      </c>
      <c r="C6" s="37">
        <f>+C7+C17+C22+C23+C24+C25+C26</f>
        <v>1382315456.46</v>
      </c>
      <c r="D6" s="44">
        <f>+C6/$C$2*100</f>
        <v>22.387125586434749</v>
      </c>
      <c r="E6" s="37">
        <f>+E7+E17+E22+E23+E24+E25+E26</f>
        <v>1171312692.7159395</v>
      </c>
      <c r="F6" s="44">
        <f t="shared" ref="F6:F52" si="0">+E6/$E$2*100</f>
        <v>18.969855419232655</v>
      </c>
      <c r="G6" s="37">
        <f>+C6-E6</f>
        <v>211002763.74406052</v>
      </c>
      <c r="H6" s="105">
        <f>+C6/E6*100-100</f>
        <v>18.014213032627978</v>
      </c>
      <c r="I6" s="37">
        <f>+I7+I17+I22+I23+I24+I25+I26</f>
        <v>1030224629.96</v>
      </c>
      <c r="J6" s="44">
        <f>+I6/$I$2*100</f>
        <v>17.772418596523128</v>
      </c>
      <c r="K6" s="37">
        <f>+C6-I6</f>
        <v>352090826.5</v>
      </c>
      <c r="L6" s="105">
        <f>+C6/I6*100-100</f>
        <v>34.176122008815724</v>
      </c>
      <c r="M6" s="81" t="s">
        <v>149</v>
      </c>
      <c r="N6" s="1"/>
      <c r="O6" s="1"/>
      <c r="P6" s="86"/>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880495698.36000013</v>
      </c>
      <c r="D7" s="40">
        <f t="shared" ref="D7:D56" si="1">+C7/$C$2*100</f>
        <v>14.259963371878342</v>
      </c>
      <c r="E7" s="20">
        <f>+SUM(E8:E16)</f>
        <v>796340004.59644687</v>
      </c>
      <c r="F7" s="40">
        <f t="shared" si="0"/>
        <v>12.89702984155163</v>
      </c>
      <c r="G7" s="20">
        <f t="shared" ref="G7:G55" si="2">+C7-E7</f>
        <v>84155693.763553262</v>
      </c>
      <c r="H7" s="93">
        <f t="shared" ref="H7:H55" si="3">+C7/E7*100-100</f>
        <v>10.567809387674814</v>
      </c>
      <c r="I7" s="20">
        <f>+SUM(I8:I16)</f>
        <v>713745710.18000007</v>
      </c>
      <c r="J7" s="40">
        <f t="shared" ref="J7:J56" si="4">+I7/$I$2*100</f>
        <v>12.312836602716587</v>
      </c>
      <c r="K7" s="20">
        <f t="shared" ref="K7:K55" si="5">+C7-I7</f>
        <v>166749988.18000007</v>
      </c>
      <c r="L7" s="93">
        <f t="shared" ref="L7:L55" si="6">+C7/I7*100-100</f>
        <v>23.362660650940683</v>
      </c>
      <c r="M7" s="73" t="s">
        <v>79</v>
      </c>
      <c r="Q7" s="86"/>
    </row>
    <row r="8" spans="1:16357" ht="15" customHeight="1">
      <c r="A8" s="21">
        <v>7111</v>
      </c>
      <c r="B8" s="22" t="s">
        <v>2</v>
      </c>
      <c r="C8" s="23">
        <f>+'Centralna država-ek klas'!C8+'Lokalna država-ek klas '!C8</f>
        <v>57838842.010000005</v>
      </c>
      <c r="D8" s="41">
        <f t="shared" si="1"/>
        <v>0.93672208742266705</v>
      </c>
      <c r="E8" s="23">
        <f>+'Centralna država-ek klas'!E8+'Lokalna država-ek klas '!E8</f>
        <v>60101955.919422969</v>
      </c>
      <c r="F8" s="41">
        <f t="shared" si="0"/>
        <v>0.97337407960714806</v>
      </c>
      <c r="G8" s="23">
        <f t="shared" si="2"/>
        <v>-2263113.9094229639</v>
      </c>
      <c r="H8" s="98">
        <f t="shared" si="3"/>
        <v>-3.7654580034917018</v>
      </c>
      <c r="I8" s="23">
        <f>+'Centralna država-ek klas'!I8+'Lokalna država-ek klas '!I8</f>
        <v>56156086.280000001</v>
      </c>
      <c r="J8" s="41">
        <f t="shared" si="4"/>
        <v>0.96874938055924675</v>
      </c>
      <c r="K8" s="23">
        <f t="shared" si="5"/>
        <v>1682755.7300000042</v>
      </c>
      <c r="L8" s="98">
        <f t="shared" si="6"/>
        <v>2.996568745210638</v>
      </c>
      <c r="M8" s="74" t="s">
        <v>80</v>
      </c>
      <c r="P8" s="90"/>
      <c r="Q8" s="90"/>
      <c r="R8" s="90"/>
    </row>
    <row r="9" spans="1:16357" ht="15" customHeight="1">
      <c r="A9" s="21">
        <v>7112</v>
      </c>
      <c r="B9" s="22" t="s">
        <v>3</v>
      </c>
      <c r="C9" s="23">
        <f>+'Centralna država-ek klas'!C9</f>
        <v>131603996.29000001</v>
      </c>
      <c r="D9" s="41">
        <f t="shared" si="1"/>
        <v>2.1313768712143299</v>
      </c>
      <c r="E9" s="23">
        <f>+'Centralna država-ek klas'!E9</f>
        <v>101445341.38804463</v>
      </c>
      <c r="F9" s="41">
        <f t="shared" si="0"/>
        <v>1.6429459622978755</v>
      </c>
      <c r="G9" s="23">
        <f t="shared" si="2"/>
        <v>30158654.901955381</v>
      </c>
      <c r="H9" s="98">
        <f t="shared" si="3"/>
        <v>29.72896979723663</v>
      </c>
      <c r="I9" s="23">
        <f>+'Centralna država-ek klas'!I9</f>
        <v>75194080.169999987</v>
      </c>
      <c r="J9" s="41">
        <f t="shared" si="4"/>
        <v>1.2971740627222683</v>
      </c>
      <c r="K9" s="23">
        <f t="shared" si="5"/>
        <v>56409916.12000002</v>
      </c>
      <c r="L9" s="98">
        <f t="shared" si="6"/>
        <v>75.019091918496201</v>
      </c>
      <c r="M9" s="74" t="s">
        <v>81</v>
      </c>
    </row>
    <row r="10" spans="1:16357" ht="15" customHeight="1">
      <c r="A10" s="21">
        <v>71131</v>
      </c>
      <c r="B10" s="22" t="s">
        <v>66</v>
      </c>
      <c r="C10" s="23">
        <f>+'Lokalna država-ek klas '!C9</f>
        <v>26621696.669999998</v>
      </c>
      <c r="D10" s="41">
        <f t="shared" si="1"/>
        <v>0.43114852249538432</v>
      </c>
      <c r="E10" s="23">
        <f>+'Lokalna država-ek klas '!E9</f>
        <v>40957000</v>
      </c>
      <c r="F10" s="41">
        <f t="shared" si="0"/>
        <v>0.66331422278366214</v>
      </c>
      <c r="G10" s="23">
        <f t="shared" si="2"/>
        <v>-14335303.330000002</v>
      </c>
      <c r="H10" s="98">
        <f t="shared" si="3"/>
        <v>-35.000862685255271</v>
      </c>
      <c r="I10" s="23">
        <f>+'Lokalna država-ek klas '!I9</f>
        <v>21909724.009999998</v>
      </c>
      <c r="J10" s="41">
        <f t="shared" si="4"/>
        <v>0.3779649361082853</v>
      </c>
      <c r="K10" s="23">
        <f t="shared" si="5"/>
        <v>4711972.66</v>
      </c>
      <c r="L10" s="98">
        <f t="shared" si="6"/>
        <v>21.506307691732545</v>
      </c>
      <c r="M10" s="74" t="s">
        <v>150</v>
      </c>
    </row>
    <row r="11" spans="1:16357" ht="15" customHeight="1">
      <c r="A11" s="21">
        <v>71132</v>
      </c>
      <c r="B11" s="22" t="s">
        <v>4</v>
      </c>
      <c r="C11" s="23">
        <f>+'Centralna država-ek klas'!C10+'Lokalna država-ek klas '!C10</f>
        <v>12081934.32</v>
      </c>
      <c r="D11" s="41">
        <f t="shared" si="1"/>
        <v>0.19567153046351182</v>
      </c>
      <c r="E11" s="23">
        <f>+'Centralna država-ek klas'!E10+'Lokalna država-ek klas '!E10</f>
        <v>9673312.5</v>
      </c>
      <c r="F11" s="41">
        <f t="shared" si="0"/>
        <v>0.15666298221747157</v>
      </c>
      <c r="G11" s="23">
        <f t="shared" si="2"/>
        <v>2408621.8200000003</v>
      </c>
      <c r="H11" s="98">
        <f t="shared" si="3"/>
        <v>24.899658932759579</v>
      </c>
      <c r="I11" s="23">
        <f>+'Centralna država-ek klas'!I10+'Lokalna država-ek klas '!I10</f>
        <v>11213401.67</v>
      </c>
      <c r="J11" s="41">
        <f t="shared" si="4"/>
        <v>0.19344253920422111</v>
      </c>
      <c r="K11" s="23">
        <f t="shared" si="5"/>
        <v>868532.65000000037</v>
      </c>
      <c r="L11" s="98">
        <f t="shared" si="6"/>
        <v>7.7454877258490455</v>
      </c>
      <c r="M11" s="74" t="s">
        <v>82</v>
      </c>
    </row>
    <row r="12" spans="1:16357" ht="15" customHeight="1">
      <c r="A12" s="21">
        <v>7114</v>
      </c>
      <c r="B12" s="22" t="s">
        <v>5</v>
      </c>
      <c r="C12" s="23">
        <f>+'Centralna država-ek klas'!C11</f>
        <v>475587698.05000001</v>
      </c>
      <c r="D12" s="41">
        <f t="shared" si="1"/>
        <v>7.702324005603602</v>
      </c>
      <c r="E12" s="23">
        <f>+'Centralna država-ek klas'!E11</f>
        <v>435310207.21877712</v>
      </c>
      <c r="F12" s="41">
        <f t="shared" si="0"/>
        <v>7.0500146927538161</v>
      </c>
      <c r="G12" s="23">
        <f t="shared" si="2"/>
        <v>40277490.831222892</v>
      </c>
      <c r="H12" s="98">
        <f t="shared" si="3"/>
        <v>9.2525950835286466</v>
      </c>
      <c r="I12" s="23">
        <f>+'Centralna država-ek klas'!I11</f>
        <v>401051714.55000007</v>
      </c>
      <c r="J12" s="41">
        <f t="shared" si="4"/>
        <v>6.9185483850377834</v>
      </c>
      <c r="K12" s="23">
        <f t="shared" si="5"/>
        <v>74535983.49999994</v>
      </c>
      <c r="L12" s="98">
        <f t="shared" si="6"/>
        <v>18.585130245268488</v>
      </c>
      <c r="M12" s="74" t="s">
        <v>83</v>
      </c>
    </row>
    <row r="13" spans="1:16357" ht="15" customHeight="1">
      <c r="A13" s="21">
        <v>7115</v>
      </c>
      <c r="B13" s="22" t="s">
        <v>6</v>
      </c>
      <c r="C13" s="23">
        <f>+'Centralna država-ek klas'!C12</f>
        <v>136710345.30000001</v>
      </c>
      <c r="D13" s="41">
        <f t="shared" si="1"/>
        <v>2.214076139345059</v>
      </c>
      <c r="E13" s="23">
        <f>+'Centralna država-ek klas'!E12</f>
        <v>117737469.08640635</v>
      </c>
      <c r="F13" s="41">
        <f t="shared" si="0"/>
        <v>1.9068031789331512</v>
      </c>
      <c r="G13" s="23">
        <f t="shared" si="2"/>
        <v>18972876.213593662</v>
      </c>
      <c r="H13" s="98">
        <f t="shared" si="3"/>
        <v>16.114560947177864</v>
      </c>
      <c r="I13" s="23">
        <f>+'Centralna država-ek klas'!I12</f>
        <v>117742127.37</v>
      </c>
      <c r="J13" s="41">
        <f t="shared" si="4"/>
        <v>2.0311709827263882</v>
      </c>
      <c r="K13" s="23">
        <f t="shared" si="5"/>
        <v>18968217.930000007</v>
      </c>
      <c r="L13" s="98">
        <f t="shared" si="6"/>
        <v>16.109967055710769</v>
      </c>
      <c r="M13" s="74" t="s">
        <v>84</v>
      </c>
    </row>
    <row r="14" spans="1:16357" ht="15" customHeight="1">
      <c r="A14" s="21">
        <v>7116</v>
      </c>
      <c r="B14" s="22" t="s">
        <v>7</v>
      </c>
      <c r="C14" s="23">
        <f>+'Centralna država-ek klas'!C13</f>
        <v>24484852.199999999</v>
      </c>
      <c r="D14" s="41">
        <f t="shared" si="1"/>
        <v>0.39654151200077736</v>
      </c>
      <c r="E14" s="23">
        <f>+'Centralna država-ek klas'!E13</f>
        <v>17354805.773092888</v>
      </c>
      <c r="F14" s="41">
        <f t="shared" si="0"/>
        <v>0.28106769301805606</v>
      </c>
      <c r="G14" s="23">
        <f t="shared" si="2"/>
        <v>7130046.426907111</v>
      </c>
      <c r="H14" s="98">
        <f t="shared" si="3"/>
        <v>41.08398860885913</v>
      </c>
      <c r="I14" s="23">
        <f>+'Centralna država-ek klas'!I13</f>
        <v>17349262.68</v>
      </c>
      <c r="J14" s="41">
        <f t="shared" si="4"/>
        <v>0.29929235792194986</v>
      </c>
      <c r="K14" s="23">
        <f t="shared" si="5"/>
        <v>7135589.5199999996</v>
      </c>
      <c r="L14" s="98">
        <f t="shared" si="6"/>
        <v>41.129064973036662</v>
      </c>
      <c r="M14" s="74" t="s">
        <v>85</v>
      </c>
    </row>
    <row r="15" spans="1:16357" ht="15" customHeight="1">
      <c r="A15" s="21"/>
      <c r="B15" s="22" t="s">
        <v>159</v>
      </c>
      <c r="C15" s="23">
        <f>+'Lokalna država-ek klas '!C11</f>
        <v>9195758.7600000035</v>
      </c>
      <c r="D15" s="41">
        <f t="shared" si="1"/>
        <v>0.1489288174132738</v>
      </c>
      <c r="E15" s="23">
        <f>+'Lokalna država-ek klas '!E11</f>
        <v>8160000</v>
      </c>
      <c r="F15" s="41">
        <f t="shared" si="0"/>
        <v>0.13215430959090466</v>
      </c>
      <c r="G15" s="23">
        <f t="shared" si="2"/>
        <v>1035758.7600000035</v>
      </c>
      <c r="H15" s="98">
        <f t="shared" si="3"/>
        <v>12.693122058823576</v>
      </c>
      <c r="I15" s="23">
        <f>+'Lokalna država-ek klas '!I11</f>
        <v>7440079.6200000001</v>
      </c>
      <c r="J15" s="41">
        <f t="shared" si="4"/>
        <v>0.12834891105567403</v>
      </c>
      <c r="K15" s="23">
        <f t="shared" si="5"/>
        <v>1755679.1400000034</v>
      </c>
      <c r="L15" s="98">
        <f t="shared" si="6"/>
        <v>23.597585371001756</v>
      </c>
      <c r="M15" s="74" t="s">
        <v>160</v>
      </c>
    </row>
    <row r="16" spans="1:16357" ht="15" customHeight="1">
      <c r="A16" s="21">
        <v>7118</v>
      </c>
      <c r="B16" s="22" t="s">
        <v>60</v>
      </c>
      <c r="C16" s="23">
        <f>+'Centralna država-ek klas'!C14</f>
        <v>6370574.7599999998</v>
      </c>
      <c r="D16" s="41">
        <f t="shared" si="1"/>
        <v>0.10317388591973568</v>
      </c>
      <c r="E16" s="23">
        <f>+'Centralna država-ek klas'!E14</f>
        <v>5599912.7107030386</v>
      </c>
      <c r="F16" s="41">
        <f t="shared" si="0"/>
        <v>9.0692720349545536E-2</v>
      </c>
      <c r="G16" s="23">
        <f t="shared" si="2"/>
        <v>770662.04929696117</v>
      </c>
      <c r="H16" s="98">
        <f t="shared" si="3"/>
        <v>13.762036822895567</v>
      </c>
      <c r="I16" s="23">
        <f>+'Centralna država-ek klas'!I14</f>
        <v>5689233.8300000001</v>
      </c>
      <c r="J16" s="41">
        <f t="shared" si="4"/>
        <v>9.8145047380770054E-2</v>
      </c>
      <c r="K16" s="23">
        <f t="shared" si="5"/>
        <v>681340.9299999997</v>
      </c>
      <c r="L16" s="98">
        <f t="shared" si="6"/>
        <v>11.975969882046485</v>
      </c>
      <c r="M16" s="74" t="s">
        <v>86</v>
      </c>
    </row>
    <row r="17" spans="1:16357" ht="15" customHeight="1">
      <c r="A17" s="18">
        <v>712</v>
      </c>
      <c r="B17" s="19" t="s">
        <v>8</v>
      </c>
      <c r="C17" s="20">
        <f>+SUM(C18:C21)</f>
        <v>241408130.23000002</v>
      </c>
      <c r="D17" s="40">
        <f t="shared" si="1"/>
        <v>3.9096966642373596</v>
      </c>
      <c r="E17" s="20">
        <f>+SUM(E18:E21)</f>
        <v>197855880.62212914</v>
      </c>
      <c r="F17" s="40">
        <f t="shared" si="0"/>
        <v>3.2043513850634717</v>
      </c>
      <c r="G17" s="20">
        <f t="shared" si="2"/>
        <v>43552249.607870877</v>
      </c>
      <c r="H17" s="93">
        <f t="shared" si="3"/>
        <v>22.012107737676104</v>
      </c>
      <c r="I17" s="20">
        <f>+SUM(I18:I21)</f>
        <v>192625168.97999996</v>
      </c>
      <c r="J17" s="40">
        <f t="shared" si="4"/>
        <v>3.3229793151727312</v>
      </c>
      <c r="K17" s="20">
        <f t="shared" si="5"/>
        <v>48782961.25000006</v>
      </c>
      <c r="L17" s="93">
        <f t="shared" si="6"/>
        <v>25.325330800911658</v>
      </c>
      <c r="M17" s="73" t="s">
        <v>87</v>
      </c>
    </row>
    <row r="18" spans="1:16357" ht="15" customHeight="1">
      <c r="A18" s="21">
        <v>7121</v>
      </c>
      <c r="B18" s="22" t="s">
        <v>9</v>
      </c>
      <c r="C18" s="23">
        <f>+'Centralna država-ek klas'!C16</f>
        <v>220749150.03</v>
      </c>
      <c r="D18" s="41">
        <f t="shared" si="1"/>
        <v>3.5751166072296185</v>
      </c>
      <c r="E18" s="23">
        <f>+'Centralna država-ek klas'!E16</f>
        <v>182561707.65373453</v>
      </c>
      <c r="F18" s="41">
        <f t="shared" si="0"/>
        <v>2.9566564255779246</v>
      </c>
      <c r="G18" s="23">
        <f t="shared" si="2"/>
        <v>38187442.376265466</v>
      </c>
      <c r="H18" s="98">
        <f t="shared" si="3"/>
        <v>20.917553230108751</v>
      </c>
      <c r="I18" s="23">
        <f>+'Centralna država-ek klas'!I16</f>
        <v>160247207.20999998</v>
      </c>
      <c r="J18" s="41">
        <f t="shared" si="4"/>
        <v>2.7644266722398938</v>
      </c>
      <c r="K18" s="23">
        <f t="shared" si="5"/>
        <v>60501942.820000023</v>
      </c>
      <c r="L18" s="98">
        <f t="shared" si="6"/>
        <v>37.755380498278328</v>
      </c>
      <c r="M18" s="74" t="s">
        <v>88</v>
      </c>
    </row>
    <row r="19" spans="1:16357" ht="15" customHeight="1">
      <c r="A19" s="21">
        <v>7122</v>
      </c>
      <c r="B19" s="22" t="s">
        <v>10</v>
      </c>
      <c r="C19" s="23">
        <f>+'Centralna država-ek klas'!C17</f>
        <v>3062079.09</v>
      </c>
      <c r="D19" s="41">
        <f t="shared" si="1"/>
        <v>4.9591537751433296E-2</v>
      </c>
      <c r="E19" s="23">
        <f>+'Centralna država-ek klas'!E17</f>
        <v>600143.21216464974</v>
      </c>
      <c r="F19" s="41">
        <f t="shared" si="0"/>
        <v>9.7195480219714608E-3</v>
      </c>
      <c r="G19" s="23">
        <f t="shared" si="2"/>
        <v>2461935.8778353501</v>
      </c>
      <c r="H19" s="98">
        <f t="shared" si="3"/>
        <v>410.22473101968808</v>
      </c>
      <c r="I19" s="23">
        <f>+'Centralna država-ek klas'!I17</f>
        <v>19547115.169999998</v>
      </c>
      <c r="J19" s="41">
        <f t="shared" si="4"/>
        <v>0.33720754003830755</v>
      </c>
      <c r="K19" s="23">
        <f t="shared" si="5"/>
        <v>-16485036.079999998</v>
      </c>
      <c r="L19" s="98">
        <f t="shared" si="6"/>
        <v>-84.334879784718638</v>
      </c>
      <c r="M19" s="74" t="s">
        <v>89</v>
      </c>
    </row>
    <row r="20" spans="1:16357" ht="15" customHeight="1">
      <c r="A20" s="21">
        <v>7123</v>
      </c>
      <c r="B20" s="22" t="s">
        <v>11</v>
      </c>
      <c r="C20" s="23">
        <f>+'Centralna država-ek klas'!C18</f>
        <v>10055807.119999999</v>
      </c>
      <c r="D20" s="41">
        <f t="shared" si="1"/>
        <v>0.16285762834839501</v>
      </c>
      <c r="E20" s="23">
        <f>+'Centralna država-ek klas'!E18</f>
        <v>8590954.46321637</v>
      </c>
      <c r="F20" s="41">
        <f t="shared" si="0"/>
        <v>0.13913378134966428</v>
      </c>
      <c r="G20" s="23">
        <f t="shared" si="2"/>
        <v>1464852.6567836292</v>
      </c>
      <c r="H20" s="98">
        <f t="shared" si="3"/>
        <v>17.051104892426622</v>
      </c>
      <c r="I20" s="23">
        <f>+'Centralna država-ek klas'!I18</f>
        <v>7343843.0999999996</v>
      </c>
      <c r="J20" s="41">
        <f t="shared" si="4"/>
        <v>0.12668873358760174</v>
      </c>
      <c r="K20" s="23">
        <f t="shared" si="5"/>
        <v>2711964.0199999996</v>
      </c>
      <c r="L20" s="98">
        <f t="shared" si="6"/>
        <v>36.928403603829707</v>
      </c>
      <c r="M20" s="74" t="s">
        <v>90</v>
      </c>
    </row>
    <row r="21" spans="1:16357" ht="15" customHeight="1">
      <c r="A21" s="21">
        <v>7124</v>
      </c>
      <c r="B21" s="22" t="s">
        <v>12</v>
      </c>
      <c r="C21" s="23">
        <f>+'Centralna država-ek klas'!C19</f>
        <v>7541093.9900000002</v>
      </c>
      <c r="D21" s="41">
        <f t="shared" si="1"/>
        <v>0.12213089090791307</v>
      </c>
      <c r="E21" s="23">
        <f>+'Centralna država-ek klas'!E19</f>
        <v>6103075.2930136044</v>
      </c>
      <c r="F21" s="41">
        <f t="shared" si="0"/>
        <v>9.8841630113911907E-2</v>
      </c>
      <c r="G21" s="23">
        <f t="shared" si="2"/>
        <v>1438018.6969863959</v>
      </c>
      <c r="H21" s="98">
        <f t="shared" si="3"/>
        <v>23.562198202479067</v>
      </c>
      <c r="I21" s="23">
        <f>+'Centralna država-ek klas'!I19</f>
        <v>5487003.5</v>
      </c>
      <c r="J21" s="41">
        <f t="shared" si="4"/>
        <v>9.4656369306928473E-2</v>
      </c>
      <c r="K21" s="23">
        <f t="shared" si="5"/>
        <v>2054090.4900000002</v>
      </c>
      <c r="L21" s="98">
        <f t="shared" si="6"/>
        <v>37.435560046571879</v>
      </c>
      <c r="M21" s="74" t="s">
        <v>91</v>
      </c>
    </row>
    <row r="22" spans="1:16357" ht="15" customHeight="1">
      <c r="A22" s="18">
        <v>713</v>
      </c>
      <c r="B22" s="19" t="s">
        <v>13</v>
      </c>
      <c r="C22" s="20">
        <f>+'Centralna država-ek klas'!C20+'Lokalna država-ek klas '!C12</f>
        <v>8640026.6199999992</v>
      </c>
      <c r="D22" s="40">
        <f t="shared" si="1"/>
        <v>0.13992852362906097</v>
      </c>
      <c r="E22" s="20">
        <f>+'Centralna država-ek klas'!E20+'Lokalna država-ek klas '!E12</f>
        <v>7955953.1508171009</v>
      </c>
      <c r="F22" s="40">
        <f t="shared" si="0"/>
        <v>0.12884969311076183</v>
      </c>
      <c r="G22" s="20">
        <f t="shared" si="2"/>
        <v>684073.46918289829</v>
      </c>
      <c r="H22" s="93">
        <f t="shared" si="3"/>
        <v>8.5982591427482333</v>
      </c>
      <c r="I22" s="20">
        <f>+'Centralna država-ek klas'!I20+'Lokalna država-ek klas '!I12</f>
        <v>7715763.8799999999</v>
      </c>
      <c r="J22" s="40">
        <f t="shared" si="4"/>
        <v>0.1331047438388438</v>
      </c>
      <c r="K22" s="20">
        <f t="shared" si="5"/>
        <v>924262.73999999929</v>
      </c>
      <c r="L22" s="93">
        <f t="shared" si="6"/>
        <v>11.978888343068377</v>
      </c>
      <c r="M22" s="73" t="s">
        <v>92</v>
      </c>
    </row>
    <row r="23" spans="1:16357" ht="15" customHeight="1">
      <c r="A23" s="18">
        <v>714</v>
      </c>
      <c r="B23" s="19" t="s">
        <v>19</v>
      </c>
      <c r="C23" s="20">
        <f>+'Centralna država-ek klas'!C25+'Lokalna država-ek klas '!C19</f>
        <v>65455175.000000007</v>
      </c>
      <c r="D23" s="40">
        <f t="shared" si="1"/>
        <v>1.0600715026074565</v>
      </c>
      <c r="E23" s="20">
        <f>+'Centralna država-ek klas'!E25+'Lokalna država-ek klas '!E19</f>
        <v>56245353.883271024</v>
      </c>
      <c r="F23" s="40">
        <f t="shared" si="0"/>
        <v>0.91091493996811168</v>
      </c>
      <c r="G23" s="20">
        <f t="shared" si="2"/>
        <v>9209821.1167289838</v>
      </c>
      <c r="H23" s="93">
        <f t="shared" si="3"/>
        <v>16.374367802614628</v>
      </c>
      <c r="I23" s="20">
        <f>+'Centralna država-ek klas'!I25+'Lokalna država-ek klas '!I19</f>
        <v>52731542.409999996</v>
      </c>
      <c r="J23" s="40">
        <f t="shared" si="4"/>
        <v>0.90967252936596832</v>
      </c>
      <c r="K23" s="20">
        <f t="shared" si="5"/>
        <v>12723632.590000011</v>
      </c>
      <c r="L23" s="93">
        <f t="shared" si="6"/>
        <v>24.12907343212305</v>
      </c>
      <c r="M23" s="73" t="s">
        <v>97</v>
      </c>
    </row>
    <row r="24" spans="1:16357" ht="15" customHeight="1">
      <c r="A24" s="18">
        <v>715</v>
      </c>
      <c r="B24" s="19" t="s">
        <v>26</v>
      </c>
      <c r="C24" s="20">
        <f>+'Centralna država-ek klas'!C32+'Lokalna država-ek klas '!C30</f>
        <v>119505322.82000001</v>
      </c>
      <c r="D24" s="40">
        <f t="shared" si="1"/>
        <v>1.9354342438376575</v>
      </c>
      <c r="E24" s="20">
        <f>+'Centralna država-ek klas'!E32+'Lokalna država-ek klas '!E30</f>
        <v>55446985.761218101</v>
      </c>
      <c r="F24" s="40">
        <f t="shared" si="0"/>
        <v>0.89798506399148292</v>
      </c>
      <c r="G24" s="20">
        <f t="shared" si="2"/>
        <v>64058337.058781907</v>
      </c>
      <c r="H24" s="93">
        <f t="shared" si="3"/>
        <v>115.53078346701932</v>
      </c>
      <c r="I24" s="20">
        <f>+'Centralna država-ek klas'!I32+'Lokalna država-ek klas '!I30</f>
        <v>19645759.84</v>
      </c>
      <c r="J24" s="40">
        <f t="shared" si="4"/>
        <v>0.33890926053359799</v>
      </c>
      <c r="K24" s="20">
        <f t="shared" si="5"/>
        <v>99859562.980000004</v>
      </c>
      <c r="L24" s="93">
        <f t="shared" si="6"/>
        <v>508.30084350659558</v>
      </c>
      <c r="M24" s="73" t="s">
        <v>104</v>
      </c>
    </row>
    <row r="25" spans="1:16357" ht="15" customHeight="1">
      <c r="A25" s="18">
        <v>73</v>
      </c>
      <c r="B25" s="19" t="s">
        <v>187</v>
      </c>
      <c r="C25" s="20">
        <f>+'Centralna država-ek klas'!C37+'Lokalna država-ek klas '!C35</f>
        <v>0</v>
      </c>
      <c r="D25" s="40">
        <f t="shared" si="1"/>
        <v>0</v>
      </c>
      <c r="E25" s="20">
        <f>+'Centralna država-ek klas'!E37+'Lokalna država-ek klas '!E35</f>
        <v>3883713.6537240706</v>
      </c>
      <c r="F25" s="40">
        <f t="shared" si="0"/>
        <v>6.2898222617239513E-2</v>
      </c>
      <c r="G25" s="20">
        <f t="shared" si="2"/>
        <v>-3883713.6537240706</v>
      </c>
      <c r="H25" s="93">
        <f t="shared" si="3"/>
        <v>-100</v>
      </c>
      <c r="I25" s="20">
        <f>+'Centralna država-ek klas'!I37+'Lokalna država-ek klas '!I35</f>
        <v>0</v>
      </c>
      <c r="J25" s="40">
        <f t="shared" si="4"/>
        <v>0</v>
      </c>
      <c r="K25" s="20">
        <f t="shared" si="5"/>
        <v>0</v>
      </c>
      <c r="L25" s="93" t="e">
        <f t="shared" si="6"/>
        <v>#DIV/0!</v>
      </c>
      <c r="M25" s="73" t="s">
        <v>108</v>
      </c>
    </row>
    <row r="26" spans="1:16357" ht="15" customHeight="1">
      <c r="A26" s="18">
        <v>74</v>
      </c>
      <c r="B26" s="19" t="s">
        <v>183</v>
      </c>
      <c r="C26" s="20">
        <f>+'Centralna država-ek klas'!C38+'Lokalna država-ek klas '!C36</f>
        <v>66811103.43</v>
      </c>
      <c r="D26" s="40">
        <f t="shared" si="1"/>
        <v>1.0820312802448742</v>
      </c>
      <c r="E26" s="20">
        <f>+'Centralna država-ek klas'!E38+'Lokalna država-ek klas '!E36</f>
        <v>53584801.048333332</v>
      </c>
      <c r="F26" s="40">
        <f t="shared" si="0"/>
        <v>0.8678262729299604</v>
      </c>
      <c r="G26" s="20">
        <f t="shared" si="2"/>
        <v>13226302.381666668</v>
      </c>
      <c r="H26" s="93">
        <f t="shared" si="3"/>
        <v>24.682936435159263</v>
      </c>
      <c r="I26" s="20">
        <f>+'Centralna država-ek klas'!I38+'Lokalna država-ek klas '!I36</f>
        <v>43760684.670000002</v>
      </c>
      <c r="J26" s="40">
        <f t="shared" si="4"/>
        <v>0.75491614489539938</v>
      </c>
      <c r="K26" s="20">
        <f t="shared" si="5"/>
        <v>23050418.759999998</v>
      </c>
      <c r="L26" s="93">
        <f t="shared" si="6"/>
        <v>52.673807400006552</v>
      </c>
      <c r="M26" s="73" t="s">
        <v>109</v>
      </c>
    </row>
    <row r="27" spans="1:16357" s="38" customFormat="1" ht="15" customHeight="1">
      <c r="A27" s="35"/>
      <c r="B27" s="36" t="s">
        <v>72</v>
      </c>
      <c r="C27" s="37">
        <f>+C28+C38+C39+C40+C41+C42+C43+C44</f>
        <v>1209437266.78</v>
      </c>
      <c r="D27" s="44">
        <f t="shared" si="1"/>
        <v>19.587297424610501</v>
      </c>
      <c r="E27" s="37">
        <f>+E28+E38+E39+E40+E41+E42+E43+E44</f>
        <v>1388188486.2100003</v>
      </c>
      <c r="F27" s="44">
        <f t="shared" si="0"/>
        <v>22.482241541314423</v>
      </c>
      <c r="G27" s="37">
        <f>+C27-E27</f>
        <v>-178751219.43000031</v>
      </c>
      <c r="H27" s="105">
        <f t="shared" si="3"/>
        <v>-12.876581329241731</v>
      </c>
      <c r="I27" s="37">
        <f>+I28+I38+I39+I40+I41+I42+I43+I44</f>
        <v>1111565746.0436001</v>
      </c>
      <c r="J27" s="44">
        <f t="shared" si="4"/>
        <v>19.175635256371621</v>
      </c>
      <c r="K27" s="37">
        <f t="shared" si="5"/>
        <v>97871520.736399889</v>
      </c>
      <c r="L27" s="105">
        <f t="shared" si="6"/>
        <v>8.8048341796024516</v>
      </c>
      <c r="M27" s="81" t="s">
        <v>110</v>
      </c>
      <c r="N27" s="1"/>
      <c r="O27" s="1"/>
      <c r="P27" s="86"/>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524691127.8599999</v>
      </c>
      <c r="D28" s="40">
        <f t="shared" si="1"/>
        <v>8.4975727635798251</v>
      </c>
      <c r="E28" s="20">
        <f>+SUM(E29:E37)</f>
        <v>560813244.5</v>
      </c>
      <c r="F28" s="40">
        <f t="shared" si="0"/>
        <v>9.0825842078839116</v>
      </c>
      <c r="G28" s="20">
        <f t="shared" si="2"/>
        <v>-36122116.640000105</v>
      </c>
      <c r="H28" s="93">
        <f t="shared" si="3"/>
        <v>-6.4410241723526411</v>
      </c>
      <c r="I28" s="20">
        <f>+SUM(I29:I37)</f>
        <v>440699294.72000009</v>
      </c>
      <c r="J28" s="40">
        <f t="shared" si="4"/>
        <v>7.6025093102855212</v>
      </c>
      <c r="K28" s="20">
        <f t="shared" si="5"/>
        <v>83991833.139999807</v>
      </c>
      <c r="L28" s="93">
        <f t="shared" si="6"/>
        <v>19.058762776864512</v>
      </c>
      <c r="M28" s="73" t="s">
        <v>111</v>
      </c>
    </row>
    <row r="29" spans="1:16357" ht="15" customHeight="1">
      <c r="A29" s="21">
        <v>411</v>
      </c>
      <c r="B29" s="22" t="s">
        <v>30</v>
      </c>
      <c r="C29" s="23">
        <f>+'Centralna država-ek klas'!C41+'Lokalna država-ek klas '!C39</f>
        <v>345945092.06999993</v>
      </c>
      <c r="D29" s="41">
        <f t="shared" si="1"/>
        <v>5.6027125979010775</v>
      </c>
      <c r="E29" s="23">
        <f>+'Centralna država-ek klas'!E41+'Lokalna država-ek klas '!E39</f>
        <v>338270666.99000001</v>
      </c>
      <c r="F29" s="41">
        <f t="shared" si="0"/>
        <v>5.4784223591811614</v>
      </c>
      <c r="G29" s="23">
        <f t="shared" si="2"/>
        <v>7674425.0799999237</v>
      </c>
      <c r="H29" s="98">
        <f t="shared" si="3"/>
        <v>2.268723193851983</v>
      </c>
      <c r="I29" s="23">
        <f>+'Centralna država-ek klas'!I41+'Lokalna država-ek klas '!I39</f>
        <v>289393828.23000002</v>
      </c>
      <c r="J29" s="41">
        <f t="shared" si="4"/>
        <v>4.9923367244224837</v>
      </c>
      <c r="K29" s="23">
        <f t="shared" si="5"/>
        <v>56551263.839999914</v>
      </c>
      <c r="L29" s="98">
        <f t="shared" si="6"/>
        <v>19.541281922244352</v>
      </c>
      <c r="M29" s="74" t="s">
        <v>112</v>
      </c>
    </row>
    <row r="30" spans="1:16357" ht="15" customHeight="1">
      <c r="A30" s="21">
        <v>412</v>
      </c>
      <c r="B30" s="22" t="s">
        <v>31</v>
      </c>
      <c r="C30" s="23">
        <f>+'Centralna država-ek klas'!C42+'Lokalna država-ek klas '!C40</f>
        <v>9641472.1099999975</v>
      </c>
      <c r="D30" s="41">
        <f t="shared" si="1"/>
        <v>0.15614731496777115</v>
      </c>
      <c r="E30" s="23">
        <f>+'Centralna država-ek klas'!E42+'Lokalna država-ek klas '!E40</f>
        <v>11752709.219999999</v>
      </c>
      <c r="F30" s="41">
        <f t="shared" si="0"/>
        <v>0.19033960450879406</v>
      </c>
      <c r="G30" s="23">
        <f t="shared" si="2"/>
        <v>-2111237.1100000013</v>
      </c>
      <c r="H30" s="98">
        <f t="shared" si="3"/>
        <v>-17.963833448778217</v>
      </c>
      <c r="I30" s="23">
        <f>+'Centralna država-ek klas'!I42+'Lokalna država-ek klas '!I40</f>
        <v>8576453.2399999984</v>
      </c>
      <c r="J30" s="41">
        <f t="shared" si="4"/>
        <v>0.14795250727087073</v>
      </c>
      <c r="K30" s="23">
        <f t="shared" si="5"/>
        <v>1065018.8699999992</v>
      </c>
      <c r="L30" s="98">
        <f t="shared" si="6"/>
        <v>12.417940612476301</v>
      </c>
      <c r="M30" s="74" t="s">
        <v>113</v>
      </c>
    </row>
    <row r="31" spans="1:16357" ht="15" customHeight="1">
      <c r="A31" s="21">
        <v>413</v>
      </c>
      <c r="B31" s="22" t="s">
        <v>73</v>
      </c>
      <c r="C31" s="23">
        <f>+'Centralna država-ek klas'!C43+'Lokalna država-ek klas '!C41</f>
        <v>20471983.449999999</v>
      </c>
      <c r="D31" s="41">
        <f t="shared" si="1"/>
        <v>0.33155157338127167</v>
      </c>
      <c r="E31" s="23">
        <f>+'Centralna država-ek klas'!E43+'Lokalna država-ek klas '!E41</f>
        <v>31000105.240000002</v>
      </c>
      <c r="F31" s="41">
        <f t="shared" si="0"/>
        <v>0.50205851779872379</v>
      </c>
      <c r="G31" s="23">
        <f t="shared" si="2"/>
        <v>-10528121.790000003</v>
      </c>
      <c r="H31" s="98">
        <f t="shared" si="3"/>
        <v>-33.961567899503038</v>
      </c>
      <c r="I31" s="23">
        <f>+'Centralna država-ek klas'!I43+'Lokalna država-ek klas '!I41</f>
        <v>18364258.27</v>
      </c>
      <c r="J31" s="41">
        <f t="shared" si="4"/>
        <v>0.31680206015048745</v>
      </c>
      <c r="K31" s="23">
        <f t="shared" si="5"/>
        <v>2107725.1799999997</v>
      </c>
      <c r="L31" s="98">
        <f t="shared" si="6"/>
        <v>11.477322683068536</v>
      </c>
      <c r="M31" s="74" t="s">
        <v>114</v>
      </c>
    </row>
    <row r="32" spans="1:16357" ht="15" customHeight="1">
      <c r="A32" s="21">
        <v>414</v>
      </c>
      <c r="B32" s="22" t="s">
        <v>74</v>
      </c>
      <c r="C32" s="23">
        <f>+'Centralna država-ek klas'!C44+'Lokalna država-ek klas '!C42</f>
        <v>31834636.510000002</v>
      </c>
      <c r="D32" s="41">
        <f t="shared" si="1"/>
        <v>0.51557406973731101</v>
      </c>
      <c r="E32" s="23">
        <f>+'Centralna država-ek klas'!E44+'Lokalna država-ek klas '!E42</f>
        <v>36037376.759999976</v>
      </c>
      <c r="F32" s="41">
        <f t="shared" si="0"/>
        <v>0.58363904965503799</v>
      </c>
      <c r="G32" s="23">
        <f t="shared" si="2"/>
        <v>-4202740.2499999739</v>
      </c>
      <c r="H32" s="98">
        <f t="shared" si="3"/>
        <v>-11.662170301654257</v>
      </c>
      <c r="I32" s="23">
        <f>+'Centralna država-ek klas'!I44+'Lokalna država-ek klas '!I42</f>
        <v>26094507.349999998</v>
      </c>
      <c r="J32" s="41">
        <f t="shared" si="4"/>
        <v>0.45015668836441591</v>
      </c>
      <c r="K32" s="23">
        <f t="shared" si="5"/>
        <v>5740129.1600000039</v>
      </c>
      <c r="L32" s="98">
        <f t="shared" si="6"/>
        <v>21.997461316317995</v>
      </c>
      <c r="M32" s="74" t="s">
        <v>115</v>
      </c>
    </row>
    <row r="33" spans="1:16357" ht="15.75" customHeight="1">
      <c r="A33" s="21">
        <v>415</v>
      </c>
      <c r="B33" s="22" t="s">
        <v>32</v>
      </c>
      <c r="C33" s="23">
        <f>+'Centralna država-ek klas'!C45+'Lokalna država-ek klas '!C43</f>
        <v>11835380.930000002</v>
      </c>
      <c r="D33" s="41">
        <f t="shared" si="1"/>
        <v>0.19167850435655753</v>
      </c>
      <c r="E33" s="23">
        <f>+'Centralna država-ek klas'!E45+'Lokalna država-ek klas '!E43</f>
        <v>19081314.010000002</v>
      </c>
      <c r="F33" s="41">
        <f t="shared" si="0"/>
        <v>0.30902915184789304</v>
      </c>
      <c r="G33" s="23">
        <f t="shared" si="2"/>
        <v>-7245933.0800000001</v>
      </c>
      <c r="H33" s="98">
        <f t="shared" si="3"/>
        <v>-37.973973260974589</v>
      </c>
      <c r="I33" s="23">
        <f>+'Centralna država-ek klas'!I45+'Lokalna država-ek klas '!I43</f>
        <v>11196947.919999998</v>
      </c>
      <c r="J33" s="41">
        <f t="shared" si="4"/>
        <v>0.19315869534728097</v>
      </c>
      <c r="K33" s="23">
        <f t="shared" si="5"/>
        <v>638433.0100000035</v>
      </c>
      <c r="L33" s="98">
        <f t="shared" si="6"/>
        <v>5.7018485265938779</v>
      </c>
      <c r="M33" s="74" t="s">
        <v>116</v>
      </c>
    </row>
    <row r="34" spans="1:16357" ht="15" customHeight="1">
      <c r="A34" s="21">
        <v>416</v>
      </c>
      <c r="B34" s="22" t="s">
        <v>33</v>
      </c>
      <c r="C34" s="23">
        <f>+'Centralna država-ek klas'!C46+'Lokalna država-ek klas '!C44</f>
        <v>50066222.240000002</v>
      </c>
      <c r="D34" s="41">
        <f t="shared" si="1"/>
        <v>0.81084154827843102</v>
      </c>
      <c r="E34" s="23">
        <f>+'Centralna država-ek klas'!E46+'Lokalna država-ek klas '!E44</f>
        <v>49597528.200000003</v>
      </c>
      <c r="F34" s="41">
        <f t="shared" si="0"/>
        <v>0.80325086969196391</v>
      </c>
      <c r="G34" s="23">
        <f t="shared" si="2"/>
        <v>468694.03999999911</v>
      </c>
      <c r="H34" s="98">
        <f t="shared" si="3"/>
        <v>0.94499475479909734</v>
      </c>
      <c r="I34" s="23">
        <f>+'Centralna država-ek klas'!I46+'Lokalna država-ek klas '!I44</f>
        <v>40077765.440000005</v>
      </c>
      <c r="J34" s="41">
        <f t="shared" si="4"/>
        <v>0.69138205697975141</v>
      </c>
      <c r="K34" s="23">
        <f t="shared" si="5"/>
        <v>9988456.799999997</v>
      </c>
      <c r="L34" s="98">
        <f t="shared" si="6"/>
        <v>24.9226889032863</v>
      </c>
      <c r="M34" s="74" t="s">
        <v>117</v>
      </c>
    </row>
    <row r="35" spans="1:16357" ht="15" customHeight="1">
      <c r="A35" s="21">
        <v>417</v>
      </c>
      <c r="B35" s="22" t="s">
        <v>34</v>
      </c>
      <c r="C35" s="23">
        <f>+'Centralna država-ek klas'!C47+'Lokalna država-ek klas '!C45</f>
        <v>5097753.78</v>
      </c>
      <c r="D35" s="41">
        <f t="shared" si="1"/>
        <v>8.2560065105431929E-2</v>
      </c>
      <c r="E35" s="23">
        <f>+'Centralna država-ek klas'!E47+'Lokalna država-ek klas '!E45</f>
        <v>6058498.4499999993</v>
      </c>
      <c r="F35" s="41">
        <f t="shared" si="0"/>
        <v>9.8119691154082839E-2</v>
      </c>
      <c r="G35" s="23">
        <f t="shared" si="2"/>
        <v>-960744.66999999899</v>
      </c>
      <c r="H35" s="98">
        <f t="shared" si="3"/>
        <v>-15.85780169672239</v>
      </c>
      <c r="I35" s="23">
        <f>+'Centralna država-ek klas'!I47+'Lokalna država-ek klas '!I45</f>
        <v>4567928.5</v>
      </c>
      <c r="J35" s="41">
        <f t="shared" si="4"/>
        <v>7.8801394433891614E-2</v>
      </c>
      <c r="K35" s="23">
        <f t="shared" si="5"/>
        <v>529825.28000000026</v>
      </c>
      <c r="L35" s="98">
        <f t="shared" si="6"/>
        <v>11.59880851900374</v>
      </c>
      <c r="M35" s="74" t="s">
        <v>118</v>
      </c>
    </row>
    <row r="36" spans="1:16357" ht="15" customHeight="1">
      <c r="A36" s="21">
        <v>418</v>
      </c>
      <c r="B36" s="22" t="s">
        <v>35</v>
      </c>
      <c r="C36" s="23">
        <f>+'Centralna država-ek klas'!C48+'Lokalna država-ek klas '!C46</f>
        <v>24225105.899999999</v>
      </c>
      <c r="D36" s="41">
        <f t="shared" si="1"/>
        <v>0.39233482168885431</v>
      </c>
      <c r="E36" s="23">
        <f>+'Centralna država-ek klas'!E48+'Lokalna država-ek klas '!E46</f>
        <v>34041495.890000001</v>
      </c>
      <c r="F36" s="41">
        <f t="shared" si="0"/>
        <v>0.55131499838046183</v>
      </c>
      <c r="G36" s="23">
        <f t="shared" si="2"/>
        <v>-9816389.9900000021</v>
      </c>
      <c r="H36" s="98">
        <f t="shared" si="3"/>
        <v>-28.836541207590287</v>
      </c>
      <c r="I36" s="23">
        <f>+'Centralna država-ek klas'!I48+'Lokalna država-ek klas '!I46</f>
        <v>21801728.220000003</v>
      </c>
      <c r="J36" s="41">
        <f t="shared" si="4"/>
        <v>0.37610189931929233</v>
      </c>
      <c r="K36" s="23">
        <f t="shared" si="5"/>
        <v>2423377.679999996</v>
      </c>
      <c r="L36" s="98">
        <f t="shared" si="6"/>
        <v>11.11553017974461</v>
      </c>
      <c r="M36" s="74" t="s">
        <v>119</v>
      </c>
    </row>
    <row r="37" spans="1:16357" ht="15" customHeight="1">
      <c r="A37" s="21">
        <v>419</v>
      </c>
      <c r="B37" s="22" t="s">
        <v>36</v>
      </c>
      <c r="C37" s="23">
        <f>+'Centralna država-ek klas'!C49+'Lokalna država-ek klas '!C47</f>
        <v>25573480.870000005</v>
      </c>
      <c r="D37" s="41">
        <f t="shared" si="1"/>
        <v>0.41417226816311997</v>
      </c>
      <c r="E37" s="23">
        <f>+'Centralna država-ek klas'!E49+'Lokalna država-ek klas '!E47</f>
        <v>34973549.740000002</v>
      </c>
      <c r="F37" s="41">
        <f t="shared" si="0"/>
        <v>0.56640996566579216</v>
      </c>
      <c r="G37" s="23">
        <f t="shared" si="2"/>
        <v>-9400068.8699999973</v>
      </c>
      <c r="H37" s="98">
        <f t="shared" si="3"/>
        <v>-26.87765165355502</v>
      </c>
      <c r="I37" s="23">
        <f>+'Centralna država-ek klas'!I49+'Lokalna država-ek klas '!I47</f>
        <v>20625877.550000001</v>
      </c>
      <c r="J37" s="41">
        <f t="shared" si="4"/>
        <v>0.35581728399704593</v>
      </c>
      <c r="K37" s="23">
        <f t="shared" si="5"/>
        <v>4947603.320000004</v>
      </c>
      <c r="L37" s="98">
        <f t="shared" si="6"/>
        <v>23.987359122084982</v>
      </c>
      <c r="M37" s="74" t="s">
        <v>120</v>
      </c>
    </row>
    <row r="38" spans="1:16357" ht="15" customHeight="1">
      <c r="A38" s="18">
        <v>42</v>
      </c>
      <c r="B38" s="19" t="s">
        <v>37</v>
      </c>
      <c r="C38" s="20">
        <f>+'Centralna država-ek klas'!C50+'Lokalna država-ek klas '!C48</f>
        <v>392175231.83999997</v>
      </c>
      <c r="D38" s="40">
        <f t="shared" si="1"/>
        <v>6.3514273287338439</v>
      </c>
      <c r="E38" s="20">
        <f>+'Centralna država-ek klas'!E50+'Lokalna država-ek klas '!E48</f>
        <v>388369388.96000004</v>
      </c>
      <c r="F38" s="40">
        <f t="shared" si="0"/>
        <v>6.2897902529718523</v>
      </c>
      <c r="G38" s="20">
        <f t="shared" si="2"/>
        <v>3805842.8799999356</v>
      </c>
      <c r="H38" s="93">
        <f t="shared" si="3"/>
        <v>0.97995439089353908</v>
      </c>
      <c r="I38" s="20">
        <f>+'Centralna država-ek klas'!I50+'Lokalna država-ek klas '!I48</f>
        <v>296979927.29999989</v>
      </c>
      <c r="J38" s="40">
        <f t="shared" si="4"/>
        <v>5.1232046189242562</v>
      </c>
      <c r="K38" s="20">
        <f t="shared" si="5"/>
        <v>95195304.540000081</v>
      </c>
      <c r="L38" s="93">
        <f t="shared" si="6"/>
        <v>32.054457486561603</v>
      </c>
      <c r="M38" s="73" t="s">
        <v>121</v>
      </c>
    </row>
    <row r="39" spans="1:16357" ht="15" customHeight="1">
      <c r="A39" s="18">
        <v>43</v>
      </c>
      <c r="B39" s="19" t="s">
        <v>43</v>
      </c>
      <c r="C39" s="20">
        <f>+'Centralna država-ek klas'!C56+'Lokalna država-ek klas '!C49</f>
        <v>182382771.88</v>
      </c>
      <c r="D39" s="40">
        <f t="shared" si="1"/>
        <v>2.9537584925339293</v>
      </c>
      <c r="E39" s="20">
        <f>+'Centralna država-ek klas'!E56+'Lokalna država-ek klas '!E49</f>
        <v>191696180.66000003</v>
      </c>
      <c r="F39" s="40">
        <f t="shared" si="0"/>
        <v>3.1045926968548572</v>
      </c>
      <c r="G39" s="20">
        <f t="shared" si="2"/>
        <v>-9313408.780000031</v>
      </c>
      <c r="H39" s="93">
        <f t="shared" si="3"/>
        <v>-4.8584216690882585</v>
      </c>
      <c r="I39" s="20">
        <f>+'Centralna država-ek klas'!I56+'Lokalna država-ek klas '!I49</f>
        <v>173767433.22</v>
      </c>
      <c r="J39" s="40">
        <f t="shared" si="4"/>
        <v>2.9976642683733212</v>
      </c>
      <c r="K39" s="20">
        <f t="shared" si="5"/>
        <v>8615338.6599999964</v>
      </c>
      <c r="L39" s="93">
        <f t="shared" si="6"/>
        <v>4.9579708351290748</v>
      </c>
      <c r="M39" s="73" t="s">
        <v>127</v>
      </c>
    </row>
    <row r="40" spans="1:16357" ht="15" customHeight="1">
      <c r="A40" s="18">
        <v>44</v>
      </c>
      <c r="B40" s="19" t="s">
        <v>65</v>
      </c>
      <c r="C40" s="20">
        <f>+'Centralna država-ek klas'!C57+'Lokalna država-ek klas '!C50</f>
        <v>71038439.549999997</v>
      </c>
      <c r="D40" s="40">
        <f t="shared" si="1"/>
        <v>1.1504945996501796</v>
      </c>
      <c r="E40" s="20">
        <f>+'Centralna država-ek klas'!E57+'Lokalna država-ek klas '!E50</f>
        <v>199215295.66</v>
      </c>
      <c r="F40" s="40">
        <f t="shared" si="0"/>
        <v>3.2263676296440251</v>
      </c>
      <c r="G40" s="20">
        <f t="shared" si="2"/>
        <v>-128176856.11</v>
      </c>
      <c r="H40" s="93">
        <f t="shared" si="3"/>
        <v>-64.340870858008287</v>
      </c>
      <c r="I40" s="20">
        <f>+'Centralna država-ek klas'!I57+'Lokalna država-ek klas '!I50</f>
        <v>147127805.06999999</v>
      </c>
      <c r="J40" s="40">
        <f t="shared" si="4"/>
        <v>2.5381036939421859</v>
      </c>
      <c r="K40" s="20">
        <f t="shared" si="5"/>
        <v>-76089365.519999996</v>
      </c>
      <c r="L40" s="93">
        <f t="shared" si="6"/>
        <v>-51.716509658931187</v>
      </c>
      <c r="M40" s="73" t="s">
        <v>128</v>
      </c>
      <c r="O40" s="91"/>
    </row>
    <row r="41" spans="1:16357" ht="15" customHeight="1">
      <c r="A41" s="18">
        <v>45</v>
      </c>
      <c r="B41" s="19" t="s">
        <v>44</v>
      </c>
      <c r="C41" s="20">
        <f>+'Centralna država-ek klas'!C58+'Lokalna država-ek klas '!C51</f>
        <v>0</v>
      </c>
      <c r="D41" s="40">
        <f t="shared" si="1"/>
        <v>0</v>
      </c>
      <c r="E41" s="20">
        <f>+'Centralna država-ek klas'!E58+'Lokalna država-ek klas '!E51</f>
        <v>3767107</v>
      </c>
      <c r="F41" s="40">
        <f t="shared" si="0"/>
        <v>6.1009733424027462E-2</v>
      </c>
      <c r="G41" s="20">
        <f t="shared" si="2"/>
        <v>-3767107</v>
      </c>
      <c r="H41" s="93">
        <f t="shared" si="3"/>
        <v>-100</v>
      </c>
      <c r="I41" s="20">
        <f>+'Centralna država-ek klas'!I58+'Lokalna država-ek klas '!I51</f>
        <v>0</v>
      </c>
      <c r="J41" s="40">
        <f t="shared" si="4"/>
        <v>0</v>
      </c>
      <c r="K41" s="20">
        <f t="shared" si="5"/>
        <v>0</v>
      </c>
      <c r="L41" s="93" t="e">
        <f t="shared" si="6"/>
        <v>#DIV/0!</v>
      </c>
      <c r="M41" s="73" t="s">
        <v>129</v>
      </c>
    </row>
    <row r="42" spans="1:16357" ht="15" customHeight="1">
      <c r="A42" s="18">
        <v>462</v>
      </c>
      <c r="B42" s="19" t="s">
        <v>45</v>
      </c>
      <c r="C42" s="20">
        <f>+'Centralna država-ek klas'!C59+'Lokalna država-ek klas '!C52</f>
        <v>1168915.48</v>
      </c>
      <c r="D42" s="40">
        <f t="shared" si="1"/>
        <v>1.8931031645774626E-2</v>
      </c>
      <c r="E42" s="20">
        <f>+'Centralna država-ek klas'!E59+'Lokalna država-ek klas '!E52</f>
        <v>0.96000000000000008</v>
      </c>
      <c r="F42" s="40">
        <f t="shared" si="0"/>
        <v>1.554756583422408E-8</v>
      </c>
      <c r="G42" s="20">
        <f t="shared" si="2"/>
        <v>1168914.52</v>
      </c>
      <c r="H42" s="108">
        <f t="shared" si="3"/>
        <v>121761929.16666666</v>
      </c>
      <c r="I42" s="20">
        <f>+'Centralna država-ek klas'!I59+'Lokalna država-ek klas '!I52</f>
        <v>500000</v>
      </c>
      <c r="J42" s="40">
        <f t="shared" si="4"/>
        <v>8.6255065544361756E-3</v>
      </c>
      <c r="K42" s="20">
        <f t="shared" si="5"/>
        <v>668915.48</v>
      </c>
      <c r="L42" s="93">
        <f t="shared" si="6"/>
        <v>133.78309599999997</v>
      </c>
      <c r="M42" s="73" t="s">
        <v>130</v>
      </c>
    </row>
    <row r="43" spans="1:16357" ht="15" customHeight="1">
      <c r="A43" s="18">
        <v>463</v>
      </c>
      <c r="B43" s="19" t="s">
        <v>46</v>
      </c>
      <c r="C43" s="20">
        <f>+'Centralna država-ek klas'!C60+'Lokalna država-ek klas '!C53</f>
        <v>30076291.41</v>
      </c>
      <c r="D43" s="40">
        <f t="shared" si="1"/>
        <v>0.48709700077737828</v>
      </c>
      <c r="E43" s="20">
        <f>+'Centralna država-ek klas'!E60+'Lokalna država-ek klas '!E53</f>
        <v>23957253.130000025</v>
      </c>
      <c r="F43" s="40">
        <f t="shared" si="0"/>
        <v>0.38799684400608991</v>
      </c>
      <c r="G43" s="20">
        <f t="shared" si="2"/>
        <v>6119038.2799999751</v>
      </c>
      <c r="H43" s="93">
        <f t="shared" si="3"/>
        <v>25.541485272940264</v>
      </c>
      <c r="I43" s="20">
        <f>+'Centralna država-ek klas'!I60+'Lokalna država-ek klas '!I53</f>
        <v>45690145.313599996</v>
      </c>
      <c r="J43" s="40">
        <f t="shared" si="4"/>
        <v>0.78820129575119613</v>
      </c>
      <c r="K43" s="20">
        <f t="shared" si="5"/>
        <v>-15613853.903599996</v>
      </c>
      <c r="L43" s="93">
        <f t="shared" si="6"/>
        <v>-34.173351379017006</v>
      </c>
      <c r="M43" s="73" t="s">
        <v>131</v>
      </c>
    </row>
    <row r="44" spans="1:16357" ht="15" customHeight="1">
      <c r="A44" s="18">
        <v>47</v>
      </c>
      <c r="B44" s="19" t="s">
        <v>47</v>
      </c>
      <c r="C44" s="20">
        <f>+'Centralna država-ek klas'!C61+'Lokalna država-ek klas '!C54</f>
        <v>7904488.7599999998</v>
      </c>
      <c r="D44" s="40">
        <f t="shared" si="1"/>
        <v>0.12801620768956692</v>
      </c>
      <c r="E44" s="20">
        <f>+'Centralna država-ek klas'!E61+'Lokalna država-ek klas '!E54</f>
        <v>20370015.34</v>
      </c>
      <c r="F44" s="40">
        <f t="shared" si="0"/>
        <v>0.32990016098208791</v>
      </c>
      <c r="G44" s="20">
        <f t="shared" si="2"/>
        <v>-12465526.58</v>
      </c>
      <c r="H44" s="93">
        <f t="shared" si="3"/>
        <v>-61.195469772287368</v>
      </c>
      <c r="I44" s="20">
        <f>+'Centralna država-ek klas'!I61+'Lokalna država-ek klas '!I54</f>
        <v>6801140.419999999</v>
      </c>
      <c r="J44" s="40">
        <f t="shared" si="4"/>
        <v>0.11732656254070159</v>
      </c>
      <c r="K44" s="20">
        <f t="shared" si="5"/>
        <v>1103348.3400000008</v>
      </c>
      <c r="L44" s="93">
        <f t="shared" si="6"/>
        <v>16.222990143761805</v>
      </c>
      <c r="M44" s="73" t="s">
        <v>132</v>
      </c>
      <c r="Q44" s="107"/>
    </row>
    <row r="45" spans="1:16357" s="38" customFormat="1" ht="15" customHeight="1">
      <c r="A45" s="35"/>
      <c r="B45" s="36" t="s">
        <v>77</v>
      </c>
      <c r="C45" s="37">
        <f>+C6-C27</f>
        <v>172878189.68000007</v>
      </c>
      <c r="D45" s="44">
        <f t="shared" si="1"/>
        <v>2.7998281618242489</v>
      </c>
      <c r="E45" s="37">
        <f>+E6-E27</f>
        <v>-216875793.49406075</v>
      </c>
      <c r="F45" s="44">
        <f t="shared" si="0"/>
        <v>-3.5123861220817663</v>
      </c>
      <c r="G45" s="37">
        <f>C45-E45</f>
        <v>389753983.17406082</v>
      </c>
      <c r="H45" s="105">
        <f t="shared" si="3"/>
        <v>-179.71299465688614</v>
      </c>
      <c r="I45" s="37">
        <f>+I6-I27</f>
        <v>-81341116.083600044</v>
      </c>
      <c r="J45" s="44">
        <f t="shared" si="4"/>
        <v>-1.4032166598484921</v>
      </c>
      <c r="K45" s="37">
        <f t="shared" si="5"/>
        <v>254219305.76360011</v>
      </c>
      <c r="L45" s="105">
        <f t="shared" si="6"/>
        <v>-312.53481388467901</v>
      </c>
      <c r="M45" s="81" t="s">
        <v>134</v>
      </c>
      <c r="N45" s="1"/>
      <c r="O45" s="1"/>
      <c r="P45" s="107"/>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93" t="e">
        <f t="shared" si="3"/>
        <v>#DIV/0!</v>
      </c>
      <c r="I46" s="20">
        <f>+'Centralna država-ek klas'!I63+'Lokalna država-ek klas '!I56</f>
        <v>0</v>
      </c>
      <c r="J46" s="40">
        <f t="shared" si="4"/>
        <v>0</v>
      </c>
      <c r="K46" s="20">
        <f t="shared" si="5"/>
        <v>0</v>
      </c>
      <c r="L46" s="93" t="e">
        <f t="shared" si="6"/>
        <v>#DIV/0!</v>
      </c>
      <c r="M46" s="73" t="s">
        <v>133</v>
      </c>
    </row>
    <row r="47" spans="1:16357" s="38" customFormat="1" ht="15" hidden="1" customHeight="1">
      <c r="A47" s="35"/>
      <c r="B47" s="36" t="s">
        <v>59</v>
      </c>
      <c r="C47" s="37">
        <f>+C45-C46</f>
        <v>172878189.68000007</v>
      </c>
      <c r="D47" s="44">
        <f t="shared" si="1"/>
        <v>2.7998281618242489</v>
      </c>
      <c r="E47" s="37">
        <f>+E45-E46</f>
        <v>-216875793.49406075</v>
      </c>
      <c r="F47" s="44">
        <f t="shared" si="0"/>
        <v>-3.5123861220817663</v>
      </c>
      <c r="G47" s="37">
        <f t="shared" si="2"/>
        <v>389753983.17406082</v>
      </c>
      <c r="H47" s="105">
        <f t="shared" si="3"/>
        <v>-179.71299465688614</v>
      </c>
      <c r="I47" s="37">
        <f>+I45-I46</f>
        <v>-81341116.083600044</v>
      </c>
      <c r="J47" s="44">
        <f t="shared" si="4"/>
        <v>-1.4032166598484921</v>
      </c>
      <c r="K47" s="37">
        <f t="shared" si="5"/>
        <v>254219305.76360011</v>
      </c>
      <c r="L47" s="105">
        <f t="shared" si="6"/>
        <v>-312.53481388467901</v>
      </c>
      <c r="M47" s="81"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222944411.92000008</v>
      </c>
      <c r="D48" s="44">
        <f t="shared" si="1"/>
        <v>3.6106697101026799</v>
      </c>
      <c r="E48" s="37">
        <f>+E47+E34</f>
        <v>-167278265.29406077</v>
      </c>
      <c r="F48" s="44">
        <f t="shared" si="0"/>
        <v>-2.7091352523898027</v>
      </c>
      <c r="G48" s="37">
        <f>+C48-E48</f>
        <v>390222677.21406084</v>
      </c>
      <c r="H48" s="105">
        <f t="shared" si="3"/>
        <v>-233.2775728682283</v>
      </c>
      <c r="I48" s="37">
        <f>+I47+I34</f>
        <v>-41263350.643600039</v>
      </c>
      <c r="J48" s="44">
        <f t="shared" si="4"/>
        <v>-0.71183460286874067</v>
      </c>
      <c r="K48" s="37">
        <f t="shared" si="5"/>
        <v>264207762.56360012</v>
      </c>
      <c r="L48" s="105">
        <f t="shared" si="6"/>
        <v>-640.29643362124511</v>
      </c>
      <c r="M48" s="81"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243916629.23000002</v>
      </c>
      <c r="D49" s="44">
        <f t="shared" si="1"/>
        <v>3.9503227614744278</v>
      </c>
      <c r="E49" s="37">
        <f>+E6-(E27-E40)</f>
        <v>-17660497.834060669</v>
      </c>
      <c r="F49" s="44">
        <f t="shared" si="0"/>
        <v>-0.28601849243773958</v>
      </c>
      <c r="G49" s="37">
        <f t="shared" si="2"/>
        <v>261577127.06406069</v>
      </c>
      <c r="H49" s="105">
        <f t="shared" si="3"/>
        <v>-1481.142431667887</v>
      </c>
      <c r="I49" s="37">
        <f>+I6-(I27-I40)</f>
        <v>65786688.986399889</v>
      </c>
      <c r="J49" s="44">
        <f t="shared" si="4"/>
        <v>1.1348870340936927</v>
      </c>
      <c r="K49" s="37">
        <f t="shared" si="5"/>
        <v>178129940.24360013</v>
      </c>
      <c r="L49" s="105">
        <f t="shared" si="6"/>
        <v>270.76897011859802</v>
      </c>
      <c r="M49" s="81"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166436656.09999999</v>
      </c>
      <c r="D50" s="44">
        <f t="shared" si="1"/>
        <v>2.6955050707738151</v>
      </c>
      <c r="E50" s="37">
        <f>+E51+E52+E53</f>
        <v>167800444.93000001</v>
      </c>
      <c r="F50" s="44">
        <f t="shared" si="0"/>
        <v>2.7175921505846534</v>
      </c>
      <c r="G50" s="37">
        <f t="shared" si="2"/>
        <v>-1363788.8300000131</v>
      </c>
      <c r="H50" s="105">
        <f t="shared" si="3"/>
        <v>-0.81274446594521521</v>
      </c>
      <c r="I50" s="37">
        <f>+I51+I52+I53</f>
        <v>167594294.67000002</v>
      </c>
      <c r="J50" s="44">
        <f t="shared" si="4"/>
        <v>2.8911713743243861</v>
      </c>
      <c r="K50" s="37">
        <f t="shared" si="5"/>
        <v>-1157638.5700000226</v>
      </c>
      <c r="L50" s="105">
        <f t="shared" si="6"/>
        <v>-0.69073865090662423</v>
      </c>
      <c r="M50" s="81"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61407632.799999997</v>
      </c>
      <c r="D51" s="41">
        <f t="shared" si="1"/>
        <v>0.99452001425193537</v>
      </c>
      <c r="E51" s="23">
        <f>+'Centralna država-ek klas'!E68+'Lokalna država-ek klas '!E61</f>
        <v>62311776.730000004</v>
      </c>
      <c r="F51" s="41">
        <f t="shared" si="0"/>
        <v>1.0091629697470283</v>
      </c>
      <c r="G51" s="23">
        <f t="shared" si="2"/>
        <v>-904143.93000000715</v>
      </c>
      <c r="H51" s="98">
        <f t="shared" si="3"/>
        <v>-1.4510000796762768</v>
      </c>
      <c r="I51" s="23">
        <f>+'Centralna država-ek klas'!I68+'Lokalna država-ek klas '!I61</f>
        <v>25548728.829999998</v>
      </c>
      <c r="J51" s="41">
        <f t="shared" si="4"/>
        <v>0.44074145596135494</v>
      </c>
      <c r="K51" s="23">
        <f t="shared" si="5"/>
        <v>35858903.969999999</v>
      </c>
      <c r="L51" s="98">
        <f t="shared" si="6"/>
        <v>140.35494371795721</v>
      </c>
      <c r="M51" s="74" t="s">
        <v>139</v>
      </c>
    </row>
    <row r="52" spans="1:16357" ht="15" customHeight="1">
      <c r="A52" s="21">
        <v>4612</v>
      </c>
      <c r="B52" s="22" t="s">
        <v>53</v>
      </c>
      <c r="C52" s="23">
        <f>+'Centralna država-ek klas'!C69+'Lokalna država-ek klas '!C62</f>
        <v>105029023.3</v>
      </c>
      <c r="D52" s="41">
        <f t="shared" si="1"/>
        <v>1.7009850565218798</v>
      </c>
      <c r="E52" s="23">
        <f>+'Centralna država-ek klas'!E69+'Lokalna država-ek klas '!E62</f>
        <v>105488668.2</v>
      </c>
      <c r="F52" s="41">
        <f t="shared" si="0"/>
        <v>1.7084291808376253</v>
      </c>
      <c r="G52" s="23">
        <f t="shared" si="2"/>
        <v>-459644.90000000596</v>
      </c>
      <c r="H52" s="98">
        <f t="shared" si="3"/>
        <v>-0.43572917152442869</v>
      </c>
      <c r="I52" s="23">
        <f>+'Centralna država-ek klas'!I69+'Lokalna država-ek klas '!I62</f>
        <v>142045565.84</v>
      </c>
      <c r="J52" s="41">
        <f t="shared" si="4"/>
        <v>2.4504299183630307</v>
      </c>
      <c r="K52" s="23">
        <f t="shared" si="5"/>
        <v>-37016542.540000007</v>
      </c>
      <c r="L52" s="98">
        <f t="shared" si="6"/>
        <v>-26.059625530088994</v>
      </c>
      <c r="M52" s="74"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93" t="e">
        <f t="shared" ref="H53" si="10">+C53/E53*100-100</f>
        <v>#DIV/0!</v>
      </c>
      <c r="I53" s="20">
        <f>+'Lokalna država-ek klas '!I63</f>
        <v>0</v>
      </c>
      <c r="J53" s="40">
        <f t="shared" ref="J53" si="11">+I53/$I$2*100</f>
        <v>0</v>
      </c>
      <c r="K53" s="20">
        <f t="shared" ref="K53" si="12">+C53-I53</f>
        <v>0</v>
      </c>
      <c r="L53" s="93" t="e">
        <f t="shared" ref="L53" si="13">+C53/I53*100-100</f>
        <v>#DIV/0!</v>
      </c>
      <c r="M53" s="73" t="s">
        <v>131</v>
      </c>
    </row>
    <row r="54" spans="1:16357" s="38" customFormat="1" ht="15" customHeight="1">
      <c r="A54" s="35">
        <v>4418</v>
      </c>
      <c r="B54" s="36" t="s">
        <v>63</v>
      </c>
      <c r="C54" s="37">
        <f>+'Centralna država-ek klas'!C70+'Lokalna država-ek klas '!C64</f>
        <v>614939.4</v>
      </c>
      <c r="D54" s="44">
        <f t="shared" si="1"/>
        <v>9.9591779224565153E-3</v>
      </c>
      <c r="E54" s="37">
        <f>+'Centralna država-ek klas'!E70+'Lokalna država-ek klas '!E64</f>
        <v>719000</v>
      </c>
      <c r="F54" s="44">
        <f t="shared" ref="F54:F63" si="14">+E54/$E$2*100</f>
        <v>1.1644478994590743E-2</v>
      </c>
      <c r="G54" s="37">
        <f t="shared" si="2"/>
        <v>-104060.59999999998</v>
      </c>
      <c r="H54" s="105">
        <f t="shared" si="3"/>
        <v>-14.472962447844225</v>
      </c>
      <c r="I54" s="37">
        <f>+'Centralna država-ek klas'!I70+'Lokalna država-ek klas '!I64</f>
        <v>0</v>
      </c>
      <c r="J54" s="44">
        <f t="shared" si="4"/>
        <v>0</v>
      </c>
      <c r="K54" s="37">
        <f t="shared" si="5"/>
        <v>614939.4</v>
      </c>
      <c r="L54" s="105" t="e">
        <f t="shared" si="6"/>
        <v>#DIV/0!</v>
      </c>
      <c r="M54" s="81"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7018053.8599999994</v>
      </c>
      <c r="D55" s="44">
        <f t="shared" si="1"/>
        <v>0.11366005668383375</v>
      </c>
      <c r="E55" s="37">
        <f>+'Centralna država-ek klas'!E71+'Lokalna država-ek klas '!E65</f>
        <v>0</v>
      </c>
      <c r="F55" s="44">
        <f t="shared" si="14"/>
        <v>0</v>
      </c>
      <c r="G55" s="37">
        <f t="shared" si="2"/>
        <v>7018053.8599999994</v>
      </c>
      <c r="H55" s="105" t="e">
        <f t="shared" si="3"/>
        <v>#DIV/0!</v>
      </c>
      <c r="I55" s="37">
        <f>+'Centralna država-ek klas'!I71+'Lokalna država-ek klas '!I65</f>
        <v>9740320.0500000007</v>
      </c>
      <c r="J55" s="44">
        <f t="shared" si="4"/>
        <v>0.16803038886716221</v>
      </c>
      <c r="K55" s="37">
        <f t="shared" si="5"/>
        <v>-2722266.1900000013</v>
      </c>
      <c r="L55" s="105">
        <f t="shared" si="6"/>
        <v>-27.948426499599478</v>
      </c>
      <c r="M55" s="81"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-1191459.6799999271</v>
      </c>
      <c r="D56" s="44">
        <f t="shared" si="1"/>
        <v>-1.9296143555856689E-2</v>
      </c>
      <c r="E56" s="37">
        <f>+E47-E50-E54-E55</f>
        <v>-385395238.42406076</v>
      </c>
      <c r="F56" s="44">
        <f t="shared" si="14"/>
        <v>-6.2416227516610103</v>
      </c>
      <c r="G56" s="37">
        <f t="shared" ref="G56:G63" si="15">+C56-E56</f>
        <v>384203778.74406081</v>
      </c>
      <c r="H56" s="105">
        <f t="shared" ref="H56:H63" si="16">+C56/E56*100-100</f>
        <v>-99.690847327312085</v>
      </c>
      <c r="I56" s="37">
        <f>+I47-I50-I54-I55</f>
        <v>-258675730.80360007</v>
      </c>
      <c r="J56" s="44">
        <f t="shared" si="4"/>
        <v>-4.4624184230400408</v>
      </c>
      <c r="K56" s="37">
        <f t="shared" ref="K56:K63" si="17">+C56-I56</f>
        <v>257484271.12360016</v>
      </c>
      <c r="L56" s="105">
        <f t="shared" ref="L56:L63" si="18">+C56/I56*100-100</f>
        <v>-99.539400284557601</v>
      </c>
      <c r="M56" s="81"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1191459.6799999326</v>
      </c>
      <c r="D57" s="44">
        <f t="shared" ref="D57:D63" si="19">+C57/$C$2*100</f>
        <v>1.9296143555856779E-2</v>
      </c>
      <c r="E57" s="37">
        <f>+SUM(E58:E63)+E46</f>
        <v>385395238.42406076</v>
      </c>
      <c r="F57" s="44">
        <f t="shared" si="14"/>
        <v>6.2416227516610103</v>
      </c>
      <c r="G57" s="37">
        <f t="shared" si="15"/>
        <v>-384203778.74406081</v>
      </c>
      <c r="H57" s="105">
        <f t="shared" si="16"/>
        <v>-99.690847327312085</v>
      </c>
      <c r="I57" s="37">
        <f>+SUM(I58:I63)+I46</f>
        <v>258675730.80360007</v>
      </c>
      <c r="J57" s="44">
        <f t="shared" ref="J57:J63" si="20">+I57/$I$2*100</f>
        <v>4.4624184230400408</v>
      </c>
      <c r="K57" s="37">
        <f t="shared" si="17"/>
        <v>-257484271.12360013</v>
      </c>
      <c r="L57" s="105">
        <f t="shared" si="18"/>
        <v>-99.539400284557601</v>
      </c>
      <c r="M57" s="81"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1399622</v>
      </c>
      <c r="D58" s="41">
        <f t="shared" si="19"/>
        <v>2.2667411654196223E-2</v>
      </c>
      <c r="E58" s="23">
        <f>+'Centralna država-ek klas'!E74+'Lokalna država-ek klas '!E68</f>
        <v>101530000</v>
      </c>
      <c r="F58" s="41">
        <f t="shared" si="14"/>
        <v>1.6443170407799697</v>
      </c>
      <c r="G58" s="23">
        <f t="shared" si="15"/>
        <v>-100130378</v>
      </c>
      <c r="H58" s="98">
        <f t="shared" si="16"/>
        <v>-98.621469516399088</v>
      </c>
      <c r="I58" s="23">
        <f>+'Centralna država-ek klas'!I74+'Lokalna država-ek klas '!I68</f>
        <v>2742301.8000000003</v>
      </c>
      <c r="J58" s="41">
        <f t="shared" si="20"/>
        <v>4.7307484300284246E-2</v>
      </c>
      <c r="K58" s="23">
        <f t="shared" si="17"/>
        <v>-1342679.8000000003</v>
      </c>
      <c r="L58" s="98">
        <f t="shared" si="18"/>
        <v>-48.961780938917819</v>
      </c>
      <c r="M58" s="74" t="s">
        <v>144</v>
      </c>
    </row>
    <row r="59" spans="1:16357" ht="15" customHeight="1">
      <c r="A59" s="21">
        <v>7512</v>
      </c>
      <c r="B59" s="22" t="s">
        <v>49</v>
      </c>
      <c r="C59" s="23">
        <f>+'Centralna država-ek klas'!C75+'Lokalna država-ek klas '!C69</f>
        <v>111995010.57999998</v>
      </c>
      <c r="D59" s="41">
        <f t="shared" si="19"/>
        <v>1.813801875101221</v>
      </c>
      <c r="E59" s="23">
        <f>+'Centralna država-ek klas'!E75+'Lokalna država-ek klas '!E69</f>
        <v>3774000</v>
      </c>
      <c r="F59" s="41">
        <f t="shared" si="14"/>
        <v>6.1121368185793418E-2</v>
      </c>
      <c r="G59" s="23">
        <f t="shared" si="15"/>
        <v>108221010.57999998</v>
      </c>
      <c r="H59" s="98">
        <f t="shared" si="16"/>
        <v>2867.5413508214092</v>
      </c>
      <c r="I59" s="23">
        <f>+'Centralna država-ek klas'!I75+'Lokalna država-ek klas '!I69</f>
        <v>75321588.690000013</v>
      </c>
      <c r="J59" s="41">
        <f t="shared" si="20"/>
        <v>1.2993737138722816</v>
      </c>
      <c r="K59" s="23">
        <f t="shared" si="17"/>
        <v>36673421.889999971</v>
      </c>
      <c r="L59" s="98">
        <f t="shared" si="18"/>
        <v>48.68912423095091</v>
      </c>
      <c r="M59" s="74" t="s">
        <v>145</v>
      </c>
    </row>
    <row r="60" spans="1:16357" ht="15" customHeight="1">
      <c r="A60" s="18">
        <v>72</v>
      </c>
      <c r="B60" s="19" t="s">
        <v>172</v>
      </c>
      <c r="C60" s="20">
        <f>+'Centralna država-ek klas'!C76+'Lokalna država-ek klas '!C70</f>
        <v>3916712.1900000004</v>
      </c>
      <c r="D60" s="40">
        <f t="shared" si="19"/>
        <v>6.3432646487221842E-2</v>
      </c>
      <c r="E60" s="20">
        <f>+'Centralna država-ek klas'!E76+'Lokalna država-ek klas '!E70</f>
        <v>10843500</v>
      </c>
      <c r="F60" s="40">
        <f t="shared" si="14"/>
        <v>0.17561461471188416</v>
      </c>
      <c r="G60" s="20">
        <f t="shared" si="15"/>
        <v>-6926787.8099999996</v>
      </c>
      <c r="H60" s="93">
        <f t="shared" si="16"/>
        <v>-63.879631207635903</v>
      </c>
      <c r="I60" s="20">
        <f>+'Centralna država-ek klas'!I76+'Lokalna država-ek klas '!I70</f>
        <v>17302789.479999997</v>
      </c>
      <c r="J60" s="40">
        <f t="shared" si="20"/>
        <v>0.29849064813953857</v>
      </c>
      <c r="K60" s="20">
        <f t="shared" si="17"/>
        <v>-13386077.289999995</v>
      </c>
      <c r="L60" s="93">
        <f t="shared" si="18"/>
        <v>-77.36369505895415</v>
      </c>
      <c r="M60" s="73" t="s">
        <v>146</v>
      </c>
    </row>
    <row r="61" spans="1:16357" ht="15" customHeight="1">
      <c r="A61" s="28">
        <v>73</v>
      </c>
      <c r="B61" s="19" t="s">
        <v>187</v>
      </c>
      <c r="C61" s="20">
        <f>+'Centralna država-ek klas'!C77+'Lokalna država-ek klas '!C71</f>
        <v>8497160.370000001</v>
      </c>
      <c r="D61" s="40">
        <f t="shared" si="19"/>
        <v>0.13761475026722381</v>
      </c>
      <c r="E61" s="20">
        <f>+'Centralna država-ek klas'!E77+'Lokalna država-ek klas '!E71</f>
        <v>0</v>
      </c>
      <c r="F61" s="40">
        <f t="shared" si="14"/>
        <v>0</v>
      </c>
      <c r="G61" s="20">
        <f t="shared" si="15"/>
        <v>8497160.370000001</v>
      </c>
      <c r="H61" s="93" t="e">
        <f t="shared" si="16"/>
        <v>#DIV/0!</v>
      </c>
      <c r="I61" s="20">
        <f>+'Centralna država-ek klas'!I77+'Lokalna država-ek klas '!I71</f>
        <v>10805541.190000001</v>
      </c>
      <c r="J61" s="40">
        <f t="shared" si="20"/>
        <v>0.18640653271715019</v>
      </c>
      <c r="K61" s="20">
        <f t="shared" si="17"/>
        <v>-2308380.8200000003</v>
      </c>
      <c r="L61" s="93">
        <f t="shared" si="18"/>
        <v>-21.362935732791371</v>
      </c>
      <c r="M61" s="73" t="s">
        <v>108</v>
      </c>
    </row>
    <row r="62" spans="1:16357" ht="15" customHeight="1">
      <c r="A62" s="28"/>
      <c r="B62" s="29" t="s">
        <v>152</v>
      </c>
      <c r="C62" s="30">
        <f>+'Lokalna država-ek klas '!C72</f>
        <v>5944928.1500000004</v>
      </c>
      <c r="D62" s="40">
        <f t="shared" si="19"/>
        <v>9.6280376866517678E-2</v>
      </c>
      <c r="E62" s="30">
        <f>+'Lokalna država-ek klas '!E72</f>
        <v>4898670</v>
      </c>
      <c r="F62" s="40">
        <f t="shared" si="14"/>
        <v>7.9335827422019237E-2</v>
      </c>
      <c r="G62" s="20">
        <f t="shared" si="15"/>
        <v>1046258.1500000004</v>
      </c>
      <c r="H62" s="93">
        <f t="shared" si="16"/>
        <v>21.358004315457066</v>
      </c>
      <c r="I62" s="30">
        <f>+'Lokalna država-ek klas '!I72</f>
        <v>3136270.6999999997</v>
      </c>
      <c r="J62" s="40">
        <f t="shared" si="20"/>
        <v>5.4103846958672257E-2</v>
      </c>
      <c r="K62" s="20">
        <f t="shared" si="17"/>
        <v>2808657.4500000007</v>
      </c>
      <c r="L62" s="93">
        <f t="shared" si="18"/>
        <v>89.554050611766428</v>
      </c>
      <c r="M62" s="76" t="s">
        <v>153</v>
      </c>
    </row>
    <row r="63" spans="1:16357" ht="15" customHeight="1" thickBot="1">
      <c r="A63" s="24"/>
      <c r="B63" s="25" t="s">
        <v>50</v>
      </c>
      <c r="C63" s="26">
        <f>+-C56-(SUM(C58:C62)+C46)</f>
        <v>-130561973.61000006</v>
      </c>
      <c r="D63" s="42">
        <f t="shared" si="19"/>
        <v>-2.1145009168205235</v>
      </c>
      <c r="E63" s="26">
        <f>+-E56-(SUM(E58:E62)+E46)</f>
        <v>264349068.42406076</v>
      </c>
      <c r="F63" s="42">
        <f t="shared" si="14"/>
        <v>4.2812339005613449</v>
      </c>
      <c r="G63" s="26">
        <f t="shared" si="15"/>
        <v>-394911042.03406084</v>
      </c>
      <c r="H63" s="99">
        <f t="shared" si="16"/>
        <v>-149.38998816540428</v>
      </c>
      <c r="I63" s="26">
        <f>+-I56-(SUM(I58:I62)+I46)</f>
        <v>149367238.94360006</v>
      </c>
      <c r="J63" s="42">
        <f t="shared" si="20"/>
        <v>2.5767361970521137</v>
      </c>
      <c r="K63" s="26">
        <f t="shared" si="17"/>
        <v>-279929212.55360013</v>
      </c>
      <c r="L63" s="99">
        <f t="shared" si="18"/>
        <v>-187.41004689743195</v>
      </c>
      <c r="M63" s="77" t="s">
        <v>147</v>
      </c>
    </row>
    <row r="64" spans="1:16357" ht="13.5" customHeight="1"/>
  </sheetData>
  <sheetProtection algorithmName="SHA-512" hashValue="cV3ErkfEpd/yYofjByMkD15KTQKa47iAjYCevb6kq8L+hNPyP1uDbfPSd/zWu1z3tKB67DxgLgjVGF7OPczuWw==" saltValue="N2JIb0WFEHhl/XM6+BQWBQ=="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23"/>
      <c r="C4" s="123" t="s">
        <v>174</v>
      </c>
      <c r="D4" s="125" t="s">
        <v>175</v>
      </c>
    </row>
    <row r="5" spans="2:4">
      <c r="B5" s="124"/>
      <c r="C5" s="124"/>
      <c r="D5" s="126"/>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Milena Milovic</cp:lastModifiedBy>
  <cp:lastPrinted>2021-05-19T06:53:11Z</cp:lastPrinted>
  <dcterms:created xsi:type="dcterms:W3CDTF">2008-03-17T08:49:23Z</dcterms:created>
  <dcterms:modified xsi:type="dcterms:W3CDTF">2023-08-28T10:05:21Z</dcterms:modified>
</cp:coreProperties>
</file>