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milena.milovic\Desktop\Izvjestavanje\Analiza konsolidovane javne potrosnje za 2023. godinu\I kvartal\"/>
    </mc:Choice>
  </mc:AlternateContent>
  <workbookProtection workbookAlgorithmName="SHA-512" workbookHashValue="U0Zt6j3MJMiX083PeojI5Oir6JWHxlEDlMR+Z+pmAn5B5Y9btdZxnk4nGoLRhk2v/MuU3/84UU5jeSV30ev7fw==" workbookSaltValue="7mTQf/fELNkj/k3gvkzHUQ==" workbookSpinCount="100000" lockStructure="1"/>
  <bookViews>
    <workbookView xWindow="0" yWindow="0" windowWidth="28800" windowHeight="1173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D35" i="43" l="1"/>
  <c r="C19" i="43" l="1"/>
  <c r="C6" i="43"/>
  <c r="E71" i="43"/>
  <c r="E19" i="43"/>
  <c r="D68" i="10" l="1"/>
  <c r="F68" i="10"/>
  <c r="I43" i="44" l="1"/>
  <c r="I38" i="43" l="1"/>
  <c r="I37" i="43" s="1"/>
  <c r="C38" i="43"/>
  <c r="C37" i="43" s="1"/>
  <c r="E38" i="43"/>
  <c r="E37" i="43" s="1"/>
  <c r="J73" i="10" l="1"/>
  <c r="J74" i="10"/>
  <c r="J75" i="10"/>
  <c r="I53" i="44" l="1"/>
  <c r="I60" i="43"/>
  <c r="E60" i="43" l="1"/>
  <c r="C60" i="43"/>
  <c r="C51" i="44"/>
  <c r="E43" i="44"/>
  <c r="C43" i="44"/>
  <c r="E12" i="43" l="1"/>
  <c r="F56" i="43" l="1"/>
  <c r="I12" i="43"/>
  <c r="C12" i="43" l="1"/>
  <c r="K68" i="10" l="1"/>
  <c r="K69" i="10"/>
  <c r="C8" i="44" l="1"/>
  <c r="I54" i="44" l="1"/>
  <c r="E54" i="44"/>
  <c r="C54" i="44"/>
  <c r="C7" i="10" l="1"/>
  <c r="C15" i="10"/>
  <c r="C67" i="10" l="1"/>
  <c r="E2" i="44" l="1"/>
  <c r="C2" i="44"/>
  <c r="J63" i="43"/>
  <c r="D56" i="43"/>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F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55" i="43"/>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I67" i="10"/>
  <c r="J67" i="10" s="1"/>
  <c r="E67" i="10"/>
  <c r="H67" i="10" s="1"/>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J66" i="10" s="1"/>
  <c r="F6" i="10"/>
  <c r="E66" i="10"/>
  <c r="F66" i="10" s="1"/>
  <c r="C66" i="10"/>
  <c r="H22" i="44"/>
  <c r="C6" i="44"/>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K57" i="43"/>
  <c r="H57" i="43"/>
  <c r="G57" i="43"/>
  <c r="L57" i="43"/>
  <c r="D57" i="43"/>
  <c r="I65" i="43"/>
  <c r="J57" i="43"/>
  <c r="I58" i="43"/>
  <c r="J58" i="43" s="1"/>
  <c r="E65" i="43"/>
  <c r="F57" i="43"/>
  <c r="E58" i="43"/>
  <c r="F58" i="43" s="1"/>
  <c r="E62" i="10"/>
  <c r="K39" i="10"/>
  <c r="H39" i="10"/>
  <c r="D39" i="10"/>
  <c r="D14" i="46" s="1"/>
  <c r="G39" i="10"/>
  <c r="L39" i="10"/>
  <c r="J6" i="10"/>
  <c r="I62" i="10"/>
  <c r="L6" i="10"/>
  <c r="K6" i="10"/>
  <c r="H6" i="10"/>
  <c r="D6" i="10"/>
  <c r="D10" i="46" s="1"/>
  <c r="G6" i="10"/>
  <c r="D6" i="44" l="1"/>
  <c r="J10" i="46" s="1"/>
  <c r="E49" i="44"/>
  <c r="F49" i="44" s="1"/>
  <c r="K66" i="10"/>
  <c r="I49" i="44"/>
  <c r="J49" i="44" s="1"/>
  <c r="G66" i="10"/>
  <c r="G6" i="44"/>
  <c r="C49" i="44"/>
  <c r="D49" i="44" s="1"/>
  <c r="I10" i="46"/>
  <c r="C45" i="44"/>
  <c r="D45" i="44" s="1"/>
  <c r="J18" i="46" s="1"/>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6" i="10"/>
  <c r="D62" i="10"/>
  <c r="D18" i="46" s="1"/>
  <c r="K62" i="10"/>
  <c r="G62" i="10"/>
  <c r="J62" i="10"/>
  <c r="I64" i="10"/>
  <c r="I71" i="10" s="1"/>
  <c r="H66" i="10"/>
  <c r="L66" i="10"/>
  <c r="D66" i="10"/>
  <c r="I18" i="46" l="1"/>
  <c r="G45" i="44"/>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<sst xmlns="http://schemas.openxmlformats.org/spreadsheetml/2006/main" count="460" uniqueCount="190">
  <si>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</si>
  <si>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</si>
  <si>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</si>
  <si>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</si>
  <si>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</si>
  <si>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</si>
  <si>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</si>
  <si>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</si>
  <si>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</si>
  <si>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</si>
  <si>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</si>
  <si>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</si>
  <si>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</si>
  <si>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</si>
  <si>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</si>
  <si>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</si>
  <si>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</si>
  <si>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</si>
  <si>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</si>
  <si>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</si>
  <si>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</si>
  <si>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</si>
  <si>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</si>
  <si>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</si>
  <si>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</si>
  <si>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</si>
  <si>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</si>
  <si>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</si>
  <si>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</si>
  <si>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</si>
  <si>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</si>
  <si>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</si>
  <si>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</si>
  <si>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</si>
  <si>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</si>
  <si>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</si>
  <si>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</si>
  <si>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</si>
  <si>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</si>
  <si>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</si>
  <si>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</si>
  <si>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</si>
  <si>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</si>
  <si>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</si>
  <si>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</si>
  <si>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</si>
  <si>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</si>
  <si>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</si>
  <si>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</si>
  <si>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</si>
  <si>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</si>
  <si>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</si>
  <si>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</si>
  <si>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</si>
  <si>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</si>
  <si>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</si>
  <si>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</si>
  <si>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</si>
  <si>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</si>
  <si>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</si>
  <si>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</si>
  <si>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</si>
  <si>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</si>
  <si>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</si>
  <si>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</si>
  <si>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</si>
  <si>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</si>
  <si>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</si>
  <si>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</si>
  <si>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</si>
  <si>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</si>
  <si>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</si>
  <si>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</si>
  <si>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</si>
  <si>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</si>
  <si>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</si>
  <si>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</si>
  <si>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</si>
  <si>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</si>
  <si>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</si>
  <si>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</si>
  <si>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</si>
  <si>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</si>
  <si>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</si>
  <si>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</si>
  <si>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</si>
  <si>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</si>
  <si>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</si>
  <si>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</si>
  <si>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</si>
  <si>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</si>
  <si>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</si>
  <si>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</si>
  <si>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</si>
  <si>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</si>
  <si>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</si>
  <si>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</si>
  <si>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</si>
  <si>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</si>
  <si>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</si>
  <si>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</si>
  <si>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</si>
  <si>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</si>
  <si>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</si>
  <si>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</si>
  <si>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</si>
  <si>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</si>
  <si>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</si>
  <si>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</si>
  <si>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</si>
  <si>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</si>
  <si>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</si>
  <si>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</si>
  <si>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</si>
  <si>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</si>
  <si>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</si>
  <si>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</si>
  <si>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</si>
  <si>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</si>
  <si>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</si>
  <si>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</si>
  <si>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</si>
  <si>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</si>
  <si>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</si>
  <si>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</si>
  <si>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</si>
  <si>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</si>
  <si>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</si>
  <si>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</si>
  <si>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</si>
  <si>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</si>
  <si>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</si>
  <si>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</si>
  <si>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</si>
  <si>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</si>
  <si>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</si>
  <si>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</si>
  <si>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</si>
  <si>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</si>
  <si>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</si>
  <si>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</si>
  <si>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</si>
  <si>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</si>
  <si>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</si>
  <si>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</si>
  <si>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</si>
  <si>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</si>
  <si>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</si>
  <si>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</si>
  <si>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</si>
  <si>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</si>
  <si>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</si>
  <si>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</si>
  <si>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</si>
  <si>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</si>
  <si>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</si>
  <si>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</si>
  <si>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</si>
  <si>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</si>
  <si>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</si>
  <si>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</si>
  <si>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</si>
  <si>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</si>
  <si>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</si>
  <si>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</si>
  <si>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</si>
  <si>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</si>
  <si>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</si>
  <si>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</si>
  <si>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</si>
  <si>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</si>
  <si>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</si>
  <si>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</si>
  <si>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</si>
  <si>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</si>
  <si>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</si>
  <si>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</si>
  <si>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</si>
  <si>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</si>
  <si>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</si>
  <si>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</si>
  <si>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</si>
  <si>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</si>
  <si>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Q 1 2021</t>
  </si>
  <si>
    <t>Q 1 2022</t>
  </si>
  <si>
    <t>Plan Q 1 2022</t>
  </si>
  <si>
    <t>Otplata hartija od vrijednosti i kredita rezidentima</t>
  </si>
  <si>
    <t>Otplata hartija od vrijednosti i kredita nerezidentima</t>
  </si>
  <si>
    <t>Q 1  2021</t>
  </si>
  <si>
    <t xml:space="preserve">Ministarstvo finansija/ Ministry of finance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</si>
</sst>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6">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p>
        <a:p>
          <a:pPr marL="0" marR="0" lvl="0" indent="0" algn="l" defTabSz="914400" eaLnBrk="1" fontAlgn="auto" latinLnBrk="0" hangingPunct="1">
            <a:lnSpc>
              <a:spcPct val="100000"/>
            </a:lnSpc>
            <a:spcBef>
              <a:spcPts val="0"/>
            </a:spcBef>
            <a:spcAft>
              <a:spcPts val="0"/>
            </a:spcAft>
            <a:buClrTx/>
            <a:buSzTx/>
            <a:buFontTx/>
            <a:buNone/>
            <a:tabLst/>
            <a:defRPr/>
          </a:pPr>
          <a:r>
            <a:rPr lang="sr-Latn-ME" sz="1100" b="0" i="0" baseline="0">
              <a:solidFill>
                <a:schemeClr val="dk1"/>
              </a:solidFill>
              <a:effectLst/>
              <a:latin typeface="+mn-lt"/>
              <a:ea typeface="+mn-ea"/>
              <a:cs typeface="+mn-cs"/>
            </a:rPr>
            <a:t>Plan prihoda i rashoda pripremljen je u skladu sa Zakonom o budžetu za 2022. godinu.</a:t>
          </a:r>
          <a:endParaRPr lang="en-GB">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                                          </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sr-Latn-RS" sz="1100" b="0" i="0" baseline="0">
              <a:solidFill>
                <a:schemeClr val="dk1"/>
              </a:solidFill>
              <a:effectLst/>
              <a:latin typeface="+mn-lt"/>
              <a:ea typeface="+mn-ea"/>
              <a:cs typeface="+mn-cs"/>
            </a:rPr>
            <a:t>The plan of budget revenues and expenditures was prepared in accordance with the Budget Law for 2022.</a:t>
          </a:r>
        </a:p>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                                               </a:t>
          </a: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tabSelected="1" workbookViewId="0">
      <selection activeCell="D18" sqref="D18"/>
    </sheetView>
  </sheetViews>
  <sheetFormatPr defaultRowHeight="12.75"/>
  <cols>
    <col min="4" max="4" width="23" customWidth="1"/>
    <col min="7" max="7" width="24.28515625" customWidth="1"/>
    <col min="10" max="10" width="26.42578125" customWidth="1"/>
  </cols>
  <sheetData>
    <row r="2" spans="2:11">
      <c r="D2" s="67" t="s">
        <v>173</v>
      </c>
    </row>
    <row r="3" spans="2:11">
      <c r="D3" s="67" t="s">
        <v>189</v>
      </c>
    </row>
    <row r="4" spans="2:11">
      <c r="D4" s="67" t="s">
        <v>174</v>
      </c>
    </row>
    <row r="5" spans="2:11" ht="13.5" thickBot="1"/>
    <row r="6" spans="2:11">
      <c r="B6" s="45"/>
      <c r="C6" s="46"/>
      <c r="D6" s="46"/>
      <c r="E6" s="46"/>
      <c r="F6" s="46"/>
      <c r="G6" s="46"/>
      <c r="H6" s="46"/>
      <c r="I6" s="46"/>
      <c r="J6" s="46"/>
      <c r="K6" s="47"/>
    </row>
    <row r="7" spans="2:11">
      <c r="B7" s="48"/>
      <c r="C7" s="91" t="s">
        <v>167</v>
      </c>
      <c r="D7" s="91"/>
      <c r="E7" s="49"/>
      <c r="F7" s="91" t="s">
        <v>168</v>
      </c>
      <c r="G7" s="91"/>
      <c r="H7" s="49"/>
      <c r="I7" s="91" t="s">
        <v>169</v>
      </c>
      <c r="J7" s="91"/>
      <c r="K7" s="50"/>
    </row>
    <row r="8" spans="2:11">
      <c r="B8" s="48"/>
      <c r="C8" s="51"/>
      <c r="D8" s="49"/>
      <c r="E8" s="49"/>
      <c r="F8" s="49"/>
      <c r="G8" s="49"/>
      <c r="H8" s="49"/>
      <c r="I8" s="49"/>
      <c r="J8" s="49"/>
      <c r="K8" s="50"/>
    </row>
    <row r="9" spans="2:11" ht="15">
      <c r="B9" s="48"/>
      <c r="C9" s="52" t="s">
        <v>170</v>
      </c>
      <c r="D9" s="53"/>
      <c r="E9" s="53"/>
      <c r="F9" s="52" t="str">
        <f>+C9</f>
        <v>Prihodi/Revenues</v>
      </c>
      <c r="G9" s="54"/>
      <c r="H9" s="55"/>
      <c r="I9" s="52" t="str">
        <f>+F9</f>
        <v>Prihodi/Revenues</v>
      </c>
      <c r="J9" s="54"/>
      <c r="K9" s="50"/>
    </row>
    <row r="10" spans="2:11">
      <c r="B10" s="48"/>
      <c r="C10" s="56">
        <f>+'Centralna država-ek klas'!C6</f>
        <v>416645968.55999994</v>
      </c>
      <c r="D10" s="57">
        <f>+'Centralna država-ek klas'!D6</f>
        <v>7.8517633152419704</v>
      </c>
      <c r="E10" s="49"/>
      <c r="F10" s="58">
        <f>+'Lokalna država-ek klas '!C6</f>
        <v>46580708.639923625</v>
      </c>
      <c r="G10" s="57">
        <f>+'Lokalna država-ek klas '!D6</f>
        <v>0.87782128448521834</v>
      </c>
      <c r="H10" s="55"/>
      <c r="I10" s="58">
        <f>+'Opšta država-ek klas'!C6</f>
        <v>463226677.19992357</v>
      </c>
      <c r="J10" s="57">
        <f>+'Opšta država-ek klas'!D6</f>
        <v>8.7295845997271879</v>
      </c>
      <c r="K10" s="50"/>
    </row>
    <row r="11" spans="2:11">
      <c r="B11" s="48"/>
      <c r="C11" s="59" t="s">
        <v>165</v>
      </c>
      <c r="D11" s="59" t="s">
        <v>166</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171</v>
      </c>
      <c r="D13" s="55"/>
      <c r="E13" s="49"/>
      <c r="F13" s="52" t="str">
        <f>+C13</f>
        <v>Rashodi/Expenditures</v>
      </c>
      <c r="G13" s="54"/>
      <c r="H13" s="55"/>
      <c r="I13" s="52" t="str">
        <f>+F13</f>
        <v>Rashodi/Expenditures</v>
      </c>
      <c r="J13" s="54"/>
      <c r="K13" s="50"/>
    </row>
    <row r="14" spans="2:11">
      <c r="B14" s="48"/>
      <c r="C14" s="56">
        <f>+'Centralna država-ek klas'!C39</f>
        <v>438581456.31999999</v>
      </c>
      <c r="D14" s="57">
        <f>+'Centralna država-ek klas'!D39</f>
        <v>8.2651412694105222</v>
      </c>
      <c r="E14" s="49"/>
      <c r="F14" s="58">
        <f>+'Lokalna država-ek klas '!C37</f>
        <v>60457053.409999996</v>
      </c>
      <c r="G14" s="57">
        <f>+'Lokalna država-ek klas '!D37</f>
        <v>1.1393233342755917</v>
      </c>
      <c r="H14" s="55"/>
      <c r="I14" s="58">
        <f>+'Opšta država-ek klas'!C27</f>
        <v>499038509.7299999</v>
      </c>
      <c r="J14" s="57">
        <f>+'Opšta država-ek klas'!D27</f>
        <v>9.4044646036861135</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172</v>
      </c>
      <c r="D17" s="49"/>
      <c r="E17" s="49"/>
      <c r="F17" s="52" t="str">
        <f>+C17</f>
        <v>Budžetski bilans/ Budget balance</v>
      </c>
      <c r="G17" s="54"/>
      <c r="H17" s="55"/>
      <c r="I17" s="52" t="str">
        <f>+F17</f>
        <v>Budžetski bilans/ Budget balance</v>
      </c>
      <c r="J17" s="54"/>
      <c r="K17" s="50"/>
    </row>
    <row r="18" spans="2:11">
      <c r="B18" s="48"/>
      <c r="C18" s="56">
        <f>+'Centralna država-ek klas'!C62</f>
        <v>-21935487.76000005</v>
      </c>
      <c r="D18" s="57">
        <f>+'Centralna država-ek klas'!D62</f>
        <v>-0.41337795416855211</v>
      </c>
      <c r="E18" s="49"/>
      <c r="F18" s="58">
        <f>+'Lokalna država-ek klas '!C55</f>
        <v>-13876344.770076372</v>
      </c>
      <c r="G18" s="57">
        <f>+'Lokalna država-ek klas '!D55</f>
        <v>-0.26150204979037334</v>
      </c>
      <c r="H18" s="55"/>
      <c r="I18" s="58">
        <f>+'Opšta država-ek klas'!C45</f>
        <v>-35811832.530076325</v>
      </c>
      <c r="J18" s="57">
        <f>+'Opšta država-ek klas'!D45</f>
        <v>-0.67488000395892367</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41" spans="19:19" ht="15">
      <c r="S41" s="68"/>
    </row>
    <row r="42" spans="19:19" ht="15">
      <c r="S42" s="68"/>
    </row>
  </sheetData>
  <sheetProtection algorithmName="SHA-512" hashValue="JF58DbX1L1P+45963thApvxy0iv11y9NZNjtezH7DCyZzhArpuQUwufuQ0m5Lw/vmASUgCm8D/PUtX5rUtM44A==" saltValue="E2JCsh9SP6bHpwddQKB/Fw=="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zoomScale="90" zoomScaleNormal="90" zoomScaleSheetLayoutView="90" workbookViewId="0">
      <pane ySplit="5" topLeftCell="A6" activePane="bottomLeft" state="frozen"/>
      <selection activeCell="G14" sqref="G14"/>
      <selection pane="bottomLeft" activeCell="P9" sqref="A1:XFD1048576"/>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ustomWidth="1"/>
    <col min="6" max="6" width="9.140625" style="7" customWidth="1"/>
    <col min="7" max="7" width="11.140625" style="6" customWidth="1"/>
    <col min="8" max="8" width="10.4257812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6384" width="9.140625" style="1"/>
  </cols>
  <sheetData>
    <row r="1" spans="1:13" ht="18.75" customHeight="1" thickBot="1">
      <c r="B1" s="5"/>
      <c r="M1" s="5"/>
    </row>
    <row r="2" spans="1:13" ht="15.75" customHeight="1" thickBot="1">
      <c r="A2" s="8" t="s">
        <v>59</v>
      </c>
      <c r="B2" s="8"/>
      <c r="C2" s="98">
        <v>5306400000</v>
      </c>
      <c r="D2" s="99"/>
      <c r="E2" s="98">
        <v>5306400000</v>
      </c>
      <c r="F2" s="99"/>
      <c r="G2" s="9"/>
      <c r="H2" s="10"/>
      <c r="I2" s="98">
        <v>4955116000</v>
      </c>
      <c r="J2" s="99"/>
      <c r="K2" s="85"/>
      <c r="L2" s="10"/>
      <c r="M2" s="8" t="s">
        <v>81</v>
      </c>
    </row>
    <row r="3" spans="1:13" ht="15" customHeight="1" thickBot="1">
      <c r="A3" s="8"/>
      <c r="B3" s="8"/>
      <c r="C3" s="11"/>
      <c r="D3" s="8"/>
      <c r="E3" s="11"/>
      <c r="F3" s="10"/>
      <c r="G3" s="11"/>
      <c r="H3" s="10"/>
      <c r="I3" s="11"/>
      <c r="J3" s="10"/>
      <c r="K3" s="11"/>
      <c r="L3" s="10"/>
      <c r="M3" s="8"/>
    </row>
    <row r="4" spans="1:13" ht="15" customHeight="1">
      <c r="A4" s="92" t="s">
        <v>73</v>
      </c>
      <c r="B4" s="102" t="s">
        <v>74</v>
      </c>
      <c r="C4" s="96" t="s">
        <v>184</v>
      </c>
      <c r="D4" s="97"/>
      <c r="E4" s="94" t="s">
        <v>185</v>
      </c>
      <c r="F4" s="95"/>
      <c r="G4" s="94" t="s">
        <v>175</v>
      </c>
      <c r="H4" s="95"/>
      <c r="I4" s="94" t="s">
        <v>183</v>
      </c>
      <c r="J4" s="95"/>
      <c r="K4" s="94" t="s">
        <v>175</v>
      </c>
      <c r="L4" s="95"/>
      <c r="M4" s="100" t="s">
        <v>151</v>
      </c>
    </row>
    <row r="5" spans="1:13" ht="27" customHeight="1">
      <c r="A5" s="93"/>
      <c r="B5" s="103"/>
      <c r="C5" s="12" t="s">
        <v>63</v>
      </c>
      <c r="D5" s="13" t="s">
        <v>57</v>
      </c>
      <c r="E5" s="12" t="s">
        <v>63</v>
      </c>
      <c r="F5" s="13" t="s">
        <v>57</v>
      </c>
      <c r="G5" s="12" t="s">
        <v>66</v>
      </c>
      <c r="H5" s="13" t="s">
        <v>64</v>
      </c>
      <c r="I5" s="12" t="s">
        <v>63</v>
      </c>
      <c r="J5" s="14" t="s">
        <v>57</v>
      </c>
      <c r="K5" s="12" t="s">
        <v>63</v>
      </c>
      <c r="L5" s="14" t="s">
        <v>64</v>
      </c>
      <c r="M5" s="101"/>
    </row>
    <row r="6" spans="1:13" ht="15" customHeight="1">
      <c r="A6" s="15"/>
      <c r="B6" s="16" t="s">
        <v>52</v>
      </c>
      <c r="C6" s="17">
        <f>+C7+C15+C20+C25+C32+C37+C38</f>
        <v>416645968.55999994</v>
      </c>
      <c r="D6" s="39">
        <f>+C6/$C$2*100</f>
        <v>7.8517633152419704</v>
      </c>
      <c r="E6" s="17">
        <f>+E7+E15+E20+E25+E32+E37+E38</f>
        <v>366096350.17277294</v>
      </c>
      <c r="F6" s="39">
        <f>+E6/$E$2*100</f>
        <v>6.8991472593994603</v>
      </c>
      <c r="G6" s="17">
        <f>+C6-E6</f>
        <v>50549618.387226999</v>
      </c>
      <c r="H6" s="39">
        <f>+C6/E6*100-100</f>
        <v>13.807736232106919</v>
      </c>
      <c r="I6" s="17">
        <f>+I7+I15+I20+I25+I32+I37+I38</f>
        <v>348439962.9199999</v>
      </c>
      <c r="J6" s="39">
        <f>+I6/$I$2*100</f>
        <v>7.031923428634161</v>
      </c>
      <c r="K6" s="17">
        <f>+C6-I6</f>
        <v>68206005.640000045</v>
      </c>
      <c r="L6" s="39">
        <f>+C6/I6*100-100</f>
        <v>19.574679399119276</v>
      </c>
      <c r="M6" s="82" t="s">
        <v>152</v>
      </c>
    </row>
    <row r="7" spans="1:13" ht="15" customHeight="1">
      <c r="A7" s="18">
        <v>711</v>
      </c>
      <c r="B7" s="19" t="s">
        <v>1</v>
      </c>
      <c r="C7" s="20">
        <f>+SUM(C8:C14)</f>
        <v>300138813.94999999</v>
      </c>
      <c r="D7" s="40">
        <f t="shared" ref="D7:D71" si="0">+C7/$C$2*100</f>
        <v>5.6561664018920546</v>
      </c>
      <c r="E7" s="20">
        <f>+SUM(E8:E14)</f>
        <v>251426770.7690767</v>
      </c>
      <c r="F7" s="40">
        <f t="shared" ref="F7:F38" si="1">+E7/$E$2*100</f>
        <v>4.738179759706707</v>
      </c>
      <c r="G7" s="20">
        <f t="shared" ref="G7:G62" si="2">+C7-E7</f>
        <v>48712043.180923283</v>
      </c>
      <c r="H7" s="40">
        <f t="shared" ref="H7:H62" si="3">+C7/E7*100-100</f>
        <v>19.374246836134617</v>
      </c>
      <c r="I7" s="20">
        <f>+SUM(I8:I14)</f>
        <v>228312824.07999998</v>
      </c>
      <c r="J7" s="40">
        <f t="shared" ref="J7:J71" si="4">+I7/$I$2*100</f>
        <v>4.6076181481926959</v>
      </c>
      <c r="K7" s="20">
        <f t="shared" ref="K7:K38" si="5">+C7-I7</f>
        <v>71825989.870000005</v>
      </c>
      <c r="L7" s="40">
        <f t="shared" ref="L7:L38" si="6">+C7/I7*100-100</f>
        <v>31.459463636975727</v>
      </c>
      <c r="M7" s="73" t="s">
        <v>82</v>
      </c>
    </row>
    <row r="8" spans="1:13" ht="15" customHeight="1">
      <c r="A8" s="21">
        <v>7111</v>
      </c>
      <c r="B8" s="22" t="s">
        <v>2</v>
      </c>
      <c r="C8" s="23">
        <v>20476917.02</v>
      </c>
      <c r="D8" s="41">
        <f t="shared" si="0"/>
        <v>0.385890943389115</v>
      </c>
      <c r="E8" s="23">
        <v>23558463.566653699</v>
      </c>
      <c r="F8" s="41">
        <f t="shared" si="1"/>
        <v>0.44396320606538708</v>
      </c>
      <c r="G8" s="23">
        <f t="shared" si="2"/>
        <v>-3081546.5466536991</v>
      </c>
      <c r="H8" s="41">
        <f t="shared" si="3"/>
        <v>-13.080422405031271</v>
      </c>
      <c r="I8" s="23">
        <v>22794265.77</v>
      </c>
      <c r="J8" s="41">
        <f t="shared" si="4"/>
        <v>0.46001477604156998</v>
      </c>
      <c r="K8" s="23">
        <f t="shared" si="5"/>
        <v>-2317348.75</v>
      </c>
      <c r="L8" s="41">
        <f t="shared" si="6"/>
        <v>-10.166367161735522</v>
      </c>
      <c r="M8" s="74" t="s">
        <v>83</v>
      </c>
    </row>
    <row r="9" spans="1:13" ht="15" customHeight="1">
      <c r="A9" s="21">
        <v>7112</v>
      </c>
      <c r="B9" s="22" t="s">
        <v>3</v>
      </c>
      <c r="C9" s="23">
        <v>41248279.109999999</v>
      </c>
      <c r="D9" s="41">
        <f t="shared" si="0"/>
        <v>0.7773307536182722</v>
      </c>
      <c r="E9" s="23">
        <v>31720404.781161029</v>
      </c>
      <c r="F9" s="41">
        <f t="shared" si="1"/>
        <v>0.59777636026611314</v>
      </c>
      <c r="G9" s="23">
        <f t="shared" si="2"/>
        <v>9527874.3288389705</v>
      </c>
      <c r="H9" s="41">
        <f t="shared" si="3"/>
        <v>30.037051527468662</v>
      </c>
      <c r="I9" s="23">
        <v>30868426.009999998</v>
      </c>
      <c r="J9" s="41">
        <f t="shared" si="4"/>
        <v>0.62296071393686836</v>
      </c>
      <c r="K9" s="23">
        <f t="shared" si="5"/>
        <v>10379853.100000001</v>
      </c>
      <c r="L9" s="41">
        <f t="shared" si="6"/>
        <v>33.626117174349588</v>
      </c>
      <c r="M9" s="74" t="s">
        <v>84</v>
      </c>
    </row>
    <row r="10" spans="1:13">
      <c r="A10" s="21">
        <v>71132</v>
      </c>
      <c r="B10" s="22" t="s">
        <v>4</v>
      </c>
      <c r="C10" s="23">
        <v>547993.65</v>
      </c>
      <c r="D10" s="41">
        <f t="shared" si="0"/>
        <v>1.0327032451379467E-2</v>
      </c>
      <c r="E10" s="23">
        <v>438362.62107949005</v>
      </c>
      <c r="F10" s="41">
        <f t="shared" si="1"/>
        <v>8.261017282517151E-3</v>
      </c>
      <c r="G10" s="23">
        <f t="shared" si="2"/>
        <v>109631.02892050997</v>
      </c>
      <c r="H10" s="41">
        <f t="shared" si="3"/>
        <v>25.009210103392945</v>
      </c>
      <c r="I10" s="23">
        <v>308911.34999999998</v>
      </c>
      <c r="J10" s="41">
        <f t="shared" si="4"/>
        <v>6.2341900774875907E-3</v>
      </c>
      <c r="K10" s="23">
        <f t="shared" si="5"/>
        <v>239082.30000000005</v>
      </c>
      <c r="L10" s="41">
        <f t="shared" si="6"/>
        <v>77.395116754369866</v>
      </c>
      <c r="M10" s="74" t="s">
        <v>85</v>
      </c>
    </row>
    <row r="11" spans="1:13" ht="15" customHeight="1">
      <c r="A11" s="21">
        <v>7114</v>
      </c>
      <c r="B11" s="22" t="s">
        <v>5</v>
      </c>
      <c r="C11" s="23">
        <v>171411208.22999999</v>
      </c>
      <c r="D11" s="41">
        <f t="shared" si="0"/>
        <v>3.2302730331298055</v>
      </c>
      <c r="E11" s="23">
        <v>139004746.5893546</v>
      </c>
      <c r="F11" s="41">
        <f t="shared" si="1"/>
        <v>2.6195678160213065</v>
      </c>
      <c r="G11" s="23">
        <f t="shared" si="2"/>
        <v>32406461.640645385</v>
      </c>
      <c r="H11" s="41">
        <f t="shared" si="3"/>
        <v>23.313205078082675</v>
      </c>
      <c r="I11" s="23">
        <v>124572035.69</v>
      </c>
      <c r="J11" s="41">
        <f t="shared" si="4"/>
        <v>2.5140084649885086</v>
      </c>
      <c r="K11" s="23">
        <f t="shared" si="5"/>
        <v>46839172.539999992</v>
      </c>
      <c r="L11" s="41">
        <f t="shared" si="6"/>
        <v>37.600069935888513</v>
      </c>
      <c r="M11" s="74" t="s">
        <v>86</v>
      </c>
    </row>
    <row r="12" spans="1:13" ht="15" customHeight="1">
      <c r="A12" s="21">
        <v>7115</v>
      </c>
      <c r="B12" s="22" t="s">
        <v>6</v>
      </c>
      <c r="C12" s="23">
        <v>56688234.68</v>
      </c>
      <c r="D12" s="41">
        <f t="shared" si="0"/>
        <v>1.068299311774461</v>
      </c>
      <c r="E12" s="23">
        <v>48440640.591338575</v>
      </c>
      <c r="F12" s="41">
        <f t="shared" si="1"/>
        <v>0.91287201476214708</v>
      </c>
      <c r="G12" s="23">
        <f t="shared" si="2"/>
        <v>8247594.0886614248</v>
      </c>
      <c r="H12" s="41">
        <f t="shared" si="3"/>
        <v>17.026187077584055</v>
      </c>
      <c r="I12" s="23">
        <v>42325324.729999997</v>
      </c>
      <c r="J12" s="41">
        <f t="shared" si="4"/>
        <v>0.85417424597123448</v>
      </c>
      <c r="K12" s="23">
        <f t="shared" si="5"/>
        <v>14362909.950000003</v>
      </c>
      <c r="L12" s="41">
        <f t="shared" si="6"/>
        <v>33.934553465622059</v>
      </c>
      <c r="M12" s="74" t="s">
        <v>87</v>
      </c>
    </row>
    <row r="13" spans="1:13" ht="15" customHeight="1">
      <c r="A13" s="21">
        <v>7116</v>
      </c>
      <c r="B13" s="22" t="s">
        <v>7</v>
      </c>
      <c r="C13" s="23">
        <v>7122968.6799999997</v>
      </c>
      <c r="D13" s="41">
        <f t="shared" si="0"/>
        <v>0.13423354213779587</v>
      </c>
      <c r="E13" s="23">
        <v>5745775.7236759728</v>
      </c>
      <c r="F13" s="41">
        <f t="shared" si="1"/>
        <v>0.10828010937124931</v>
      </c>
      <c r="G13" s="23">
        <f t="shared" si="2"/>
        <v>1377192.9563240269</v>
      </c>
      <c r="H13" s="41">
        <f t="shared" si="3"/>
        <v>23.968790683026171</v>
      </c>
      <c r="I13" s="23">
        <v>5055156.43</v>
      </c>
      <c r="J13" s="41">
        <f t="shared" si="4"/>
        <v>0.10201893215012524</v>
      </c>
      <c r="K13" s="23">
        <f t="shared" si="5"/>
        <v>2067812.25</v>
      </c>
      <c r="L13" s="41">
        <f t="shared" si="6"/>
        <v>40.905010134374834</v>
      </c>
      <c r="M13" s="74" t="s">
        <v>88</v>
      </c>
    </row>
    <row r="14" spans="1:13" ht="15" customHeight="1">
      <c r="A14" s="21">
        <v>7118</v>
      </c>
      <c r="B14" s="22" t="s">
        <v>62</v>
      </c>
      <c r="C14" s="23">
        <v>2643212.58</v>
      </c>
      <c r="D14" s="41">
        <f t="shared" si="0"/>
        <v>4.9811785391225695E-2</v>
      </c>
      <c r="E14" s="23">
        <v>2518376.8958133515</v>
      </c>
      <c r="F14" s="41">
        <f t="shared" si="1"/>
        <v>4.7459235937987176E-2</v>
      </c>
      <c r="G14" s="23">
        <f t="shared" si="2"/>
        <v>124835.68418664858</v>
      </c>
      <c r="H14" s="41">
        <f t="shared" si="3"/>
        <v>4.9569897339107598</v>
      </c>
      <c r="I14" s="23">
        <v>2388704.1</v>
      </c>
      <c r="J14" s="41">
        <f t="shared" si="4"/>
        <v>4.820682502690149E-2</v>
      </c>
      <c r="K14" s="23">
        <f t="shared" si="5"/>
        <v>254508.47999999998</v>
      </c>
      <c r="L14" s="41">
        <f t="shared" si="6"/>
        <v>10.654667524537672</v>
      </c>
      <c r="M14" s="74" t="s">
        <v>89</v>
      </c>
    </row>
    <row r="15" spans="1:13" ht="15" customHeight="1">
      <c r="A15" s="18">
        <v>712</v>
      </c>
      <c r="B15" s="19" t="s">
        <v>8</v>
      </c>
      <c r="C15" s="20">
        <f>+SUM(C16:C19)</f>
        <v>83772855.75</v>
      </c>
      <c r="D15" s="40">
        <f t="shared" si="0"/>
        <v>1.5787135487336048</v>
      </c>
      <c r="E15" s="20">
        <f>+SUM(E16:E19)</f>
        <v>85522929.671695396</v>
      </c>
      <c r="F15" s="40">
        <f t="shared" si="1"/>
        <v>1.6116939859734547</v>
      </c>
      <c r="G15" s="20">
        <f t="shared" si="2"/>
        <v>-1750073.9216953963</v>
      </c>
      <c r="H15" s="40">
        <f t="shared" si="3"/>
        <v>-2.0463212946674787</v>
      </c>
      <c r="I15" s="20">
        <f>+SUM(I16:I19)</f>
        <v>100648998.08000001</v>
      </c>
      <c r="J15" s="40">
        <f t="shared" si="4"/>
        <v>2.0312137612923697</v>
      </c>
      <c r="K15" s="20">
        <f t="shared" si="5"/>
        <v>-16876142.330000013</v>
      </c>
      <c r="L15" s="40">
        <f t="shared" si="6"/>
        <v>-16.767322727431576</v>
      </c>
      <c r="M15" s="73" t="s">
        <v>90</v>
      </c>
    </row>
    <row r="16" spans="1:13" ht="15" customHeight="1">
      <c r="A16" s="21">
        <v>7121</v>
      </c>
      <c r="B16" s="22" t="s">
        <v>9</v>
      </c>
      <c r="C16" s="23">
        <v>63808537.519999996</v>
      </c>
      <c r="D16" s="41">
        <f t="shared" si="0"/>
        <v>1.202482615709332</v>
      </c>
      <c r="E16" s="23">
        <v>72020920.046768844</v>
      </c>
      <c r="F16" s="41">
        <f t="shared" si="1"/>
        <v>1.3572463449187555</v>
      </c>
      <c r="G16" s="23">
        <f t="shared" si="2"/>
        <v>-8212382.5267688483</v>
      </c>
      <c r="H16" s="41">
        <f t="shared" si="3"/>
        <v>-11.402773696081496</v>
      </c>
      <c r="I16" s="23">
        <v>62607649.640000001</v>
      </c>
      <c r="J16" s="41">
        <f t="shared" si="4"/>
        <v>1.2634951359362727</v>
      </c>
      <c r="K16" s="23">
        <f t="shared" si="5"/>
        <v>1200887.8799999952</v>
      </c>
      <c r="L16" s="41">
        <f t="shared" si="6"/>
        <v>1.9181168545780167</v>
      </c>
      <c r="M16" s="74" t="s">
        <v>91</v>
      </c>
    </row>
    <row r="17" spans="1:13" ht="15" customHeight="1">
      <c r="A17" s="21">
        <v>7122</v>
      </c>
      <c r="B17" s="22" t="s">
        <v>10</v>
      </c>
      <c r="C17" s="23">
        <v>15016477.529999999</v>
      </c>
      <c r="D17" s="41">
        <f t="shared" si="0"/>
        <v>0.28298804330619631</v>
      </c>
      <c r="E17" s="23">
        <v>6991701.9601362981</v>
      </c>
      <c r="F17" s="41">
        <f t="shared" si="1"/>
        <v>0.13175979873617327</v>
      </c>
      <c r="G17" s="23">
        <f t="shared" si="2"/>
        <v>8024775.5698637012</v>
      </c>
      <c r="H17" s="41">
        <f t="shared" si="3"/>
        <v>114.77571005768766</v>
      </c>
      <c r="I17" s="23">
        <v>32563618.57</v>
      </c>
      <c r="J17" s="41">
        <f t="shared" si="4"/>
        <v>0.65717167004768406</v>
      </c>
      <c r="K17" s="23">
        <f t="shared" si="5"/>
        <v>-17547141.039999999</v>
      </c>
      <c r="L17" s="41">
        <f t="shared" si="6"/>
        <v>-53.885722197242899</v>
      </c>
      <c r="M17" s="74" t="s">
        <v>92</v>
      </c>
    </row>
    <row r="18" spans="1:13" ht="15" customHeight="1">
      <c r="A18" s="21">
        <v>7123</v>
      </c>
      <c r="B18" s="22" t="s">
        <v>11</v>
      </c>
      <c r="C18" s="23">
        <v>2901152.4699999997</v>
      </c>
      <c r="D18" s="41">
        <f t="shared" si="0"/>
        <v>5.4672705977687315E-2</v>
      </c>
      <c r="E18" s="23">
        <v>3588247.4051694265</v>
      </c>
      <c r="F18" s="41">
        <f t="shared" si="1"/>
        <v>6.762112553085757E-2</v>
      </c>
      <c r="G18" s="23">
        <f t="shared" si="2"/>
        <v>-687094.93516942672</v>
      </c>
      <c r="H18" s="41">
        <f t="shared" si="3"/>
        <v>-19.148482743401701</v>
      </c>
      <c r="I18" s="23">
        <v>3031537.26</v>
      </c>
      <c r="J18" s="41">
        <f t="shared" si="4"/>
        <v>6.1179945333267677E-2</v>
      </c>
      <c r="K18" s="23">
        <f t="shared" si="5"/>
        <v>-130384.79000000004</v>
      </c>
      <c r="L18" s="41">
        <f t="shared" si="6"/>
        <v>-4.3009463126308418</v>
      </c>
      <c r="M18" s="74" t="s">
        <v>93</v>
      </c>
    </row>
    <row r="19" spans="1:13" ht="15" customHeight="1">
      <c r="A19" s="21">
        <v>7124</v>
      </c>
      <c r="B19" s="22" t="s">
        <v>12</v>
      </c>
      <c r="C19" s="23">
        <v>2046688.23</v>
      </c>
      <c r="D19" s="41">
        <f t="shared" si="0"/>
        <v>3.8570183740388959E-2</v>
      </c>
      <c r="E19" s="23">
        <v>2922060.2596208276</v>
      </c>
      <c r="F19" s="41">
        <f t="shared" si="1"/>
        <v>5.5066716787668238E-2</v>
      </c>
      <c r="G19" s="23">
        <f t="shared" si="2"/>
        <v>-875372.02962082764</v>
      </c>
      <c r="H19" s="41">
        <f t="shared" si="3"/>
        <v>-29.957357201607394</v>
      </c>
      <c r="I19" s="23">
        <v>2446192.6100000003</v>
      </c>
      <c r="J19" s="41">
        <f t="shared" si="4"/>
        <v>4.9367009975144885E-2</v>
      </c>
      <c r="K19" s="23">
        <f t="shared" si="5"/>
        <v>-399504.38000000035</v>
      </c>
      <c r="L19" s="41">
        <f t="shared" si="6"/>
        <v>-16.331681257102659</v>
      </c>
      <c r="M19" s="74" t="s">
        <v>94</v>
      </c>
    </row>
    <row r="20" spans="1:13" ht="15" customHeight="1">
      <c r="A20" s="18">
        <v>713</v>
      </c>
      <c r="B20" s="19" t="s">
        <v>13</v>
      </c>
      <c r="C20" s="20">
        <f>+SUM(C21:C24)</f>
        <v>2420825.79</v>
      </c>
      <c r="D20" s="40">
        <f t="shared" si="0"/>
        <v>4.5620868950701041E-2</v>
      </c>
      <c r="E20" s="20">
        <f>+SUM(E21:E24)</f>
        <v>2490924.4637146299</v>
      </c>
      <c r="F20" s="40">
        <f t="shared" si="1"/>
        <v>4.6941890240363146E-2</v>
      </c>
      <c r="G20" s="20">
        <f t="shared" si="2"/>
        <v>-70098.67371462984</v>
      </c>
      <c r="H20" s="40">
        <f t="shared" si="3"/>
        <v>-2.8141629638216301</v>
      </c>
      <c r="I20" s="20">
        <f>+SUM(I21:I24)</f>
        <v>2162339.19</v>
      </c>
      <c r="J20" s="40">
        <f t="shared" si="4"/>
        <v>4.3638518048820657E-2</v>
      </c>
      <c r="K20" s="20">
        <f t="shared" si="5"/>
        <v>258486.60000000009</v>
      </c>
      <c r="L20" s="40">
        <f t="shared" si="6"/>
        <v>11.954026509596787</v>
      </c>
      <c r="M20" s="73" t="s">
        <v>95</v>
      </c>
    </row>
    <row r="21" spans="1:13" ht="15" customHeight="1">
      <c r="A21" s="21">
        <v>7131</v>
      </c>
      <c r="B21" s="22" t="s">
        <v>14</v>
      </c>
      <c r="C21" s="23">
        <v>1937462.6</v>
      </c>
      <c r="D21" s="41">
        <f t="shared" si="0"/>
        <v>3.6511808382330771E-2</v>
      </c>
      <c r="E21" s="23">
        <v>1908932.3289943016</v>
      </c>
      <c r="F21" s="41">
        <f t="shared" si="1"/>
        <v>3.597415062932123E-2</v>
      </c>
      <c r="G21" s="23">
        <f t="shared" si="2"/>
        <v>28530.27100569848</v>
      </c>
      <c r="H21" s="41">
        <f t="shared" si="3"/>
        <v>1.4945669143090754</v>
      </c>
      <c r="I21" s="23">
        <v>1702069.12</v>
      </c>
      <c r="J21" s="41">
        <f t="shared" si="4"/>
        <v>3.4349733083947981E-2</v>
      </c>
      <c r="K21" s="23">
        <f t="shared" si="5"/>
        <v>235393.47999999998</v>
      </c>
      <c r="L21" s="41">
        <f t="shared" si="6"/>
        <v>13.82984258594621</v>
      </c>
      <c r="M21" s="74" t="s">
        <v>96</v>
      </c>
    </row>
    <row r="22" spans="1:13" ht="15" customHeight="1">
      <c r="A22" s="21">
        <v>7132</v>
      </c>
      <c r="B22" s="22" t="s">
        <v>15</v>
      </c>
      <c r="C22" s="23">
        <v>225668.71</v>
      </c>
      <c r="D22" s="41">
        <f t="shared" si="0"/>
        <v>4.2527647746117897E-3</v>
      </c>
      <c r="E22" s="23">
        <v>196891.20025147326</v>
      </c>
      <c r="F22" s="41">
        <f t="shared" si="1"/>
        <v>3.710447765933086E-3</v>
      </c>
      <c r="G22" s="23">
        <f t="shared" si="2"/>
        <v>28777.509748526732</v>
      </c>
      <c r="H22" s="41">
        <f t="shared" si="3"/>
        <v>14.615945106623116</v>
      </c>
      <c r="I22" s="23">
        <v>208322.68</v>
      </c>
      <c r="J22" s="41">
        <f t="shared" si="4"/>
        <v>4.2041938069663758E-3</v>
      </c>
      <c r="K22" s="23">
        <f t="shared" si="5"/>
        <v>17346.03</v>
      </c>
      <c r="L22" s="41">
        <f t="shared" si="6"/>
        <v>8.3265201849361858</v>
      </c>
      <c r="M22" s="74" t="s">
        <v>97</v>
      </c>
    </row>
    <row r="23" spans="1:13" ht="15" customHeight="1">
      <c r="A23" s="21">
        <v>7133</v>
      </c>
      <c r="B23" s="22" t="s">
        <v>16</v>
      </c>
      <c r="C23" s="23">
        <v>95647.6</v>
      </c>
      <c r="D23" s="41">
        <f t="shared" si="0"/>
        <v>1.8024951002562942E-3</v>
      </c>
      <c r="E23" s="23">
        <v>98490.662855910414</v>
      </c>
      <c r="F23" s="41">
        <f t="shared" si="1"/>
        <v>1.8560730976916633E-3</v>
      </c>
      <c r="G23" s="23">
        <f t="shared" si="2"/>
        <v>-2843.062855910408</v>
      </c>
      <c r="H23" s="41">
        <f t="shared" si="3"/>
        <v>-2.8866318628292191</v>
      </c>
      <c r="I23" s="23">
        <v>56143.100000000006</v>
      </c>
      <c r="J23" s="41">
        <f t="shared" si="4"/>
        <v>1.1330330107307278E-3</v>
      </c>
      <c r="K23" s="23">
        <f t="shared" si="5"/>
        <v>39504.5</v>
      </c>
      <c r="L23" s="41">
        <f t="shared" si="6"/>
        <v>70.36394499056874</v>
      </c>
      <c r="M23" s="74" t="s">
        <v>98</v>
      </c>
    </row>
    <row r="24" spans="1:13" ht="15" customHeight="1">
      <c r="A24" s="21">
        <v>7136</v>
      </c>
      <c r="B24" s="22" t="s">
        <v>18</v>
      </c>
      <c r="C24" s="23">
        <v>162046.88</v>
      </c>
      <c r="D24" s="41">
        <f t="shared" si="0"/>
        <v>3.0538006935021864E-3</v>
      </c>
      <c r="E24" s="23">
        <v>286610.27161294455</v>
      </c>
      <c r="F24" s="41">
        <f t="shared" si="1"/>
        <v>5.4012187474171665E-3</v>
      </c>
      <c r="G24" s="23">
        <f t="shared" si="2"/>
        <v>-124563.39161294454</v>
      </c>
      <c r="H24" s="41">
        <f t="shared" si="3"/>
        <v>-43.46089584017502</v>
      </c>
      <c r="I24" s="23">
        <v>195804.29</v>
      </c>
      <c r="J24" s="41">
        <f t="shared" si="4"/>
        <v>3.951558147175566E-3</v>
      </c>
      <c r="K24" s="23">
        <f t="shared" si="5"/>
        <v>-33757.410000000003</v>
      </c>
      <c r="L24" s="41">
        <f t="shared" si="6"/>
        <v>-17.240383241858495</v>
      </c>
      <c r="M24" s="74" t="s">
        <v>99</v>
      </c>
    </row>
    <row r="25" spans="1:13" ht="15" customHeight="1">
      <c r="A25" s="18">
        <v>714</v>
      </c>
      <c r="B25" s="19" t="s">
        <v>19</v>
      </c>
      <c r="C25" s="20">
        <f>+SUM(C26:C31)</f>
        <v>17329638.84</v>
      </c>
      <c r="D25" s="40">
        <f t="shared" si="0"/>
        <v>0.32657995703301673</v>
      </c>
      <c r="E25" s="20">
        <f>+SUM(E26:E31)</f>
        <v>15955353.372429213</v>
      </c>
      <c r="F25" s="40">
        <f t="shared" si="1"/>
        <v>0.30068131638077061</v>
      </c>
      <c r="G25" s="20">
        <f t="shared" si="2"/>
        <v>1374285.4675707873</v>
      </c>
      <c r="H25" s="40">
        <f t="shared" si="3"/>
        <v>8.6133188998843906</v>
      </c>
      <c r="I25" s="20">
        <f>+SUM(I26:I31)</f>
        <v>7646319.7000000002</v>
      </c>
      <c r="J25" s="40">
        <f t="shared" si="4"/>
        <v>0.15431161853728551</v>
      </c>
      <c r="K25" s="20">
        <f t="shared" si="5"/>
        <v>9683319.1400000006</v>
      </c>
      <c r="L25" s="40">
        <f t="shared" si="6"/>
        <v>126.64025988868866</v>
      </c>
      <c r="M25" s="73" t="s">
        <v>100</v>
      </c>
    </row>
    <row r="26" spans="1:13" ht="15" customHeight="1">
      <c r="A26" s="21">
        <v>7141</v>
      </c>
      <c r="B26" s="22" t="s">
        <v>20</v>
      </c>
      <c r="C26" s="23">
        <v>647855.07000000007</v>
      </c>
      <c r="D26" s="41">
        <f t="shared" si="0"/>
        <v>1.2208937697874267E-2</v>
      </c>
      <c r="E26" s="23">
        <v>173124.35446695721</v>
      </c>
      <c r="F26" s="41">
        <f t="shared" si="1"/>
        <v>3.2625575619432612E-3</v>
      </c>
      <c r="G26" s="23">
        <f t="shared" si="2"/>
        <v>474730.71553304285</v>
      </c>
      <c r="H26" s="41">
        <f t="shared" si="3"/>
        <v>274.21371013611531</v>
      </c>
      <c r="I26" s="23">
        <v>131290.34999999998</v>
      </c>
      <c r="J26" s="41">
        <f t="shared" si="4"/>
        <v>2.6495918561745069E-3</v>
      </c>
      <c r="K26" s="23">
        <f t="shared" si="5"/>
        <v>516564.72000000009</v>
      </c>
      <c r="L26" s="41">
        <f t="shared" si="6"/>
        <v>393.45216156404501</v>
      </c>
      <c r="M26" s="74" t="s">
        <v>101</v>
      </c>
    </row>
    <row r="27" spans="1:13" ht="15" customHeight="1">
      <c r="A27" s="21">
        <v>7142</v>
      </c>
      <c r="B27" s="22" t="s">
        <v>21</v>
      </c>
      <c r="C27" s="23">
        <v>442002.24999999994</v>
      </c>
      <c r="D27" s="41">
        <f t="shared" si="0"/>
        <v>8.3296067013417744E-3</v>
      </c>
      <c r="E27" s="23">
        <v>639870.91217210051</v>
      </c>
      <c r="F27" s="41">
        <f t="shared" si="1"/>
        <v>1.2058474901479356E-2</v>
      </c>
      <c r="G27" s="23">
        <f t="shared" si="2"/>
        <v>-197868.66217210056</v>
      </c>
      <c r="H27" s="41">
        <f t="shared" si="3"/>
        <v>-30.923215668675624</v>
      </c>
      <c r="I27" s="23">
        <v>679325.02</v>
      </c>
      <c r="J27" s="41">
        <f t="shared" si="4"/>
        <v>1.3709568454098753E-2</v>
      </c>
      <c r="K27" s="23">
        <f t="shared" si="5"/>
        <v>-237322.77000000008</v>
      </c>
      <c r="L27" s="41">
        <f t="shared" si="6"/>
        <v>-34.935084534351475</v>
      </c>
      <c r="M27" s="74" t="s">
        <v>102</v>
      </c>
    </row>
    <row r="28" spans="1:13" ht="15" hidden="1" customHeight="1">
      <c r="A28" s="21">
        <v>7143</v>
      </c>
      <c r="B28" s="22" t="s">
        <v>22</v>
      </c>
      <c r="C28" s="23">
        <v>0</v>
      </c>
      <c r="D28" s="41">
        <f t="shared" si="0"/>
        <v>0</v>
      </c>
      <c r="E28" s="23">
        <v>0</v>
      </c>
      <c r="F28" s="41">
        <f t="shared" si="1"/>
        <v>0</v>
      </c>
      <c r="G28" s="23">
        <f t="shared" si="2"/>
        <v>0</v>
      </c>
      <c r="H28" s="41" t="e">
        <f t="shared" si="3"/>
        <v>#DIV/0!</v>
      </c>
      <c r="I28" s="23">
        <v>0</v>
      </c>
      <c r="J28" s="41">
        <f t="shared" si="4"/>
        <v>0</v>
      </c>
      <c r="K28" s="23">
        <f t="shared" si="5"/>
        <v>0</v>
      </c>
      <c r="L28" s="41" t="e">
        <f t="shared" si="6"/>
        <v>#DIV/0!</v>
      </c>
      <c r="M28" s="74" t="s">
        <v>103</v>
      </c>
    </row>
    <row r="29" spans="1:13" ht="15" customHeight="1">
      <c r="A29" s="21">
        <v>7144</v>
      </c>
      <c r="B29" s="22" t="s">
        <v>23</v>
      </c>
      <c r="C29" s="23">
        <v>2148258.4700000002</v>
      </c>
      <c r="D29" s="41">
        <f t="shared" si="0"/>
        <v>4.0484291987034529E-2</v>
      </c>
      <c r="E29" s="23">
        <v>2449810.1775185727</v>
      </c>
      <c r="F29" s="41">
        <f t="shared" si="1"/>
        <v>4.6167084605732191E-2</v>
      </c>
      <c r="G29" s="23">
        <f t="shared" si="2"/>
        <v>-301551.70751857245</v>
      </c>
      <c r="H29" s="41">
        <f t="shared" si="3"/>
        <v>-12.30918665804613</v>
      </c>
      <c r="I29" s="23">
        <v>1895543.7199999997</v>
      </c>
      <c r="J29" s="41">
        <f t="shared" si="4"/>
        <v>3.8254275379224212E-2</v>
      </c>
      <c r="K29" s="23">
        <f t="shared" si="5"/>
        <v>252714.75000000047</v>
      </c>
      <c r="L29" s="41">
        <f t="shared" si="6"/>
        <v>13.332045435491224</v>
      </c>
      <c r="M29" s="74" t="s">
        <v>104</v>
      </c>
    </row>
    <row r="30" spans="1:13" ht="15" customHeight="1">
      <c r="A30" s="21">
        <v>7148</v>
      </c>
      <c r="B30" s="22" t="s">
        <v>24</v>
      </c>
      <c r="C30" s="78">
        <v>521764.82</v>
      </c>
      <c r="D30" s="41">
        <f t="shared" si="0"/>
        <v>9.8327457409920112E-3</v>
      </c>
      <c r="E30" s="78">
        <v>510524.76854797278</v>
      </c>
      <c r="F30" s="41">
        <f t="shared" si="1"/>
        <v>9.620925081938278E-3</v>
      </c>
      <c r="G30" s="78">
        <f t="shared" si="2"/>
        <v>11240.051452027226</v>
      </c>
      <c r="H30" s="41">
        <f t="shared" si="3"/>
        <v>2.2016662353123451</v>
      </c>
      <c r="I30" s="78">
        <v>426370.57000000007</v>
      </c>
      <c r="J30" s="41">
        <f t="shared" si="4"/>
        <v>8.6046536549295727E-3</v>
      </c>
      <c r="K30" s="78">
        <f t="shared" si="5"/>
        <v>95394.249999999942</v>
      </c>
      <c r="L30" s="41">
        <f t="shared" si="6"/>
        <v>22.37355406589154</v>
      </c>
      <c r="M30" s="74" t="s">
        <v>105</v>
      </c>
    </row>
    <row r="31" spans="1:13" ht="15" customHeight="1">
      <c r="A31" s="21">
        <v>7149</v>
      </c>
      <c r="B31" s="22" t="s">
        <v>25</v>
      </c>
      <c r="C31" s="78">
        <v>13569758.229999999</v>
      </c>
      <c r="D31" s="41">
        <f t="shared" si="0"/>
        <v>0.25572437490577415</v>
      </c>
      <c r="E31" s="78">
        <v>12182023.15972361</v>
      </c>
      <c r="F31" s="41">
        <f t="shared" si="1"/>
        <v>0.22957227422967758</v>
      </c>
      <c r="G31" s="78">
        <f t="shared" si="2"/>
        <v>1387735.0702763889</v>
      </c>
      <c r="H31" s="41">
        <f t="shared" si="3"/>
        <v>11.391663372177291</v>
      </c>
      <c r="I31" s="78">
        <v>4513790.04</v>
      </c>
      <c r="J31" s="41">
        <f t="shared" si="4"/>
        <v>9.1093529192858444E-2</v>
      </c>
      <c r="K31" s="78">
        <f t="shared" si="5"/>
        <v>9055968.1899999976</v>
      </c>
      <c r="L31" s="41">
        <f t="shared" si="6"/>
        <v>200.62891959414219</v>
      </c>
      <c r="M31" s="74" t="s">
        <v>106</v>
      </c>
    </row>
    <row r="32" spans="1:13" ht="15" customHeight="1">
      <c r="A32" s="18">
        <v>715</v>
      </c>
      <c r="B32" s="19" t="s">
        <v>26</v>
      </c>
      <c r="C32" s="20">
        <f>+SUM(C33:C36)</f>
        <v>4604159.7799999993</v>
      </c>
      <c r="D32" s="40">
        <f t="shared" si="0"/>
        <v>8.676616500829186E-2</v>
      </c>
      <c r="E32" s="20">
        <f>+SUM(E33:E36)</f>
        <v>5808119.1083143121</v>
      </c>
      <c r="F32" s="40">
        <f t="shared" si="1"/>
        <v>0.10945498093461316</v>
      </c>
      <c r="G32" s="20">
        <f t="shared" si="2"/>
        <v>-1203959.3283143127</v>
      </c>
      <c r="H32" s="40">
        <f t="shared" si="3"/>
        <v>-20.728902177485438</v>
      </c>
      <c r="I32" s="20">
        <f>+SUM(I33:I36)</f>
        <v>5011033.03</v>
      </c>
      <c r="J32" s="40">
        <f t="shared" si="4"/>
        <v>0.10112847065537921</v>
      </c>
      <c r="K32" s="20">
        <f t="shared" si="5"/>
        <v>-406873.25000000093</v>
      </c>
      <c r="L32" s="40">
        <f t="shared" si="6"/>
        <v>-8.1195483558806529</v>
      </c>
      <c r="M32" s="73" t="s">
        <v>107</v>
      </c>
    </row>
    <row r="33" spans="1:106" ht="15" customHeight="1">
      <c r="A33" s="21">
        <v>7151</v>
      </c>
      <c r="B33" s="22" t="s">
        <v>27</v>
      </c>
      <c r="C33" s="78">
        <v>344288.82</v>
      </c>
      <c r="D33" s="41">
        <f t="shared" si="0"/>
        <v>6.4881806874717328E-3</v>
      </c>
      <c r="E33" s="78">
        <v>929387.28940467513</v>
      </c>
      <c r="F33" s="41">
        <f t="shared" si="1"/>
        <v>1.7514459697811607E-2</v>
      </c>
      <c r="G33" s="78">
        <f t="shared" si="2"/>
        <v>-585098.46940467507</v>
      </c>
      <c r="H33" s="41">
        <f t="shared" si="3"/>
        <v>-62.955290660308435</v>
      </c>
      <c r="I33" s="78">
        <v>391444.45</v>
      </c>
      <c r="J33" s="41">
        <f t="shared" si="4"/>
        <v>7.8998039601898325E-3</v>
      </c>
      <c r="K33" s="78">
        <f t="shared" si="5"/>
        <v>-47155.630000000005</v>
      </c>
      <c r="L33" s="41">
        <f t="shared" si="6"/>
        <v>-12.046570081655261</v>
      </c>
      <c r="M33" s="74" t="s">
        <v>108</v>
      </c>
    </row>
    <row r="34" spans="1:106" ht="15" customHeight="1">
      <c r="A34" s="21">
        <v>7152</v>
      </c>
      <c r="B34" s="22" t="s">
        <v>28</v>
      </c>
      <c r="C34" s="78">
        <v>2499880.46</v>
      </c>
      <c r="D34" s="41">
        <f t="shared" si="0"/>
        <v>4.7110667495854061E-2</v>
      </c>
      <c r="E34" s="78">
        <v>2344362.7021566709</v>
      </c>
      <c r="F34" s="41">
        <f t="shared" si="1"/>
        <v>4.4179909206932592E-2</v>
      </c>
      <c r="G34" s="78">
        <f t="shared" si="2"/>
        <v>155517.75784332911</v>
      </c>
      <c r="H34" s="41">
        <f t="shared" si="3"/>
        <v>6.6336901581083083</v>
      </c>
      <c r="I34" s="78">
        <v>2754459.0100000002</v>
      </c>
      <c r="J34" s="41">
        <f t="shared" si="4"/>
        <v>5.5588184212034597E-2</v>
      </c>
      <c r="K34" s="78">
        <f t="shared" si="5"/>
        <v>-254578.55000000028</v>
      </c>
      <c r="L34" s="41">
        <f t="shared" si="6"/>
        <v>-9.2424156277424601</v>
      </c>
      <c r="M34" s="74" t="s">
        <v>109</v>
      </c>
    </row>
    <row r="35" spans="1:106">
      <c r="A35" s="21">
        <v>7153</v>
      </c>
      <c r="B35" s="22" t="s">
        <v>29</v>
      </c>
      <c r="C35" s="78">
        <v>357139.38</v>
      </c>
      <c r="D35" s="41">
        <f t="shared" si="0"/>
        <v>6.7303516508367264E-3</v>
      </c>
      <c r="E35" s="78">
        <v>557174.11601413542</v>
      </c>
      <c r="F35" s="41">
        <f t="shared" si="1"/>
        <v>1.0500039876642083E-2</v>
      </c>
      <c r="G35" s="78">
        <f t="shared" si="2"/>
        <v>-200034.73601413541</v>
      </c>
      <c r="H35" s="41">
        <f t="shared" si="3"/>
        <v>-35.90165628028933</v>
      </c>
      <c r="I35" s="78">
        <v>401238.36</v>
      </c>
      <c r="J35" s="41">
        <f t="shared" si="4"/>
        <v>8.0974564470337324E-3</v>
      </c>
      <c r="K35" s="78">
        <f t="shared" si="5"/>
        <v>-44098.979999999981</v>
      </c>
      <c r="L35" s="41">
        <f t="shared" si="6"/>
        <v>-10.990718833563164</v>
      </c>
      <c r="M35" s="74" t="s">
        <v>110</v>
      </c>
    </row>
    <row r="36" spans="1:106" s="3" customFormat="1" ht="15" customHeight="1">
      <c r="A36" s="21">
        <v>7155</v>
      </c>
      <c r="B36" s="22" t="s">
        <v>26</v>
      </c>
      <c r="C36" s="78">
        <v>1402851.12</v>
      </c>
      <c r="D36" s="41">
        <f t="shared" si="0"/>
        <v>2.6436965174129357E-2</v>
      </c>
      <c r="E36" s="78">
        <v>1977195.0007388305</v>
      </c>
      <c r="F36" s="41">
        <f t="shared" si="1"/>
        <v>3.7260572153226867E-2</v>
      </c>
      <c r="G36" s="78">
        <f t="shared" si="2"/>
        <v>-574343.88073883043</v>
      </c>
      <c r="H36" s="41">
        <f t="shared" si="3"/>
        <v>-29.048418619519666</v>
      </c>
      <c r="I36" s="78">
        <v>1463891.21</v>
      </c>
      <c r="J36" s="41">
        <f t="shared" si="4"/>
        <v>2.9543026036121051E-2</v>
      </c>
      <c r="K36" s="78">
        <f t="shared" si="5"/>
        <v>-61040.089999999851</v>
      </c>
      <c r="L36" s="41">
        <f t="shared" si="6"/>
        <v>-4.1697149066152122</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1371939.8699999999</v>
      </c>
      <c r="D37" s="40">
        <f t="shared" si="0"/>
        <v>2.5854437471732248E-2</v>
      </c>
      <c r="E37" s="20">
        <v>846685.93402877718</v>
      </c>
      <c r="F37" s="40">
        <f t="shared" si="1"/>
        <v>1.5955938753745989E-2</v>
      </c>
      <c r="G37" s="20">
        <f t="shared" si="2"/>
        <v>525253.9359712227</v>
      </c>
      <c r="H37" s="40">
        <f t="shared" si="3"/>
        <v>62.036454706636277</v>
      </c>
      <c r="I37" s="20">
        <v>1580205.76</v>
      </c>
      <c r="J37" s="40">
        <f t="shared" si="4"/>
        <v>3.1890388842561908E-2</v>
      </c>
      <c r="K37" s="20">
        <f t="shared" si="5"/>
        <v>-208265.89000000013</v>
      </c>
      <c r="L37" s="40">
        <f t="shared" si="6"/>
        <v>-13.179669083094609</v>
      </c>
      <c r="M37" s="73" t="s">
        <v>111</v>
      </c>
    </row>
    <row r="38" spans="1:106" ht="15" customHeight="1">
      <c r="A38" s="18">
        <v>74</v>
      </c>
      <c r="B38" s="19" t="s">
        <v>50</v>
      </c>
      <c r="C38" s="20">
        <v>7007734.5800000001</v>
      </c>
      <c r="D38" s="40">
        <f t="shared" si="0"/>
        <v>0.13206193615257047</v>
      </c>
      <c r="E38" s="20">
        <v>4045566.8535138103</v>
      </c>
      <c r="F38" s="40">
        <f t="shared" si="1"/>
        <v>7.6239387409803447E-2</v>
      </c>
      <c r="G38" s="20">
        <f t="shared" si="2"/>
        <v>2962167.7264861898</v>
      </c>
      <c r="H38" s="40">
        <f t="shared" si="3"/>
        <v>73.22009087338094</v>
      </c>
      <c r="I38" s="20">
        <v>3078243.08</v>
      </c>
      <c r="J38" s="40">
        <f t="shared" si="4"/>
        <v>6.2122523065050346E-2</v>
      </c>
      <c r="K38" s="20">
        <f t="shared" si="5"/>
        <v>3929491.5</v>
      </c>
      <c r="L38" s="40">
        <f t="shared" si="6"/>
        <v>127.65371018067876</v>
      </c>
      <c r="M38" s="73" t="s">
        <v>112</v>
      </c>
    </row>
    <row r="39" spans="1:106" ht="15" customHeight="1">
      <c r="A39" s="15"/>
      <c r="B39" s="16" t="s">
        <v>75</v>
      </c>
      <c r="C39" s="17">
        <f>+C40+C50+C56+C57+C58+C59+C60+C61</f>
        <v>438581456.31999999</v>
      </c>
      <c r="D39" s="39">
        <f t="shared" si="0"/>
        <v>8.2651412694105222</v>
      </c>
      <c r="E39" s="17">
        <f>+E40+E50+E56+E57+E58+E59+E60+E61</f>
        <v>503227023.10764295</v>
      </c>
      <c r="F39" s="39">
        <f t="shared" ref="F39:F76" si="7">+E39/$E$2*100</f>
        <v>9.483397842372284</v>
      </c>
      <c r="G39" s="17">
        <f t="shared" si="2"/>
        <v>-64645566.787642956</v>
      </c>
      <c r="H39" s="39">
        <f t="shared" si="3"/>
        <v>-12.846203367305037</v>
      </c>
      <c r="I39" s="17">
        <f>+I40+I50+I56+I57+I58+I59+I60+I61</f>
        <v>449010142.74999994</v>
      </c>
      <c r="J39" s="39">
        <f t="shared" si="4"/>
        <v>9.0615465460344407</v>
      </c>
      <c r="K39" s="17">
        <f t="shared" ref="K39:K61" si="8">+C39-I39</f>
        <v>-10428686.429999948</v>
      </c>
      <c r="L39" s="39">
        <f t="shared" ref="L39:L61" si="9">+C39/I39*100-100</f>
        <v>-2.3225948452140983</v>
      </c>
      <c r="M39" s="82" t="s">
        <v>113</v>
      </c>
    </row>
    <row r="40" spans="1:106" ht="15" customHeight="1">
      <c r="A40" s="18">
        <v>41</v>
      </c>
      <c r="B40" s="19" t="s">
        <v>72</v>
      </c>
      <c r="C40" s="20">
        <f>+SUM(C41:C49)</f>
        <v>172386561.34000003</v>
      </c>
      <c r="D40" s="40">
        <f t="shared" si="0"/>
        <v>3.2486537264435409</v>
      </c>
      <c r="E40" s="20">
        <f>+SUM(E41:E49)</f>
        <v>189740865.90799999</v>
      </c>
      <c r="F40" s="40">
        <f t="shared" si="7"/>
        <v>3.5756985132669983</v>
      </c>
      <c r="G40" s="20">
        <f t="shared" si="2"/>
        <v>-17354304.567999959</v>
      </c>
      <c r="H40" s="40">
        <f t="shared" si="3"/>
        <v>-9.1463188412002694</v>
      </c>
      <c r="I40" s="20">
        <f>+SUM(I41:I49)</f>
        <v>189111693.41000003</v>
      </c>
      <c r="J40" s="40">
        <f t="shared" si="4"/>
        <v>3.8164937694697767</v>
      </c>
      <c r="K40" s="20">
        <f t="shared" si="8"/>
        <v>-16725132.069999993</v>
      </c>
      <c r="L40" s="40">
        <f t="shared" si="9"/>
        <v>-8.8440496557446551</v>
      </c>
      <c r="M40" s="73" t="s">
        <v>114</v>
      </c>
    </row>
    <row r="41" spans="1:106" ht="15" customHeight="1">
      <c r="A41" s="21">
        <v>411</v>
      </c>
      <c r="B41" s="22" t="s">
        <v>30</v>
      </c>
      <c r="C41" s="23">
        <v>129166889.45</v>
      </c>
      <c r="D41" s="41">
        <f t="shared" si="0"/>
        <v>2.4341717444972111</v>
      </c>
      <c r="E41" s="23">
        <v>133104272.59</v>
      </c>
      <c r="F41" s="41">
        <f t="shared" si="7"/>
        <v>2.5083723916402834</v>
      </c>
      <c r="G41" s="23">
        <f t="shared" si="2"/>
        <v>-3937383.1400000006</v>
      </c>
      <c r="H41" s="41">
        <f t="shared" si="3"/>
        <v>-2.9581192724956935</v>
      </c>
      <c r="I41" s="23">
        <v>134577195.43000001</v>
      </c>
      <c r="J41" s="41">
        <f t="shared" si="4"/>
        <v>2.7159242171121729</v>
      </c>
      <c r="K41" s="23">
        <f t="shared" si="8"/>
        <v>-5410305.9800000042</v>
      </c>
      <c r="L41" s="41">
        <f t="shared" si="9"/>
        <v>-4.0202249442879463</v>
      </c>
      <c r="M41" s="74" t="s">
        <v>115</v>
      </c>
    </row>
    <row r="42" spans="1:106" ht="15" customHeight="1">
      <c r="A42" s="21">
        <v>412</v>
      </c>
      <c r="B42" s="22" t="s">
        <v>31</v>
      </c>
      <c r="C42" s="23">
        <v>2295622.7400000002</v>
      </c>
      <c r="D42" s="41">
        <f t="shared" si="0"/>
        <v>4.3261396426956131E-2</v>
      </c>
      <c r="E42" s="23">
        <v>3452936.01</v>
      </c>
      <c r="F42" s="41">
        <f t="shared" si="7"/>
        <v>6.5071159543193119E-2</v>
      </c>
      <c r="G42" s="23">
        <f t="shared" si="2"/>
        <v>-1157313.2699999996</v>
      </c>
      <c r="H42" s="41">
        <f t="shared" si="3"/>
        <v>-33.516788803740369</v>
      </c>
      <c r="I42" s="23">
        <v>1862596.3699999999</v>
      </c>
      <c r="J42" s="41">
        <f t="shared" si="4"/>
        <v>3.758935956292446E-2</v>
      </c>
      <c r="K42" s="23">
        <f t="shared" si="8"/>
        <v>433026.37000000034</v>
      </c>
      <c r="L42" s="41">
        <f t="shared" si="9"/>
        <v>23.248535054323142</v>
      </c>
      <c r="M42" s="74" t="s">
        <v>116</v>
      </c>
    </row>
    <row r="43" spans="1:106" ht="15" customHeight="1">
      <c r="A43" s="21">
        <v>413</v>
      </c>
      <c r="B43" s="22" t="s">
        <v>76</v>
      </c>
      <c r="C43" s="23">
        <v>6258318.5199999996</v>
      </c>
      <c r="D43" s="41">
        <f t="shared" si="0"/>
        <v>0.11793906452585556</v>
      </c>
      <c r="E43" s="23">
        <v>6870562.7899999991</v>
      </c>
      <c r="F43" s="41">
        <f t="shared" si="7"/>
        <v>0.12947691071159353</v>
      </c>
      <c r="G43" s="23">
        <f t="shared" si="2"/>
        <v>-612244.26999999955</v>
      </c>
      <c r="H43" s="41">
        <f t="shared" si="3"/>
        <v>-8.911122548666782</v>
      </c>
      <c r="I43" s="23">
        <v>5105228.28</v>
      </c>
      <c r="J43" s="41">
        <f t="shared" si="4"/>
        <v>0.10302944027950102</v>
      </c>
      <c r="K43" s="23">
        <f t="shared" si="8"/>
        <v>1153090.2399999993</v>
      </c>
      <c r="L43" s="41">
        <f t="shared" si="9"/>
        <v>22.586457975195557</v>
      </c>
      <c r="M43" s="74" t="s">
        <v>117</v>
      </c>
    </row>
    <row r="44" spans="1:106" ht="15" customHeight="1">
      <c r="A44" s="21">
        <v>414</v>
      </c>
      <c r="B44" s="22" t="s">
        <v>77</v>
      </c>
      <c r="C44" s="23">
        <v>8472001.7100000009</v>
      </c>
      <c r="D44" s="41">
        <f t="shared" si="0"/>
        <v>0.15965629635911355</v>
      </c>
      <c r="E44" s="23">
        <v>9926669.4600000009</v>
      </c>
      <c r="F44" s="41">
        <f t="shared" si="7"/>
        <v>0.18706975463591138</v>
      </c>
      <c r="G44" s="23">
        <f t="shared" si="2"/>
        <v>-1454667.75</v>
      </c>
      <c r="H44" s="41">
        <f t="shared" si="3"/>
        <v>-14.654137078520193</v>
      </c>
      <c r="I44" s="23">
        <v>7027209.0800000001</v>
      </c>
      <c r="J44" s="41">
        <f t="shared" si="4"/>
        <v>0.14181724665981585</v>
      </c>
      <c r="K44" s="23">
        <f t="shared" si="8"/>
        <v>1444792.6300000008</v>
      </c>
      <c r="L44" s="41">
        <f t="shared" si="9"/>
        <v>20.559977845429358</v>
      </c>
      <c r="M44" s="74" t="s">
        <v>118</v>
      </c>
    </row>
    <row r="45" spans="1:106" ht="15.75" customHeight="1">
      <c r="A45" s="21">
        <v>415</v>
      </c>
      <c r="B45" s="22" t="s">
        <v>32</v>
      </c>
      <c r="C45" s="23">
        <v>3650730.74</v>
      </c>
      <c r="D45" s="41">
        <f t="shared" si="0"/>
        <v>6.8798634479119561E-2</v>
      </c>
      <c r="E45" s="23">
        <v>4589835.0100000007</v>
      </c>
      <c r="F45" s="41">
        <f t="shared" si="7"/>
        <v>8.6496212309663811E-2</v>
      </c>
      <c r="G45" s="23">
        <f t="shared" si="2"/>
        <v>-939104.27000000048</v>
      </c>
      <c r="H45" s="41">
        <f t="shared" si="3"/>
        <v>-20.460523481866957</v>
      </c>
      <c r="I45" s="23">
        <v>3543684.37</v>
      </c>
      <c r="J45" s="41">
        <f t="shared" si="4"/>
        <v>7.1515669259811482E-2</v>
      </c>
      <c r="K45" s="23">
        <f t="shared" si="8"/>
        <v>107046.37000000011</v>
      </c>
      <c r="L45" s="41">
        <f t="shared" si="9"/>
        <v>3.0207647979664642</v>
      </c>
      <c r="M45" s="74" t="s">
        <v>119</v>
      </c>
    </row>
    <row r="46" spans="1:106" ht="15" customHeight="1">
      <c r="A46" s="21">
        <v>416</v>
      </c>
      <c r="B46" s="22" t="s">
        <v>33</v>
      </c>
      <c r="C46" s="23">
        <v>6074189</v>
      </c>
      <c r="D46" s="41">
        <f t="shared" si="0"/>
        <v>0.1144691127694859</v>
      </c>
      <c r="E46" s="23">
        <v>6599459.9500000011</v>
      </c>
      <c r="F46" s="41">
        <f t="shared" si="7"/>
        <v>0.12436793211970452</v>
      </c>
      <c r="G46" s="23">
        <f t="shared" si="2"/>
        <v>-525270.95000000112</v>
      </c>
      <c r="H46" s="41">
        <f t="shared" si="3"/>
        <v>-7.9593020334944384</v>
      </c>
      <c r="I46" s="23">
        <v>24329658.02</v>
      </c>
      <c r="J46" s="41">
        <f t="shared" si="4"/>
        <v>0.49100077616750043</v>
      </c>
      <c r="K46" s="23">
        <f t="shared" si="8"/>
        <v>-18255469.02</v>
      </c>
      <c r="L46" s="41">
        <f t="shared" si="9"/>
        <v>-75.033808551658382</v>
      </c>
      <c r="M46" s="74" t="s">
        <v>120</v>
      </c>
    </row>
    <row r="47" spans="1:106" ht="15" customHeight="1">
      <c r="A47" s="21">
        <v>417</v>
      </c>
      <c r="B47" s="22" t="s">
        <v>34</v>
      </c>
      <c r="C47" s="23">
        <v>1786716.9300000004</v>
      </c>
      <c r="D47" s="41">
        <f t="shared" si="0"/>
        <v>3.3670980890999555E-2</v>
      </c>
      <c r="E47" s="23">
        <v>3040054.6299999994</v>
      </c>
      <c r="F47" s="41">
        <f t="shared" si="7"/>
        <v>5.7290340532187539E-2</v>
      </c>
      <c r="G47" s="23">
        <f t="shared" si="2"/>
        <v>-1253337.699999999</v>
      </c>
      <c r="H47" s="41">
        <f t="shared" si="3"/>
        <v>-41.227472941826683</v>
      </c>
      <c r="I47" s="23">
        <v>1808986.5699999998</v>
      </c>
      <c r="J47" s="41">
        <f t="shared" si="4"/>
        <v>3.6507451490540278E-2</v>
      </c>
      <c r="K47" s="23">
        <f t="shared" si="8"/>
        <v>-22269.639999999432</v>
      </c>
      <c r="L47" s="41">
        <f t="shared" si="9"/>
        <v>-1.2310561266355506</v>
      </c>
      <c r="M47" s="74" t="s">
        <v>121</v>
      </c>
    </row>
    <row r="48" spans="1:106" ht="15" customHeight="1">
      <c r="A48" s="21">
        <v>418</v>
      </c>
      <c r="B48" s="22" t="s">
        <v>35</v>
      </c>
      <c r="C48" s="23">
        <v>7927885.1400000006</v>
      </c>
      <c r="D48" s="41">
        <f t="shared" si="0"/>
        <v>0.14940232813206697</v>
      </c>
      <c r="E48" s="23">
        <v>11196416.49</v>
      </c>
      <c r="F48" s="41">
        <f t="shared" si="7"/>
        <v>0.21099835085933968</v>
      </c>
      <c r="G48" s="23">
        <f t="shared" si="2"/>
        <v>-3268531.3499999996</v>
      </c>
      <c r="H48" s="41">
        <f t="shared" si="3"/>
        <v>-29.192655997740573</v>
      </c>
      <c r="I48" s="23">
        <v>4315078.8499999996</v>
      </c>
      <c r="J48" s="41">
        <f t="shared" si="4"/>
        <v>8.7083306425116982E-2</v>
      </c>
      <c r="K48" s="23">
        <f t="shared" si="8"/>
        <v>3612806.290000001</v>
      </c>
      <c r="L48" s="41">
        <f t="shared" si="9"/>
        <v>83.725151163807851</v>
      </c>
      <c r="M48" s="74" t="s">
        <v>122</v>
      </c>
    </row>
    <row r="49" spans="1:16" ht="15" customHeight="1">
      <c r="A49" s="21">
        <v>419</v>
      </c>
      <c r="B49" s="22" t="s">
        <v>36</v>
      </c>
      <c r="C49" s="23">
        <v>6754207.1099999994</v>
      </c>
      <c r="D49" s="41">
        <f t="shared" si="0"/>
        <v>0.12728416836273176</v>
      </c>
      <c r="E49" s="23">
        <v>10960658.978</v>
      </c>
      <c r="F49" s="41">
        <f t="shared" si="7"/>
        <v>0.20655546091512136</v>
      </c>
      <c r="G49" s="23">
        <f t="shared" si="2"/>
        <v>-4206451.8680000007</v>
      </c>
      <c r="H49" s="41">
        <f t="shared" si="3"/>
        <v>-38.377727803073711</v>
      </c>
      <c r="I49" s="23">
        <v>6542056.4400000004</v>
      </c>
      <c r="J49" s="41">
        <f t="shared" si="4"/>
        <v>0.13202630251239325</v>
      </c>
      <c r="K49" s="23">
        <f t="shared" si="8"/>
        <v>212150.66999999899</v>
      </c>
      <c r="L49" s="41">
        <f t="shared" si="9"/>
        <v>3.2428743460978069</v>
      </c>
      <c r="M49" s="74" t="s">
        <v>123</v>
      </c>
    </row>
    <row r="50" spans="1:16" ht="15" customHeight="1">
      <c r="A50" s="18">
        <v>42</v>
      </c>
      <c r="B50" s="19" t="s">
        <v>37</v>
      </c>
      <c r="C50" s="20">
        <f>+SUM(C51:C55)</f>
        <v>142775723.26999998</v>
      </c>
      <c r="D50" s="40">
        <f t="shared" si="0"/>
        <v>2.6906325054650981</v>
      </c>
      <c r="E50" s="20">
        <f>+SUM(E51:E55)</f>
        <v>154975864.18964288</v>
      </c>
      <c r="F50" s="40">
        <f t="shared" si="7"/>
        <v>2.9205462119260304</v>
      </c>
      <c r="G50" s="20">
        <f t="shared" si="2"/>
        <v>-12200140.919642895</v>
      </c>
      <c r="H50" s="40">
        <f t="shared" si="3"/>
        <v>-7.8722844898697701</v>
      </c>
      <c r="I50" s="20">
        <f>+SUM(I51:I55)</f>
        <v>137224210.57999998</v>
      </c>
      <c r="J50" s="40">
        <f t="shared" si="4"/>
        <v>2.7693440593519907</v>
      </c>
      <c r="K50" s="20">
        <f t="shared" si="8"/>
        <v>5551512.6899999976</v>
      </c>
      <c r="L50" s="40">
        <f t="shared" si="9"/>
        <v>4.0455781574808327</v>
      </c>
      <c r="M50" s="73" t="s">
        <v>124</v>
      </c>
    </row>
    <row r="51" spans="1:16" ht="15" customHeight="1">
      <c r="A51" s="21">
        <v>421</v>
      </c>
      <c r="B51" s="22" t="s">
        <v>38</v>
      </c>
      <c r="C51" s="23">
        <v>24977494.689999998</v>
      </c>
      <c r="D51" s="41">
        <f t="shared" si="0"/>
        <v>0.47070508612241813</v>
      </c>
      <c r="E51" s="23">
        <v>27597142.897142857</v>
      </c>
      <c r="F51" s="41">
        <f t="shared" si="7"/>
        <v>0.52007279694600583</v>
      </c>
      <c r="G51" s="23">
        <f t="shared" si="2"/>
        <v>-2619648.2071428597</v>
      </c>
      <c r="H51" s="41">
        <f t="shared" si="3"/>
        <v>-9.4924616541159139</v>
      </c>
      <c r="I51" s="23">
        <v>19725106.289999999</v>
      </c>
      <c r="J51" s="41">
        <f t="shared" si="4"/>
        <v>0.39807557058200049</v>
      </c>
      <c r="K51" s="23">
        <f t="shared" si="8"/>
        <v>5252388.3999999985</v>
      </c>
      <c r="L51" s="41">
        <f t="shared" si="9"/>
        <v>26.627934586404692</v>
      </c>
      <c r="M51" s="74" t="s">
        <v>125</v>
      </c>
    </row>
    <row r="52" spans="1:16" ht="15" customHeight="1">
      <c r="A52" s="21">
        <v>422</v>
      </c>
      <c r="B52" s="22" t="s">
        <v>39</v>
      </c>
      <c r="C52" s="23">
        <v>4939208.09</v>
      </c>
      <c r="D52" s="41">
        <f t="shared" si="0"/>
        <v>9.3080206731494045E-2</v>
      </c>
      <c r="E52" s="23">
        <v>7477319.7300000004</v>
      </c>
      <c r="F52" s="41">
        <f t="shared" si="7"/>
        <v>0.14091134724106741</v>
      </c>
      <c r="G52" s="23">
        <f t="shared" si="2"/>
        <v>-2538111.6400000006</v>
      </c>
      <c r="H52" s="41">
        <f t="shared" si="3"/>
        <v>-33.944136825081301</v>
      </c>
      <c r="I52" s="23">
        <v>3000939.4699999997</v>
      </c>
      <c r="J52" s="41">
        <f t="shared" si="4"/>
        <v>6.0562446368561292E-2</v>
      </c>
      <c r="K52" s="23">
        <f t="shared" si="8"/>
        <v>1938268.62</v>
      </c>
      <c r="L52" s="41">
        <f t="shared" si="9"/>
        <v>64.588727609357619</v>
      </c>
      <c r="M52" s="74" t="s">
        <v>126</v>
      </c>
    </row>
    <row r="53" spans="1:16">
      <c r="A53" s="21">
        <v>423</v>
      </c>
      <c r="B53" s="22" t="s">
        <v>40</v>
      </c>
      <c r="C53" s="23">
        <v>107573776.69999999</v>
      </c>
      <c r="D53" s="41">
        <f t="shared" si="0"/>
        <v>2.027245904944972</v>
      </c>
      <c r="E53" s="23">
        <v>114087401.54250002</v>
      </c>
      <c r="F53" s="41">
        <f t="shared" si="7"/>
        <v>2.1499962600350524</v>
      </c>
      <c r="G53" s="23">
        <f t="shared" si="2"/>
        <v>-6513624.842500031</v>
      </c>
      <c r="H53" s="41">
        <f t="shared" si="3"/>
        <v>-5.7093287728825715</v>
      </c>
      <c r="I53" s="23">
        <v>108411366.19</v>
      </c>
      <c r="J53" s="41">
        <f t="shared" si="4"/>
        <v>2.1878673716215724</v>
      </c>
      <c r="K53" s="23">
        <f t="shared" si="8"/>
        <v>-837589.49000000954</v>
      </c>
      <c r="L53" s="41">
        <f t="shared" si="9"/>
        <v>-0.77260302073129594</v>
      </c>
      <c r="M53" s="74" t="s">
        <v>127</v>
      </c>
    </row>
    <row r="54" spans="1:16" ht="15" customHeight="1">
      <c r="A54" s="21">
        <v>424</v>
      </c>
      <c r="B54" s="22" t="s">
        <v>41</v>
      </c>
      <c r="C54" s="23">
        <v>2782473.65</v>
      </c>
      <c r="D54" s="41">
        <f t="shared" si="0"/>
        <v>5.2436183665008289E-2</v>
      </c>
      <c r="E54" s="23">
        <v>2982000</v>
      </c>
      <c r="F54" s="41">
        <f t="shared" si="7"/>
        <v>5.6196291270918138E-2</v>
      </c>
      <c r="G54" s="23">
        <f t="shared" si="2"/>
        <v>-199526.35000000009</v>
      </c>
      <c r="H54" s="41">
        <f t="shared" si="3"/>
        <v>-6.6910244802146224</v>
      </c>
      <c r="I54" s="23">
        <v>3813002.13</v>
      </c>
      <c r="J54" s="41">
        <f t="shared" si="4"/>
        <v>7.6950814673158008E-2</v>
      </c>
      <c r="K54" s="23">
        <f t="shared" si="8"/>
        <v>-1030528.48</v>
      </c>
      <c r="L54" s="41">
        <f t="shared" si="9"/>
        <v>-27.026695628937404</v>
      </c>
      <c r="M54" s="74" t="s">
        <v>128</v>
      </c>
    </row>
    <row r="55" spans="1:16" ht="15" customHeight="1">
      <c r="A55" s="21">
        <v>425</v>
      </c>
      <c r="B55" s="22" t="s">
        <v>42</v>
      </c>
      <c r="C55" s="23">
        <v>2502770.14</v>
      </c>
      <c r="D55" s="41">
        <f t="shared" si="0"/>
        <v>4.7165124001206093E-2</v>
      </c>
      <c r="E55" s="23">
        <v>2832000.02</v>
      </c>
      <c r="F55" s="41">
        <f t="shared" si="7"/>
        <v>5.3369516432986583E-2</v>
      </c>
      <c r="G55" s="23">
        <f t="shared" si="2"/>
        <v>-329229.87999999989</v>
      </c>
      <c r="H55" s="41">
        <f t="shared" si="3"/>
        <v>-11.625348787956568</v>
      </c>
      <c r="I55" s="23">
        <v>2273796.5</v>
      </c>
      <c r="J55" s="41">
        <f t="shared" si="4"/>
        <v>4.5887856106698613E-2</v>
      </c>
      <c r="K55" s="23">
        <f t="shared" si="8"/>
        <v>228973.64000000013</v>
      </c>
      <c r="L55" s="41">
        <f t="shared" si="9"/>
        <v>10.070102579540446</v>
      </c>
      <c r="M55" s="74" t="s">
        <v>129</v>
      </c>
      <c r="P55" s="80"/>
    </row>
    <row r="56" spans="1:16" ht="24.75" customHeight="1">
      <c r="A56" s="18">
        <v>43</v>
      </c>
      <c r="B56" s="79" t="s">
        <v>43</v>
      </c>
      <c r="C56" s="20">
        <v>61844063.010000005</v>
      </c>
      <c r="D56" s="40">
        <f t="shared" si="0"/>
        <v>1.1654617633423792</v>
      </c>
      <c r="E56" s="20">
        <v>73382546.090000004</v>
      </c>
      <c r="F56" s="40">
        <f t="shared" si="7"/>
        <v>1.3829064165912861</v>
      </c>
      <c r="G56" s="20">
        <f t="shared" si="2"/>
        <v>-11538483.079999998</v>
      </c>
      <c r="H56" s="40">
        <f t="shared" si="3"/>
        <v>-15.723743171637338</v>
      </c>
      <c r="I56" s="20">
        <v>57156502.379999995</v>
      </c>
      <c r="J56" s="40">
        <f t="shared" si="4"/>
        <v>1.153484648593494</v>
      </c>
      <c r="K56" s="20">
        <f t="shared" si="8"/>
        <v>4687560.6300000101</v>
      </c>
      <c r="L56" s="40">
        <f t="shared" si="9"/>
        <v>8.2012727070581946</v>
      </c>
      <c r="M56" s="73" t="s">
        <v>130</v>
      </c>
    </row>
    <row r="57" spans="1:16" ht="15" customHeight="1">
      <c r="A57" s="18">
        <v>44</v>
      </c>
      <c r="B57" s="19" t="s">
        <v>67</v>
      </c>
      <c r="C57" s="20">
        <v>35662874.810000002</v>
      </c>
      <c r="D57" s="40">
        <f t="shared" si="0"/>
        <v>0.67207287068445654</v>
      </c>
      <c r="E57" s="20">
        <v>53313885</v>
      </c>
      <c r="F57" s="40">
        <f t="shared" si="7"/>
        <v>1.0047091248303934</v>
      </c>
      <c r="G57" s="20">
        <f t="shared" si="2"/>
        <v>-17651010.189999998</v>
      </c>
      <c r="H57" s="40">
        <f t="shared" si="3"/>
        <v>-33.107717042192661</v>
      </c>
      <c r="I57" s="20">
        <v>24457717.010000002</v>
      </c>
      <c r="J57" s="40">
        <f t="shared" si="4"/>
        <v>0.49358515542320308</v>
      </c>
      <c r="K57" s="20">
        <f t="shared" si="8"/>
        <v>11205157.800000001</v>
      </c>
      <c r="L57" s="40">
        <f t="shared" si="9"/>
        <v>45.814406125553575</v>
      </c>
      <c r="M57" s="73" t="s">
        <v>131</v>
      </c>
    </row>
    <row r="58" spans="1:16" ht="15" customHeight="1">
      <c r="A58" s="18">
        <v>45</v>
      </c>
      <c r="B58" s="19" t="s">
        <v>44</v>
      </c>
      <c r="C58" s="20">
        <v>250240</v>
      </c>
      <c r="D58" s="40">
        <f t="shared" si="0"/>
        <v>4.7158148650685962E-3</v>
      </c>
      <c r="E58" s="20">
        <v>247666.89999999997</v>
      </c>
      <c r="F58" s="40">
        <f t="shared" si="7"/>
        <v>4.6673243630333174E-3</v>
      </c>
      <c r="G58" s="20">
        <f t="shared" si="2"/>
        <v>2573.1000000000349</v>
      </c>
      <c r="H58" s="40">
        <f t="shared" si="3"/>
        <v>1.038935764125128</v>
      </c>
      <c r="I58" s="20">
        <v>264894</v>
      </c>
      <c r="J58" s="40">
        <f t="shared" si="4"/>
        <v>5.3458687949989462E-3</v>
      </c>
      <c r="K58" s="20">
        <f t="shared" si="8"/>
        <v>-14654</v>
      </c>
      <c r="L58" s="40">
        <f t="shared" si="9"/>
        <v>-5.5320241304068816</v>
      </c>
      <c r="M58" s="73" t="s">
        <v>132</v>
      </c>
    </row>
    <row r="59" spans="1:16" ht="15" customHeight="1">
      <c r="A59" s="18">
        <v>462</v>
      </c>
      <c r="B59" s="19" t="s">
        <v>45</v>
      </c>
      <c r="C59" s="20">
        <v>0</v>
      </c>
      <c r="D59" s="40">
        <f t="shared" si="0"/>
        <v>0</v>
      </c>
      <c r="E59" s="20">
        <v>0</v>
      </c>
      <c r="F59" s="40">
        <f t="shared" si="7"/>
        <v>0</v>
      </c>
      <c r="G59" s="20">
        <f t="shared" si="2"/>
        <v>0</v>
      </c>
      <c r="H59" s="40" t="e">
        <f t="shared" si="3"/>
        <v>#DIV/0!</v>
      </c>
      <c r="I59" s="20">
        <v>3831496.4</v>
      </c>
      <c r="J59" s="40">
        <f t="shared" si="4"/>
        <v>7.7324050536859285E-2</v>
      </c>
      <c r="K59" s="20">
        <f t="shared" si="8"/>
        <v>-3831496.4</v>
      </c>
      <c r="L59" s="40">
        <f t="shared" si="9"/>
        <v>-100</v>
      </c>
      <c r="M59" s="73" t="s">
        <v>133</v>
      </c>
    </row>
    <row r="60" spans="1:16" ht="15" customHeight="1">
      <c r="A60" s="18">
        <v>463</v>
      </c>
      <c r="B60" s="19" t="s">
        <v>46</v>
      </c>
      <c r="C60" s="20">
        <v>23798819.629999995</v>
      </c>
      <c r="D60" s="40">
        <f t="shared" si="0"/>
        <v>0.44849275648273773</v>
      </c>
      <c r="E60" s="20">
        <v>21449841.980000008</v>
      </c>
      <c r="F60" s="40">
        <f t="shared" si="7"/>
        <v>0.40422587780793023</v>
      </c>
      <c r="G60" s="20">
        <f t="shared" si="2"/>
        <v>2348977.6499999873</v>
      </c>
      <c r="H60" s="40">
        <f t="shared" si="3"/>
        <v>10.951025430351379</v>
      </c>
      <c r="I60" s="20">
        <v>4154825.78</v>
      </c>
      <c r="J60" s="40">
        <f t="shared" si="4"/>
        <v>8.3849213217208229E-2</v>
      </c>
      <c r="K60" s="20">
        <f t="shared" si="8"/>
        <v>19643993.849999994</v>
      </c>
      <c r="L60" s="40">
        <f t="shared" si="9"/>
        <v>472.79945995713922</v>
      </c>
      <c r="M60" s="73" t="s">
        <v>134</v>
      </c>
    </row>
    <row r="61" spans="1:16" ht="15" customHeight="1">
      <c r="A61" s="18">
        <v>47</v>
      </c>
      <c r="B61" s="19" t="s">
        <v>47</v>
      </c>
      <c r="C61" s="20">
        <v>1863174.26</v>
      </c>
      <c r="D61" s="40">
        <f t="shared" si="0"/>
        <v>3.5111832127242573E-2</v>
      </c>
      <c r="E61" s="20">
        <v>10116353.040000001</v>
      </c>
      <c r="F61" s="40">
        <f t="shared" si="7"/>
        <v>0.19064437358661243</v>
      </c>
      <c r="G61" s="20">
        <f t="shared" si="2"/>
        <v>-8253178.7800000012</v>
      </c>
      <c r="H61" s="40">
        <f t="shared" si="3"/>
        <v>-81.582550029313722</v>
      </c>
      <c r="I61" s="20">
        <v>32808803.189999998</v>
      </c>
      <c r="J61" s="40">
        <f t="shared" si="4"/>
        <v>0.66211978064691113</v>
      </c>
      <c r="K61" s="20">
        <f t="shared" si="8"/>
        <v>-30945628.929999996</v>
      </c>
      <c r="L61" s="40">
        <f t="shared" si="9"/>
        <v>-94.321114826377183</v>
      </c>
      <c r="M61" s="73" t="s">
        <v>135</v>
      </c>
    </row>
    <row r="62" spans="1:16" s="2" customFormat="1" ht="15" customHeight="1">
      <c r="A62" s="15"/>
      <c r="B62" s="16" t="s">
        <v>80</v>
      </c>
      <c r="C62" s="17">
        <f>+C6-C39</f>
        <v>-21935487.76000005</v>
      </c>
      <c r="D62" s="39">
        <f t="shared" si="0"/>
        <v>-0.41337795416855211</v>
      </c>
      <c r="E62" s="17">
        <f>+E6-E39</f>
        <v>-137130672.93487</v>
      </c>
      <c r="F62" s="39">
        <f t="shared" si="7"/>
        <v>-2.5842505829728255</v>
      </c>
      <c r="G62" s="17">
        <f t="shared" si="2"/>
        <v>115195185.17486995</v>
      </c>
      <c r="H62" s="39">
        <f t="shared" si="3"/>
        <v>-84.003952368542471</v>
      </c>
      <c r="I62" s="17">
        <f>+I6-I39</f>
        <v>-100570179.83000004</v>
      </c>
      <c r="J62" s="39">
        <f t="shared" si="4"/>
        <v>-2.0296231174002797</v>
      </c>
      <c r="K62" s="17">
        <f t="shared" ref="K62" si="10">+C62-I62</f>
        <v>78634692.069999993</v>
      </c>
      <c r="L62" s="39">
        <f t="shared" ref="L62" si="11">+C62/I62*100-100</f>
        <v>-78.188874876152198</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-21935487.76000005</v>
      </c>
      <c r="D64" s="39">
        <f t="shared" si="0"/>
        <v>-0.41337795416855211</v>
      </c>
      <c r="E64" s="17">
        <f>+E62-E63</f>
        <v>-137130672.93487</v>
      </c>
      <c r="F64" s="39">
        <f t="shared" si="7"/>
        <v>-2.5842505829728255</v>
      </c>
      <c r="G64" s="17">
        <f t="shared" si="12"/>
        <v>115195185.17486995</v>
      </c>
      <c r="H64" s="39">
        <f t="shared" si="13"/>
        <v>-84.003952368542471</v>
      </c>
      <c r="I64" s="17">
        <f>+I62-I63</f>
        <v>-100570179.83000004</v>
      </c>
      <c r="J64" s="39">
        <f t="shared" si="4"/>
        <v>-2.0296231174002797</v>
      </c>
      <c r="K64" s="17">
        <f t="shared" si="14"/>
        <v>78634692.069999993</v>
      </c>
      <c r="L64" s="39">
        <f t="shared" si="15"/>
        <v>-78.188874876152198</v>
      </c>
      <c r="M64" s="82" t="s">
        <v>140</v>
      </c>
    </row>
    <row r="65" spans="1:13" s="2" customFormat="1" ht="15" customHeight="1">
      <c r="A65" s="15"/>
      <c r="B65" s="16" t="s">
        <v>78</v>
      </c>
      <c r="C65" s="17">
        <f>+C64+C46</f>
        <v>-15861298.76000005</v>
      </c>
      <c r="D65" s="39">
        <f t="shared" si="0"/>
        <v>-0.29890884139906621</v>
      </c>
      <c r="E65" s="17">
        <f>+E64+E46</f>
        <v>-130531212.98487</v>
      </c>
      <c r="F65" s="39">
        <f t="shared" si="7"/>
        <v>-2.4598826508531206</v>
      </c>
      <c r="G65" s="17">
        <f t="shared" ref="G65" si="16">+C65-E65</f>
        <v>114669914.22486995</v>
      </c>
      <c r="H65" s="39">
        <f t="shared" ref="H65" si="17">+C65/E65*100-100</f>
        <v>-87.848654434982876</v>
      </c>
      <c r="I65" s="17">
        <f>+I64+I46</f>
        <v>-76240521.810000047</v>
      </c>
      <c r="J65" s="39">
        <f t="shared" si="4"/>
        <v>-1.5386223412327795</v>
      </c>
      <c r="K65" s="17">
        <f t="shared" ref="K65" si="18">+C65-I65</f>
        <v>60379223.049999997</v>
      </c>
      <c r="L65" s="39">
        <f t="shared" ref="L65" si="19">+C65/I65*100-100</f>
        <v>-79.195710649084759</v>
      </c>
      <c r="M65" s="82" t="s">
        <v>139</v>
      </c>
    </row>
    <row r="66" spans="1:13" s="2" customFormat="1" ht="15" customHeight="1">
      <c r="A66" s="15"/>
      <c r="B66" s="16" t="s">
        <v>79</v>
      </c>
      <c r="C66" s="17">
        <f>+C6-(C39-C57)</f>
        <v>13727387.049999952</v>
      </c>
      <c r="D66" s="39">
        <f t="shared" si="0"/>
        <v>0.25869491651590443</v>
      </c>
      <c r="E66" s="17">
        <f>+E6-(E39-E57)</f>
        <v>-83816787.934870005</v>
      </c>
      <c r="F66" s="39">
        <f>+E66/$E$2*100</f>
        <v>-1.5795414581424319</v>
      </c>
      <c r="G66" s="17">
        <f>+C66-E66</f>
        <v>97544174.984869957</v>
      </c>
      <c r="H66" s="39">
        <f t="shared" ref="H66" si="20">+C66/E66*100-100</f>
        <v>-116.37784910186113</v>
      </c>
      <c r="I66" s="17">
        <f>+I6-(I39-I57)</f>
        <v>-76112462.820000052</v>
      </c>
      <c r="J66" s="39">
        <f t="shared" si="4"/>
        <v>-1.5360379619770768</v>
      </c>
      <c r="K66" s="17">
        <f>+C66-I66</f>
        <v>89839849.870000005</v>
      </c>
      <c r="L66" s="39">
        <f t="shared" ref="L66" si="21">+C66/I66*100-100</f>
        <v>-118.0356626778247</v>
      </c>
      <c r="M66" s="82" t="s">
        <v>138</v>
      </c>
    </row>
    <row r="67" spans="1:13" s="2" customFormat="1" ht="15" customHeight="1">
      <c r="A67" s="15"/>
      <c r="B67" s="16" t="s">
        <v>0</v>
      </c>
      <c r="C67" s="17">
        <f>+C68+C69</f>
        <v>54311943.090000004</v>
      </c>
      <c r="D67" s="39">
        <f t="shared" si="0"/>
        <v>1.0235176973089102</v>
      </c>
      <c r="E67" s="17">
        <f>+E68+E69</f>
        <v>52266946.069999993</v>
      </c>
      <c r="F67" s="39">
        <f t="shared" si="7"/>
        <v>0.98497938470526147</v>
      </c>
      <c r="G67" s="17">
        <f t="shared" ref="G67" si="22">+C67-E67</f>
        <v>2044997.0200000107</v>
      </c>
      <c r="H67" s="39">
        <f t="shared" ref="H67" si="23">+C67/E67*100-100</f>
        <v>3.9126009337932004</v>
      </c>
      <c r="I67" s="17">
        <f>+I68+I69</f>
        <v>286369561.40999997</v>
      </c>
      <c r="J67" s="39">
        <f t="shared" si="4"/>
        <v>5.7792705843818784</v>
      </c>
      <c r="K67" s="17">
        <f t="shared" ref="K67" si="24">+C67-I67</f>
        <v>-232057618.31999996</v>
      </c>
      <c r="L67" s="39">
        <f t="shared" ref="L67" si="25">+C67/I67*100-100</f>
        <v>-81.0343170473203</v>
      </c>
      <c r="M67" s="82" t="s">
        <v>141</v>
      </c>
    </row>
    <row r="68" spans="1:13">
      <c r="A68" s="21">
        <v>4611</v>
      </c>
      <c r="B68" s="22" t="s">
        <v>186</v>
      </c>
      <c r="C68" s="23">
        <v>8038271.9500000011</v>
      </c>
      <c r="D68" s="41">
        <f t="shared" si="0"/>
        <v>0.15148258612241822</v>
      </c>
      <c r="E68" s="23">
        <v>6254401.4100000001</v>
      </c>
      <c r="F68" s="41">
        <f t="shared" si="7"/>
        <v>0.1178652459294437</v>
      </c>
      <c r="G68" s="23">
        <f t="shared" ref="G68:G76" si="26">+C68-E68</f>
        <v>1783870.540000001</v>
      </c>
      <c r="H68" s="41">
        <f t="shared" ref="H68:H76" si="27">+C68/E68*100-100</f>
        <v>28.521842828121265</v>
      </c>
      <c r="I68" s="23">
        <v>37833912.020000003</v>
      </c>
      <c r="J68" s="41">
        <f t="shared" si="4"/>
        <v>0.76353231730599247</v>
      </c>
      <c r="K68" s="23">
        <f t="shared" ref="K68:K70" si="28">+C68-I68</f>
        <v>-29795640.07</v>
      </c>
      <c r="L68" s="41">
        <f t="shared" ref="L68:L70" si="29">+C68/I68*100-100</f>
        <v>-78.753791186724868</v>
      </c>
      <c r="M68" s="74" t="s">
        <v>142</v>
      </c>
    </row>
    <row r="69" spans="1:13" ht="15" customHeight="1">
      <c r="A69" s="21">
        <v>4612</v>
      </c>
      <c r="B69" s="22" t="s">
        <v>187</v>
      </c>
      <c r="C69" s="23">
        <v>46273671.140000001</v>
      </c>
      <c r="D69" s="41">
        <f t="shared" si="0"/>
        <v>0.8720351111864918</v>
      </c>
      <c r="E69" s="23">
        <v>46012544.659999996</v>
      </c>
      <c r="F69" s="41">
        <f t="shared" si="7"/>
        <v>0.86711413877581778</v>
      </c>
      <c r="G69" s="23">
        <f t="shared" si="26"/>
        <v>261126.48000000417</v>
      </c>
      <c r="H69" s="41">
        <f t="shared" si="27"/>
        <v>0.56751149480982122</v>
      </c>
      <c r="I69" s="23">
        <v>248535649.38999999</v>
      </c>
      <c r="J69" s="41">
        <f t="shared" si="4"/>
        <v>5.0157382670758865</v>
      </c>
      <c r="K69" s="23">
        <f t="shared" si="28"/>
        <v>-202261978.25</v>
      </c>
      <c r="L69" s="41">
        <f t="shared" si="29"/>
        <v>-81.381475352299361</v>
      </c>
      <c r="M69" s="74" t="s">
        <v>143</v>
      </c>
    </row>
    <row r="70" spans="1:13" s="2" customFormat="1" ht="15" customHeight="1">
      <c r="A70" s="83">
        <v>4418</v>
      </c>
      <c r="B70" s="16" t="s">
        <v>65</v>
      </c>
      <c r="C70" s="17">
        <v>0</v>
      </c>
      <c r="D70" s="39">
        <f t="shared" si="0"/>
        <v>0</v>
      </c>
      <c r="E70" s="17">
        <v>141190.01</v>
      </c>
      <c r="F70" s="39">
        <f t="shared" si="7"/>
        <v>2.6607494723352933E-3</v>
      </c>
      <c r="G70" s="17">
        <f t="shared" si="26"/>
        <v>-141190.01</v>
      </c>
      <c r="H70" s="39">
        <f t="shared" si="27"/>
        <v>-100</v>
      </c>
      <c r="I70" s="17">
        <v>0</v>
      </c>
      <c r="J70" s="39">
        <f t="shared" si="4"/>
        <v>0</v>
      </c>
      <c r="K70" s="17">
        <f t="shared" si="28"/>
        <v>0</v>
      </c>
      <c r="L70" s="39" t="e">
        <f t="shared" si="29"/>
        <v>#DIV/0!</v>
      </c>
      <c r="M70" s="82" t="s">
        <v>144</v>
      </c>
    </row>
    <row r="71" spans="1:13" s="2" customFormat="1" ht="15" customHeight="1">
      <c r="A71" s="15"/>
      <c r="B71" s="16" t="s">
        <v>55</v>
      </c>
      <c r="C71" s="17">
        <v>-76231061.459999949</v>
      </c>
      <c r="D71" s="39">
        <f t="shared" si="0"/>
        <v>-1.4365871675712338</v>
      </c>
      <c r="E71" s="17">
        <f>+E64-E67-E70</f>
        <v>-189538809.01486999</v>
      </c>
      <c r="F71" s="39">
        <f t="shared" si="7"/>
        <v>-3.5718907171504224</v>
      </c>
      <c r="G71" s="17">
        <f t="shared" si="26"/>
        <v>113307747.55487004</v>
      </c>
      <c r="H71" s="39">
        <f t="shared" si="27"/>
        <v>-59.780763709442027</v>
      </c>
      <c r="I71" s="17">
        <f>+I64-I67-I70</f>
        <v>-386939741.24000001</v>
      </c>
      <c r="J71" s="39">
        <f t="shared" si="4"/>
        <v>-7.8088937017821589</v>
      </c>
      <c r="K71" s="17">
        <f t="shared" ref="K71:K76" si="30">+C71-I71</f>
        <v>310708679.78000009</v>
      </c>
      <c r="L71" s="39">
        <f t="shared" ref="L71:L76" si="31">+C71/I71*100-100</f>
        <v>-80.29898370849493</v>
      </c>
      <c r="M71" s="82" t="s">
        <v>145</v>
      </c>
    </row>
    <row r="72" spans="1:13" s="2" customFormat="1" ht="15" customHeight="1">
      <c r="A72" s="15"/>
      <c r="B72" s="16" t="s">
        <v>48</v>
      </c>
      <c r="C72" s="17">
        <v>76231061.459999949</v>
      </c>
      <c r="D72" s="39">
        <f t="shared" ref="D72:D76" si="32">+C72/$C$2*100</f>
        <v>1.4365871675712338</v>
      </c>
      <c r="E72" s="17">
        <f>+SUM(E73:E76)</f>
        <v>189538809.01486999</v>
      </c>
      <c r="F72" s="39">
        <f t="shared" si="7"/>
        <v>3.5718907171504224</v>
      </c>
      <c r="G72" s="17">
        <f t="shared" si="26"/>
        <v>-113307747.55487004</v>
      </c>
      <c r="H72" s="39">
        <f t="shared" si="27"/>
        <v>-59.780763709442027</v>
      </c>
      <c r="I72" s="17">
        <f>+SUM(I73:I76)</f>
        <v>386939741.24000001</v>
      </c>
      <c r="J72" s="39">
        <f t="shared" ref="J72:J76" si="33">+I72/$I$2*100</f>
        <v>7.8088937017821589</v>
      </c>
      <c r="K72" s="17">
        <f t="shared" si="30"/>
        <v>-310708679.78000009</v>
      </c>
      <c r="L72" s="39">
        <f t="shared" si="31"/>
        <v>-80.29898370849493</v>
      </c>
      <c r="M72" s="82" t="s">
        <v>146</v>
      </c>
    </row>
    <row r="73" spans="1:13">
      <c r="A73" s="21">
        <v>7511</v>
      </c>
      <c r="B73" s="22" t="s">
        <v>56</v>
      </c>
      <c r="C73" s="23">
        <v>0</v>
      </c>
      <c r="D73" s="41">
        <f t="shared" si="32"/>
        <v>0</v>
      </c>
      <c r="E73" s="23">
        <v>0</v>
      </c>
      <c r="F73" s="41">
        <f t="shared" si="7"/>
        <v>0</v>
      </c>
      <c r="G73" s="23">
        <f t="shared" si="26"/>
        <v>0</v>
      </c>
      <c r="H73" s="41" t="e">
        <f t="shared" si="27"/>
        <v>#DIV/0!</v>
      </c>
      <c r="I73" s="23">
        <v>0</v>
      </c>
      <c r="J73" s="41">
        <f t="shared" si="33"/>
        <v>0</v>
      </c>
      <c r="K73" s="23">
        <f t="shared" si="30"/>
        <v>0</v>
      </c>
      <c r="L73" s="41" t="e">
        <f t="shared" si="31"/>
        <v>#DIV/0!</v>
      </c>
      <c r="M73" s="74" t="s">
        <v>147</v>
      </c>
    </row>
    <row r="74" spans="1:13" ht="15" customHeight="1">
      <c r="A74" s="21">
        <v>7512</v>
      </c>
      <c r="B74" s="22" t="s">
        <v>49</v>
      </c>
      <c r="C74" s="23">
        <v>24509821.780000001</v>
      </c>
      <c r="D74" s="41">
        <f t="shared" si="32"/>
        <v>0.46189171151816671</v>
      </c>
      <c r="E74" s="23">
        <v>35933213.415999994</v>
      </c>
      <c r="F74" s="41">
        <f t="shared" si="7"/>
        <v>0.67716744715814847</v>
      </c>
      <c r="G74" s="23">
        <f t="shared" si="26"/>
        <v>-11423391.635999992</v>
      </c>
      <c r="H74" s="41">
        <f t="shared" si="27"/>
        <v>-31.790620849159836</v>
      </c>
      <c r="I74" s="23">
        <v>13701294.640000001</v>
      </c>
      <c r="J74" s="41">
        <f t="shared" si="33"/>
        <v>0.27650805026562447</v>
      </c>
      <c r="K74" s="23">
        <f t="shared" si="30"/>
        <v>10808527.140000001</v>
      </c>
      <c r="L74" s="41">
        <f t="shared" si="31"/>
        <v>78.886903931291556</v>
      </c>
      <c r="M74" s="74" t="s">
        <v>148</v>
      </c>
    </row>
    <row r="75" spans="1:13" ht="15" customHeight="1">
      <c r="A75" s="18">
        <v>72</v>
      </c>
      <c r="B75" s="19" t="s">
        <v>176</v>
      </c>
      <c r="C75" s="20">
        <v>1147491.29</v>
      </c>
      <c r="D75" s="40">
        <f t="shared" si="32"/>
        <v>2.1624666252072971E-2</v>
      </c>
      <c r="E75" s="20">
        <v>1500000</v>
      </c>
      <c r="F75" s="40">
        <f t="shared" si="7"/>
        <v>2.8267752148349166E-2</v>
      </c>
      <c r="G75" s="20">
        <f t="shared" si="26"/>
        <v>-352508.70999999996</v>
      </c>
      <c r="H75" s="40">
        <f t="shared" si="27"/>
        <v>-23.500580666666664</v>
      </c>
      <c r="I75" s="20">
        <v>116481.33</v>
      </c>
      <c r="J75" s="40">
        <f t="shared" si="33"/>
        <v>2.3507286206821396E-3</v>
      </c>
      <c r="K75" s="20">
        <f t="shared" si="30"/>
        <v>1031009.9600000001</v>
      </c>
      <c r="L75" s="40">
        <f t="shared" si="31"/>
        <v>885.12893868914443</v>
      </c>
      <c r="M75" s="73" t="s">
        <v>149</v>
      </c>
    </row>
    <row r="76" spans="1:13" ht="15" customHeight="1" thickBot="1">
      <c r="A76" s="24"/>
      <c r="B76" s="25" t="s">
        <v>51</v>
      </c>
      <c r="C76" s="26">
        <f>+-C71-SUM(C73:C75)</f>
        <v>50573748.389999948</v>
      </c>
      <c r="D76" s="42">
        <f t="shared" si="32"/>
        <v>0.95307078980099402</v>
      </c>
      <c r="E76" s="26">
        <f>+-E71-SUM(E73:E75)</f>
        <v>152105595.59886998</v>
      </c>
      <c r="F76" s="42">
        <f t="shared" si="7"/>
        <v>2.8664555178439239</v>
      </c>
      <c r="G76" s="26">
        <f t="shared" si="26"/>
        <v>-101531847.20887002</v>
      </c>
      <c r="H76" s="42">
        <f t="shared" si="27"/>
        <v>-66.750895526965309</v>
      </c>
      <c r="I76" s="26">
        <f>+-I71-SUM(I73:I75)</f>
        <v>373121965.26999998</v>
      </c>
      <c r="J76" s="42">
        <f t="shared" si="33"/>
        <v>7.530034922895851</v>
      </c>
      <c r="K76" s="26">
        <f t="shared" si="30"/>
        <v>-322548216.88000005</v>
      </c>
      <c r="L76" s="42">
        <f t="shared" si="31"/>
        <v>-86.445786338683234</v>
      </c>
      <c r="M76" s="77" t="s">
        <v>150</v>
      </c>
    </row>
    <row r="77" spans="1:13" ht="13.5" customHeight="1"/>
  </sheetData>
  <sheetProtection algorithmName="SHA-512" hashValue="M3eYpVHFOrS4dc+SEToFRV+Z0+o+nC3f467/+VTlh1nT5ghn7NsXmlDS9j1yGdDUxT/aLoPt576VY9Sij9rlJg==" saltValue="pXRAhLvRVU5ip9xWv4DOCw=="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26" activePane="bottomLeft" state="frozen"/>
      <selection activeCell="G14" sqref="G14"/>
      <selection pane="bottomLeft" activeCell="P13" sqref="A1:XFD1048576"/>
    </sheetView>
  </sheetViews>
  <sheetFormatPr defaultColWidth="9.140625" defaultRowHeight="13.5"/>
  <cols>
    <col min="1" max="1" width="14" style="4" customWidth="1"/>
    <col min="2" max="2" width="60.85546875" style="4" customWidth="1"/>
    <col min="3" max="3" width="9.140625" style="6" customWidth="1"/>
    <col min="4" max="4" width="9.140625" style="4" customWidth="1"/>
    <col min="5" max="5" width="9.140625" style="6" customWidth="1"/>
    <col min="6" max="6" width="10" style="7" customWidth="1"/>
    <col min="7" max="7" width="11.42578125" style="6" customWidth="1"/>
    <col min="8" max="8" width="11.28515625" style="7" customWidth="1"/>
    <col min="9" max="9" width="9.140625" style="6"/>
    <col min="10" max="10" width="11.85546875" style="7" customWidth="1"/>
    <col min="11" max="11" width="11.140625" style="6" customWidth="1"/>
    <col min="12" max="12" width="11.71093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8"/>
      <c r="C2" s="98">
        <v>5306400000</v>
      </c>
      <c r="D2" s="99"/>
      <c r="E2" s="98">
        <v>5306400000</v>
      </c>
      <c r="F2" s="99"/>
      <c r="G2" s="9"/>
      <c r="H2" s="10"/>
      <c r="I2" s="98">
        <v>4955116000</v>
      </c>
      <c r="J2" s="99"/>
      <c r="K2" s="9"/>
      <c r="L2" s="10"/>
      <c r="M2" s="8" t="s">
        <v>81</v>
      </c>
    </row>
    <row r="3" spans="1:16384" ht="15" customHeight="1" thickBot="1">
      <c r="A3" s="8"/>
      <c r="B3" s="8"/>
      <c r="C3" s="11"/>
      <c r="D3" s="8"/>
      <c r="E3" s="11"/>
      <c r="F3" s="10"/>
      <c r="G3" s="11"/>
      <c r="H3" s="10"/>
      <c r="I3" s="11"/>
      <c r="J3" s="10"/>
      <c r="K3" s="11"/>
      <c r="L3" s="10"/>
      <c r="M3" s="8"/>
    </row>
    <row r="4" spans="1:16384" ht="15" customHeight="1">
      <c r="A4" s="92" t="s">
        <v>73</v>
      </c>
      <c r="B4" s="102" t="s">
        <v>74</v>
      </c>
      <c r="C4" s="96" t="s">
        <v>184</v>
      </c>
      <c r="D4" s="97"/>
      <c r="E4" s="94" t="s">
        <v>185</v>
      </c>
      <c r="F4" s="95"/>
      <c r="G4" s="94" t="s">
        <v>175</v>
      </c>
      <c r="H4" s="95"/>
      <c r="I4" s="94" t="s">
        <v>183</v>
      </c>
      <c r="J4" s="95"/>
      <c r="K4" s="94" t="s">
        <v>175</v>
      </c>
      <c r="L4" s="95"/>
      <c r="M4" s="100" t="s">
        <v>151</v>
      </c>
    </row>
    <row r="5" spans="1:16384" ht="23.25" customHeight="1">
      <c r="A5" s="93"/>
      <c r="B5" s="103"/>
      <c r="C5" s="12" t="s">
        <v>63</v>
      </c>
      <c r="D5" s="13" t="s">
        <v>57</v>
      </c>
      <c r="E5" s="12" t="s">
        <v>63</v>
      </c>
      <c r="F5" s="13" t="s">
        <v>57</v>
      </c>
      <c r="G5" s="12" t="s">
        <v>66</v>
      </c>
      <c r="H5" s="13" t="s">
        <v>64</v>
      </c>
      <c r="I5" s="12" t="s">
        <v>63</v>
      </c>
      <c r="J5" s="14" t="s">
        <v>57</v>
      </c>
      <c r="K5" s="12" t="s">
        <v>63</v>
      </c>
      <c r="L5" s="14" t="s">
        <v>64</v>
      </c>
      <c r="M5" s="101"/>
    </row>
    <row r="6" spans="1:16384" s="34" customFormat="1" ht="15" customHeight="1">
      <c r="A6" s="31"/>
      <c r="B6" s="32" t="s">
        <v>52</v>
      </c>
      <c r="C6" s="33">
        <f>+C7+C12+C19+C30+C35+C36</f>
        <v>46580708.639923625</v>
      </c>
      <c r="D6" s="43">
        <f>+C6/$C$2*100</f>
        <v>0.87782128448521834</v>
      </c>
      <c r="E6" s="33">
        <f>+E7+E12+E19+E30+E35+E36</f>
        <v>60991978.299999997</v>
      </c>
      <c r="F6" s="43">
        <f t="shared" ref="F6:F62" si="0">+E6/$E$2*100</f>
        <v>1.1494040837479271</v>
      </c>
      <c r="G6" s="33">
        <f>+C6-E6</f>
        <v>-14411269.660076372</v>
      </c>
      <c r="H6" s="43">
        <f>+C6/E6*100-100</f>
        <v>-23.628139407434787</v>
      </c>
      <c r="I6" s="33">
        <f>+I7+I12+I19+I30+I35+I36</f>
        <v>42231552.710000001</v>
      </c>
      <c r="J6" s="43">
        <f>+I6/$I$2*100</f>
        <v>0.85228181762041499</v>
      </c>
      <c r="K6" s="33">
        <f>+C6-I6</f>
        <v>4349155.9299236238</v>
      </c>
      <c r="L6" s="43">
        <f>+C6/I6*100-100</f>
        <v>10.298356680818372</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29370288.519923627</v>
      </c>
      <c r="D7" s="40">
        <f t="shared" ref="D7:D65" si="1">+C7/$C$2*100</f>
        <v>0.5534880242711373</v>
      </c>
      <c r="E7" s="20">
        <f>+SUM(E8:E11)</f>
        <v>35462383.5</v>
      </c>
      <c r="F7" s="40">
        <f t="shared" si="0"/>
        <v>0.66829457824513794</v>
      </c>
      <c r="G7" s="20">
        <f t="shared" ref="G7:G64" si="2">+C7-E7</f>
        <v>-6092094.9800763726</v>
      </c>
      <c r="H7" s="40">
        <f t="shared" ref="H7:H64" si="3">+C7/E7*100-100</f>
        <v>-17.179034173143975</v>
      </c>
      <c r="I7" s="69">
        <f>+SUM(I8:I11)</f>
        <v>28081289.460000001</v>
      </c>
      <c r="J7" s="40">
        <f t="shared" ref="J7:J65" si="4">+I7/$I$2*100</f>
        <v>0.56671305898792279</v>
      </c>
      <c r="K7" s="20">
        <f>+C7-I7</f>
        <v>1288999.0599236265</v>
      </c>
      <c r="L7" s="40">
        <f t="shared" ref="L7:L64" si="5">+C7/I7*100-100</f>
        <v>4.5902417043908343</v>
      </c>
      <c r="M7" s="73" t="s">
        <v>82</v>
      </c>
    </row>
    <row r="8" spans="1:16384" ht="15" customHeight="1">
      <c r="A8" s="21">
        <v>7111</v>
      </c>
      <c r="B8" s="22" t="s">
        <v>2</v>
      </c>
      <c r="C8" s="23">
        <v>9782805.5580000002</v>
      </c>
      <c r="D8" s="41">
        <f t="shared" si="1"/>
        <v>0.18435861521935776</v>
      </c>
      <c r="E8" s="23">
        <v>8655979.5</v>
      </c>
      <c r="F8" s="41">
        <f t="shared" si="0"/>
        <v>0.16312338873812754</v>
      </c>
      <c r="G8" s="23">
        <f t="shared" si="2"/>
        <v>1126826.0580000002</v>
      </c>
      <c r="H8" s="41">
        <f t="shared" si="3"/>
        <v>13.017891943944647</v>
      </c>
      <c r="I8" s="23">
        <v>11997730.52</v>
      </c>
      <c r="J8" s="41">
        <f t="shared" si="4"/>
        <v>0.24212814634410174</v>
      </c>
      <c r="K8" s="23">
        <f t="shared" ref="K8:K64" si="6">+C8-I8</f>
        <v>-2214924.9619999994</v>
      </c>
      <c r="L8" s="41">
        <f t="shared" si="5"/>
        <v>-18.461199460245908</v>
      </c>
      <c r="M8" s="74" t="s">
        <v>83</v>
      </c>
    </row>
    <row r="9" spans="1:16384" ht="15" customHeight="1">
      <c r="A9" s="21">
        <v>71131</v>
      </c>
      <c r="B9" s="22" t="s">
        <v>68</v>
      </c>
      <c r="C9" s="23">
        <v>7294863.4700000007</v>
      </c>
      <c r="D9" s="41">
        <f t="shared" si="1"/>
        <v>0.1374729283506709</v>
      </c>
      <c r="E9" s="23">
        <v>3684904</v>
      </c>
      <c r="F9" s="41">
        <f t="shared" si="0"/>
        <v>6.9442635308306938E-2</v>
      </c>
      <c r="G9" s="23">
        <f t="shared" ref="G9" si="7">+C9-E9</f>
        <v>3609959.4700000007</v>
      </c>
      <c r="H9" s="41">
        <f t="shared" ref="H9" si="8">+C9/E9*100-100</f>
        <v>97.966174152705207</v>
      </c>
      <c r="I9" s="23">
        <v>8963087.2899999991</v>
      </c>
      <c r="J9" s="41">
        <f t="shared" ref="J9" si="9">+I9/$I$2*100</f>
        <v>0.18088551892629759</v>
      </c>
      <c r="K9" s="23">
        <f t="shared" ref="K9" si="10">+C9-I9</f>
        <v>-1668223.8199999984</v>
      </c>
      <c r="L9" s="41">
        <f t="shared" ref="L9" si="11">+C9/I9*100-100</f>
        <v>-18.61215634774878</v>
      </c>
      <c r="M9" s="74" t="s">
        <v>153</v>
      </c>
    </row>
    <row r="10" spans="1:16384" ht="15" customHeight="1">
      <c r="A10" s="21">
        <v>71132</v>
      </c>
      <c r="B10" s="22" t="s">
        <v>4</v>
      </c>
      <c r="C10" s="23">
        <v>5049334.7946000006</v>
      </c>
      <c r="D10" s="41">
        <f t="shared" si="1"/>
        <v>9.51555629918589E-2</v>
      </c>
      <c r="E10" s="23">
        <v>17608750</v>
      </c>
      <c r="F10" s="41">
        <f t="shared" si="0"/>
        <v>0.33183985376149555</v>
      </c>
      <c r="G10" s="23">
        <f t="shared" si="2"/>
        <v>-12559415.205399999</v>
      </c>
      <c r="H10" s="41">
        <f t="shared" si="3"/>
        <v>-71.324853867537442</v>
      </c>
      <c r="I10" s="23">
        <v>2874647.33</v>
      </c>
      <c r="J10" s="41">
        <f t="shared" si="4"/>
        <v>5.8013724199393116E-2</v>
      </c>
      <c r="K10" s="23">
        <f t="shared" si="6"/>
        <v>2174687.4646000005</v>
      </c>
      <c r="L10" s="41">
        <f t="shared" si="5"/>
        <v>75.650583009081686</v>
      </c>
      <c r="M10" s="74" t="s">
        <v>85</v>
      </c>
    </row>
    <row r="11" spans="1:16384" ht="15" customHeight="1">
      <c r="A11" s="21"/>
      <c r="B11" s="22" t="s">
        <v>163</v>
      </c>
      <c r="C11" s="23">
        <v>7243284.6973236296</v>
      </c>
      <c r="D11" s="41">
        <f t="shared" si="1"/>
        <v>0.13650091770924977</v>
      </c>
      <c r="E11" s="23">
        <v>5512750</v>
      </c>
      <c r="F11" s="41">
        <f t="shared" si="0"/>
        <v>0.1038887004372079</v>
      </c>
      <c r="G11" s="23">
        <f t="shared" si="2"/>
        <v>1730534.6973236296</v>
      </c>
      <c r="H11" s="41">
        <f t="shared" si="3"/>
        <v>31.391496028726664</v>
      </c>
      <c r="I11" s="23">
        <v>4245824.32</v>
      </c>
      <c r="J11" s="41">
        <f t="shared" si="4"/>
        <v>8.5685669518130364E-2</v>
      </c>
      <c r="K11" s="23">
        <f t="shared" si="6"/>
        <v>2997460.3773236293</v>
      </c>
      <c r="L11" s="41">
        <f t="shared" si="5"/>
        <v>70.597842760569733</v>
      </c>
      <c r="M11" s="74" t="s">
        <v>164</v>
      </c>
      <c r="P11" s="87"/>
    </row>
    <row r="12" spans="1:16384" ht="15" customHeight="1">
      <c r="A12" s="18">
        <v>713</v>
      </c>
      <c r="B12" s="19" t="s">
        <v>13</v>
      </c>
      <c r="C12" s="69">
        <f>C13+C17+C18</f>
        <v>966401.35</v>
      </c>
      <c r="D12" s="40">
        <f t="shared" si="1"/>
        <v>1.8211995891753353E-2</v>
      </c>
      <c r="E12" s="20">
        <f>+SUM(E13:E18)</f>
        <v>1587750</v>
      </c>
      <c r="F12" s="40">
        <f t="shared" si="0"/>
        <v>2.9921415649027588E-2</v>
      </c>
      <c r="G12" s="20">
        <f t="shared" si="2"/>
        <v>-621348.65</v>
      </c>
      <c r="H12" s="40">
        <f t="shared" si="3"/>
        <v>-39.133909620532201</v>
      </c>
      <c r="I12" s="69">
        <f>I13+I17+I18</f>
        <v>665274.47</v>
      </c>
      <c r="J12" s="40">
        <f t="shared" si="4"/>
        <v>1.3426012024743717E-2</v>
      </c>
      <c r="K12" s="20">
        <f t="shared" si="6"/>
        <v>301126.88</v>
      </c>
      <c r="L12" s="40">
        <f t="shared" si="5"/>
        <v>45.263555656960648</v>
      </c>
      <c r="M12" s="73" t="s">
        <v>95</v>
      </c>
    </row>
    <row r="13" spans="1:16384" ht="18" customHeight="1">
      <c r="A13" s="21">
        <v>7131</v>
      </c>
      <c r="B13" s="22" t="s">
        <v>14</v>
      </c>
      <c r="C13" s="23">
        <v>186251.94000000003</v>
      </c>
      <c r="D13" s="41">
        <f t="shared" si="1"/>
        <v>3.5099491180461337E-3</v>
      </c>
      <c r="E13" s="23">
        <v>257750</v>
      </c>
      <c r="F13" s="41">
        <f t="shared" si="0"/>
        <v>4.8573420774913308E-3</v>
      </c>
      <c r="G13" s="23">
        <f t="shared" si="2"/>
        <v>-71498.059999999969</v>
      </c>
      <c r="H13" s="41">
        <f t="shared" si="3"/>
        <v>-27.739305528612988</v>
      </c>
      <c r="I13" s="23">
        <v>167854.7</v>
      </c>
      <c r="J13" s="41">
        <f t="shared" si="4"/>
        <v>3.3875029363591084E-3</v>
      </c>
      <c r="K13" s="23">
        <f t="shared" si="6"/>
        <v>18397.24000000002</v>
      </c>
      <c r="L13" s="41">
        <f t="shared" si="5"/>
        <v>10.960217378482724</v>
      </c>
      <c r="M13" s="74" t="s">
        <v>96</v>
      </c>
      <c r="P13" s="86"/>
    </row>
    <row r="14" spans="1:16384" hidden="1">
      <c r="A14" s="21">
        <v>7132</v>
      </c>
      <c r="B14" s="22" t="s">
        <v>15</v>
      </c>
      <c r="C14" s="23">
        <v>728329.22</v>
      </c>
      <c r="D14" s="41">
        <f t="shared" si="1"/>
        <v>1.3725486582240312E-2</v>
      </c>
      <c r="E14" s="23">
        <v>257750</v>
      </c>
      <c r="F14" s="41">
        <f t="shared" si="0"/>
        <v>4.8573420774913308E-3</v>
      </c>
      <c r="G14" s="23">
        <f t="shared" si="2"/>
        <v>470579.22</v>
      </c>
      <c r="H14" s="41">
        <f t="shared" si="3"/>
        <v>182.57195732298737</v>
      </c>
      <c r="I14" s="23">
        <v>426801.45999999996</v>
      </c>
      <c r="J14" s="41">
        <f t="shared" si="4"/>
        <v>8.6133495159346415E-3</v>
      </c>
      <c r="K14" s="23">
        <f t="shared" si="6"/>
        <v>301527.76</v>
      </c>
      <c r="L14" s="41">
        <f t="shared" si="5"/>
        <v>70.648249422576981</v>
      </c>
      <c r="M14" s="74" t="s">
        <v>97</v>
      </c>
    </row>
    <row r="15" spans="1:16384" ht="14.25" hidden="1" customHeight="1">
      <c r="A15" s="21">
        <v>7133</v>
      </c>
      <c r="B15" s="22" t="s">
        <v>16</v>
      </c>
      <c r="C15" s="23">
        <v>51820.189999999995</v>
      </c>
      <c r="D15" s="41">
        <f t="shared" si="1"/>
        <v>9.7656019146690777E-4</v>
      </c>
      <c r="E15" s="23">
        <v>257750</v>
      </c>
      <c r="F15" s="41">
        <f t="shared" si="0"/>
        <v>4.8573420774913308E-3</v>
      </c>
      <c r="G15" s="23">
        <f t="shared" si="2"/>
        <v>-205929.81</v>
      </c>
      <c r="H15" s="41">
        <f t="shared" si="3"/>
        <v>-79.895173617846751</v>
      </c>
      <c r="I15" s="23">
        <v>70618.31</v>
      </c>
      <c r="J15" s="41">
        <f t="shared" si="4"/>
        <v>1.4251595724499688E-3</v>
      </c>
      <c r="K15" s="23">
        <f t="shared" si="6"/>
        <v>-18798.120000000003</v>
      </c>
      <c r="L15" s="41">
        <f t="shared" si="5"/>
        <v>-26.619328613216609</v>
      </c>
      <c r="M15" s="74" t="s">
        <v>159</v>
      </c>
    </row>
    <row r="16" spans="1:16384" ht="24" hidden="1" customHeight="1">
      <c r="A16" s="21">
        <v>7134</v>
      </c>
      <c r="B16" s="22" t="s">
        <v>154</v>
      </c>
      <c r="C16" s="23">
        <v>186251.94000000003</v>
      </c>
      <c r="D16" s="41">
        <f t="shared" si="1"/>
        <v>3.5099491180461337E-3</v>
      </c>
      <c r="E16" s="23"/>
      <c r="F16" s="41">
        <f t="shared" ref="F16:F17" si="12">+E16/$E$2*100</f>
        <v>0</v>
      </c>
      <c r="G16" s="23">
        <f t="shared" ref="G16:G17" si="13">+C16-E16</f>
        <v>186251.94000000003</v>
      </c>
      <c r="H16" s="41" t="e">
        <f t="shared" ref="H16:H17" si="14">+C16/E16*100-100</f>
        <v>#DIV/0!</v>
      </c>
      <c r="I16" s="23">
        <v>167854.7</v>
      </c>
      <c r="J16" s="41">
        <f t="shared" ref="J16:J17" si="15">+I16/$I$2*100</f>
        <v>3.3875029363591084E-3</v>
      </c>
      <c r="K16" s="23">
        <f t="shared" ref="K16:K17" si="16">+C16-I16</f>
        <v>18397.24000000002</v>
      </c>
      <c r="L16" s="41">
        <f t="shared" ref="L16:L17" si="17">+C16/I16*100-100</f>
        <v>10.960217378482724</v>
      </c>
      <c r="M16" s="74" t="s">
        <v>158</v>
      </c>
    </row>
    <row r="17" spans="1:16" ht="15" customHeight="1">
      <c r="A17" s="21">
        <v>7135</v>
      </c>
      <c r="B17" s="22" t="s">
        <v>17</v>
      </c>
      <c r="C17" s="23">
        <v>728329.22</v>
      </c>
      <c r="D17" s="41">
        <f t="shared" si="1"/>
        <v>1.3725486582240312E-2</v>
      </c>
      <c r="E17" s="23">
        <v>620250</v>
      </c>
      <c r="F17" s="41">
        <f t="shared" si="12"/>
        <v>1.168871551334238E-2</v>
      </c>
      <c r="G17" s="23">
        <f t="shared" si="13"/>
        <v>108079.21999999997</v>
      </c>
      <c r="H17" s="41">
        <f t="shared" si="14"/>
        <v>17.425106005642888</v>
      </c>
      <c r="I17" s="23">
        <v>426801.45999999996</v>
      </c>
      <c r="J17" s="41">
        <f t="shared" si="15"/>
        <v>8.6133495159346415E-3</v>
      </c>
      <c r="K17" s="23">
        <f t="shared" si="16"/>
        <v>301527.76</v>
      </c>
      <c r="L17" s="41">
        <f t="shared" si="17"/>
        <v>70.648249422576981</v>
      </c>
      <c r="M17" s="74" t="s">
        <v>157</v>
      </c>
    </row>
    <row r="18" spans="1:16" ht="15" customHeight="1">
      <c r="A18" s="21">
        <v>7136</v>
      </c>
      <c r="B18" s="22" t="s">
        <v>18</v>
      </c>
      <c r="C18" s="23">
        <v>51820.189999999995</v>
      </c>
      <c r="D18" s="41">
        <f t="shared" si="1"/>
        <v>9.7656019146690777E-4</v>
      </c>
      <c r="E18" s="23">
        <v>194250</v>
      </c>
      <c r="F18" s="41">
        <f t="shared" si="0"/>
        <v>3.6606739032112169E-3</v>
      </c>
      <c r="G18" s="23">
        <f t="shared" si="2"/>
        <v>-142429.81</v>
      </c>
      <c r="H18" s="41">
        <f t="shared" si="3"/>
        <v>-73.322939510939506</v>
      </c>
      <c r="I18" s="23">
        <v>70618.31</v>
      </c>
      <c r="J18" s="41">
        <f t="shared" si="4"/>
        <v>1.4251595724499688E-3</v>
      </c>
      <c r="K18" s="23">
        <f t="shared" si="6"/>
        <v>-18798.120000000003</v>
      </c>
      <c r="L18" s="41">
        <f t="shared" si="5"/>
        <v>-26.619328613216609</v>
      </c>
      <c r="M18" s="74" t="s">
        <v>99</v>
      </c>
    </row>
    <row r="19" spans="1:16" ht="15" customHeight="1">
      <c r="A19" s="18">
        <v>714</v>
      </c>
      <c r="B19" s="19" t="s">
        <v>19</v>
      </c>
      <c r="C19" s="20">
        <f>+SUM(C20:C29)</f>
        <v>10368591.349999998</v>
      </c>
      <c r="D19" s="40">
        <f t="shared" si="1"/>
        <v>0.19539784693954465</v>
      </c>
      <c r="E19" s="20">
        <f>E20+E21+E26+E27+E29</f>
        <v>14813024.800000001</v>
      </c>
      <c r="F19" s="40">
        <f t="shared" si="0"/>
        <v>0.2791539424091663</v>
      </c>
      <c r="G19" s="20">
        <f t="shared" si="2"/>
        <v>-4444433.450000003</v>
      </c>
      <c r="H19" s="40">
        <f t="shared" si="3"/>
        <v>-30.003550996552732</v>
      </c>
      <c r="I19" s="69">
        <f>+SUM(I20:I29)</f>
        <v>10459032.880000003</v>
      </c>
      <c r="J19" s="40">
        <f t="shared" si="4"/>
        <v>0.21107543960625749</v>
      </c>
      <c r="K19" s="20">
        <f t="shared" si="6"/>
        <v>-90441.530000004917</v>
      </c>
      <c r="L19" s="40">
        <f t="shared" si="5"/>
        <v>-0.86472172941486747</v>
      </c>
      <c r="M19" s="73" t="s">
        <v>100</v>
      </c>
      <c r="P19" s="86"/>
    </row>
    <row r="20" spans="1:16" ht="15" customHeight="1">
      <c r="A20" s="21">
        <v>7141</v>
      </c>
      <c r="B20" s="22" t="s">
        <v>20</v>
      </c>
      <c r="C20" s="23">
        <v>1561732.3499999999</v>
      </c>
      <c r="D20" s="41">
        <f t="shared" si="1"/>
        <v>2.9431108661239255E-2</v>
      </c>
      <c r="E20" s="23">
        <v>1100638.5</v>
      </c>
      <c r="F20" s="41">
        <f t="shared" si="0"/>
        <v>2.0741717548620534E-2</v>
      </c>
      <c r="G20" s="23">
        <f t="shared" si="2"/>
        <v>461093.84999999986</v>
      </c>
      <c r="H20" s="41">
        <f t="shared" si="3"/>
        <v>41.89330556763187</v>
      </c>
      <c r="I20" s="23">
        <v>310925.03999999992</v>
      </c>
      <c r="J20" s="41">
        <f t="shared" si="4"/>
        <v>6.2748286821135962E-3</v>
      </c>
      <c r="K20" s="23">
        <f t="shared" si="6"/>
        <v>1250807.31</v>
      </c>
      <c r="L20" s="41">
        <f t="shared" si="5"/>
        <v>402.28580818064711</v>
      </c>
      <c r="M20" s="74" t="s">
        <v>101</v>
      </c>
      <c r="P20" s="80"/>
    </row>
    <row r="21" spans="1:16" ht="15" customHeight="1">
      <c r="A21" s="21">
        <v>7142</v>
      </c>
      <c r="B21" s="22" t="s">
        <v>21</v>
      </c>
      <c r="C21" s="23">
        <v>472821.26</v>
      </c>
      <c r="D21" s="41">
        <f t="shared" si="1"/>
        <v>8.9103961254334389E-3</v>
      </c>
      <c r="E21" s="23">
        <v>1693875</v>
      </c>
      <c r="F21" s="41">
        <f t="shared" si="0"/>
        <v>3.1921359113523291E-2</v>
      </c>
      <c r="G21" s="23">
        <f t="shared" si="2"/>
        <v>-1221053.74</v>
      </c>
      <c r="H21" s="41">
        <f t="shared" si="3"/>
        <v>-72.086413696406169</v>
      </c>
      <c r="I21" s="23">
        <v>553887.89</v>
      </c>
      <c r="J21" s="41">
        <f t="shared" si="4"/>
        <v>1.1178101380472224E-2</v>
      </c>
      <c r="K21" s="23">
        <f t="shared" si="6"/>
        <v>-81066.63</v>
      </c>
      <c r="L21" s="41">
        <f t="shared" si="5"/>
        <v>-14.635927497891316</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idden="1">
      <c r="A23" s="21">
        <v>7144</v>
      </c>
      <c r="B23" s="22" t="s">
        <v>23</v>
      </c>
      <c r="C23" s="23">
        <v>0</v>
      </c>
      <c r="D23" s="41">
        <f>+C23/$C$2*100</f>
        <v>0</v>
      </c>
      <c r="E23" s="23">
        <v>0</v>
      </c>
      <c r="F23" s="41">
        <f>+E23/$E$2*100</f>
        <v>0</v>
      </c>
      <c r="G23" s="23">
        <f>+C23-E23</f>
        <v>0</v>
      </c>
      <c r="H23" s="41" t="e">
        <f>+C23/E23*100-100</f>
        <v>#DIV/0!</v>
      </c>
      <c r="I23" s="23">
        <v>1632887.52</v>
      </c>
      <c r="J23" s="41">
        <f>+I23/$I$2*100</f>
        <v>3.2953567989124771E-2</v>
      </c>
      <c r="K23" s="23">
        <f>+C23-I23</f>
        <v>-1632887.52</v>
      </c>
      <c r="L23" s="41">
        <f>+C23/I23*100-100</f>
        <v>-100</v>
      </c>
      <c r="M23" s="74" t="s">
        <v>104</v>
      </c>
    </row>
    <row r="24" spans="1:16" ht="15.75" hidden="1" customHeight="1">
      <c r="A24" s="21"/>
      <c r="B24" s="22" t="s">
        <v>24</v>
      </c>
      <c r="C24" s="23"/>
      <c r="D24" s="41"/>
      <c r="E24" s="23"/>
      <c r="F24" s="41"/>
      <c r="G24" s="23"/>
      <c r="H24" s="41"/>
      <c r="I24" s="23"/>
      <c r="J24" s="41"/>
      <c r="K24" s="23"/>
      <c r="L24" s="41"/>
      <c r="M24" s="74"/>
    </row>
    <row r="25" spans="1:16" ht="17.25" hidden="1" customHeight="1">
      <c r="A25" s="21">
        <v>7145</v>
      </c>
      <c r="B25" s="22" t="s">
        <v>69</v>
      </c>
      <c r="C25" s="23">
        <v>0</v>
      </c>
      <c r="D25" s="41">
        <f t="shared" ref="D25:D29" si="18">+C25/$C$2*100</f>
        <v>0</v>
      </c>
      <c r="E25" s="23">
        <v>0</v>
      </c>
      <c r="F25" s="41">
        <f t="shared" ref="F25:F29" si="19">+E25/$E$2*100</f>
        <v>0</v>
      </c>
      <c r="G25" s="23">
        <f t="shared" ref="G25:G27" si="20">+C25-E25</f>
        <v>0</v>
      </c>
      <c r="H25" s="41" t="e">
        <f t="shared" ref="H25:H27" si="21">+C25/E25*100-100</f>
        <v>#DIV/0!</v>
      </c>
      <c r="I25" s="23"/>
      <c r="J25" s="41">
        <f t="shared" ref="J25:J27" si="22">+I25/$I$2*100</f>
        <v>0</v>
      </c>
      <c r="K25" s="23">
        <f t="shared" ref="K25:K27" si="23">+C25-I25</f>
        <v>0</v>
      </c>
      <c r="L25" s="41" t="e">
        <f t="shared" ref="L25:L27" si="24">+C25/I25*100-100</f>
        <v>#DIV/0!</v>
      </c>
      <c r="M25" s="74" t="s">
        <v>160</v>
      </c>
    </row>
    <row r="26" spans="1:16" ht="15" customHeight="1">
      <c r="A26" s="21">
        <v>7146</v>
      </c>
      <c r="B26" s="22" t="s">
        <v>70</v>
      </c>
      <c r="C26" s="23">
        <v>7053892.4999999991</v>
      </c>
      <c r="D26" s="41">
        <f t="shared" si="18"/>
        <v>0.13293178991406601</v>
      </c>
      <c r="E26" s="23">
        <v>9499574.8000000007</v>
      </c>
      <c r="F26" s="41">
        <f t="shared" si="19"/>
        <v>0.17902108397406907</v>
      </c>
      <c r="G26" s="23">
        <f t="shared" si="20"/>
        <v>-2445682.3000000017</v>
      </c>
      <c r="H26" s="41">
        <f t="shared" si="21"/>
        <v>-25.745176510426575</v>
      </c>
      <c r="I26" s="23">
        <v>6852048.620000002</v>
      </c>
      <c r="J26" s="41">
        <f t="shared" si="22"/>
        <v>0.1382823049954835</v>
      </c>
      <c r="K26" s="23">
        <f t="shared" si="23"/>
        <v>201843.87999999709</v>
      </c>
      <c r="L26" s="41">
        <f t="shared" si="24"/>
        <v>2.9457450055279537</v>
      </c>
      <c r="M26" s="74" t="s">
        <v>161</v>
      </c>
    </row>
    <row r="27" spans="1:16" ht="28.5" customHeight="1">
      <c r="A27" s="21">
        <v>7147</v>
      </c>
      <c r="B27" s="27" t="s">
        <v>71</v>
      </c>
      <c r="C27" s="23">
        <v>913577.62999999989</v>
      </c>
      <c r="D27" s="41">
        <f t="shared" si="18"/>
        <v>1.7216524008744155E-2</v>
      </c>
      <c r="E27" s="23">
        <v>1193911.5</v>
      </c>
      <c r="F27" s="41">
        <f t="shared" si="19"/>
        <v>2.249946291270918E-2</v>
      </c>
      <c r="G27" s="23">
        <f t="shared" si="20"/>
        <v>-280333.87000000011</v>
      </c>
      <c r="H27" s="41">
        <f t="shared" si="21"/>
        <v>-23.480288949390314</v>
      </c>
      <c r="I27" s="23">
        <v>683119.41</v>
      </c>
      <c r="J27" s="41">
        <f t="shared" si="22"/>
        <v>1.3786143654356426E-2</v>
      </c>
      <c r="K27" s="23">
        <f t="shared" si="23"/>
        <v>230458.21999999986</v>
      </c>
      <c r="L27" s="41">
        <f t="shared" si="24"/>
        <v>33.736154561908847</v>
      </c>
      <c r="M27" s="75" t="s">
        <v>162</v>
      </c>
    </row>
    <row r="28" spans="1:16" ht="15" hidden="1" customHeight="1">
      <c r="A28" s="21">
        <v>7148</v>
      </c>
      <c r="B28" s="22" t="s">
        <v>24</v>
      </c>
      <c r="C28" s="84"/>
      <c r="D28" s="41">
        <f t="shared" si="18"/>
        <v>0</v>
      </c>
      <c r="E28" s="78">
        <v>1325025</v>
      </c>
      <c r="F28" s="41">
        <f t="shared" si="19"/>
        <v>2.4970318860244235E-2</v>
      </c>
      <c r="G28" s="78">
        <f t="shared" si="2"/>
        <v>-1325025</v>
      </c>
      <c r="H28" s="41">
        <f t="shared" si="3"/>
        <v>-100</v>
      </c>
      <c r="I28" s="78"/>
      <c r="J28" s="41">
        <f t="shared" si="4"/>
        <v>0</v>
      </c>
      <c r="K28" s="78">
        <f t="shared" si="6"/>
        <v>0</v>
      </c>
      <c r="L28" s="41" t="e">
        <f t="shared" si="5"/>
        <v>#DIV/0!</v>
      </c>
      <c r="M28" s="74" t="s">
        <v>105</v>
      </c>
    </row>
    <row r="29" spans="1:16" ht="15" customHeight="1">
      <c r="A29" s="21">
        <v>7149</v>
      </c>
      <c r="B29" s="22" t="s">
        <v>25</v>
      </c>
      <c r="C29" s="84">
        <v>366567.60999999993</v>
      </c>
      <c r="D29" s="41">
        <f t="shared" si="18"/>
        <v>6.9080282300618117E-3</v>
      </c>
      <c r="E29" s="78">
        <v>1325025</v>
      </c>
      <c r="F29" s="41">
        <f t="shared" si="19"/>
        <v>2.4970318860244235E-2</v>
      </c>
      <c r="G29" s="78">
        <f t="shared" si="2"/>
        <v>-958457.39000000013</v>
      </c>
      <c r="H29" s="41">
        <f t="shared" si="3"/>
        <v>-72.335041980339994</v>
      </c>
      <c r="I29" s="23">
        <v>426164.39999999997</v>
      </c>
      <c r="J29" s="41">
        <f t="shared" si="4"/>
        <v>8.6004929047069738E-3</v>
      </c>
      <c r="K29" s="78">
        <f t="shared" si="6"/>
        <v>-59596.790000000037</v>
      </c>
      <c r="L29" s="41">
        <f t="shared" si="5"/>
        <v>-13.984459987741829</v>
      </c>
      <c r="M29" s="74" t="s">
        <v>106</v>
      </c>
    </row>
    <row r="30" spans="1:16" ht="15" customHeight="1">
      <c r="A30" s="18">
        <v>715</v>
      </c>
      <c r="B30" s="19" t="s">
        <v>26</v>
      </c>
      <c r="C30" s="20">
        <f>+SUM(C31:C34)</f>
        <v>1886257.85</v>
      </c>
      <c r="D30" s="40">
        <f t="shared" si="1"/>
        <v>3.5546846261118648E-2</v>
      </c>
      <c r="E30" s="20">
        <f>+SUM(E31:E34)</f>
        <v>3501688.25</v>
      </c>
      <c r="F30" s="40">
        <f t="shared" si="0"/>
        <v>6.5989903701191011E-2</v>
      </c>
      <c r="G30" s="20">
        <f t="shared" si="2"/>
        <v>-1615430.4</v>
      </c>
      <c r="H30" s="40">
        <f t="shared" si="3"/>
        <v>-46.132901751033948</v>
      </c>
      <c r="I30" s="20">
        <f>+SUM(I31:I34)</f>
        <v>2210657.04</v>
      </c>
      <c r="J30" s="40">
        <f t="shared" si="4"/>
        <v>4.461362841959704E-2</v>
      </c>
      <c r="K30" s="20">
        <f t="shared" si="6"/>
        <v>-324399.18999999994</v>
      </c>
      <c r="L30" s="40">
        <f t="shared" si="5"/>
        <v>-14.674333654215303</v>
      </c>
      <c r="M30" s="73" t="s">
        <v>107</v>
      </c>
    </row>
    <row r="31" spans="1:16" ht="15" customHeight="1">
      <c r="A31" s="21">
        <v>7151</v>
      </c>
      <c r="B31" s="22" t="s">
        <v>27</v>
      </c>
      <c r="C31" s="84">
        <v>286167.57000000007</v>
      </c>
      <c r="D31" s="41">
        <f t="shared" si="1"/>
        <v>5.3928759611035744E-3</v>
      </c>
      <c r="E31" s="78">
        <v>376150</v>
      </c>
      <c r="F31" s="41">
        <f t="shared" si="0"/>
        <v>7.0886099804010252E-3</v>
      </c>
      <c r="G31" s="78">
        <f t="shared" si="2"/>
        <v>-89982.429999999935</v>
      </c>
      <c r="H31" s="41">
        <f t="shared" si="3"/>
        <v>-23.921954007709672</v>
      </c>
      <c r="I31" s="78">
        <v>340860.39</v>
      </c>
      <c r="J31" s="41">
        <f t="shared" si="4"/>
        <v>6.8789588376942136E-3</v>
      </c>
      <c r="K31" s="78">
        <f t="shared" si="6"/>
        <v>-54692.819999999949</v>
      </c>
      <c r="L31" s="41">
        <f t="shared" si="5"/>
        <v>-16.045519398719208</v>
      </c>
      <c r="M31" s="74" t="s">
        <v>108</v>
      </c>
    </row>
    <row r="32" spans="1:16" ht="15" customHeight="1">
      <c r="A32" s="21">
        <v>7152</v>
      </c>
      <c r="B32" s="22" t="s">
        <v>28</v>
      </c>
      <c r="C32" s="84">
        <v>513819.41999999993</v>
      </c>
      <c r="D32" s="41">
        <f t="shared" si="1"/>
        <v>9.683013342379013E-3</v>
      </c>
      <c r="E32" s="78">
        <v>534138.25</v>
      </c>
      <c r="F32" s="41">
        <f t="shared" si="0"/>
        <v>1.0065925109301975E-2</v>
      </c>
      <c r="G32" s="78">
        <f t="shared" si="2"/>
        <v>-20318.830000000075</v>
      </c>
      <c r="H32" s="41">
        <f t="shared" si="3"/>
        <v>-3.8040394972649949</v>
      </c>
      <c r="I32" s="78">
        <v>244391.86000000002</v>
      </c>
      <c r="J32" s="41">
        <f t="shared" si="4"/>
        <v>4.9321117810360044E-3</v>
      </c>
      <c r="K32" s="78">
        <f t="shared" si="6"/>
        <v>269427.55999999994</v>
      </c>
      <c r="L32" s="41">
        <f t="shared" si="5"/>
        <v>110.2440809607979</v>
      </c>
      <c r="M32" s="74" t="s">
        <v>109</v>
      </c>
      <c r="P32" s="80"/>
    </row>
    <row r="33" spans="1:16384">
      <c r="A33" s="21">
        <v>7153</v>
      </c>
      <c r="B33" s="22" t="s">
        <v>29</v>
      </c>
      <c r="C33" s="84">
        <v>262323.04000000004</v>
      </c>
      <c r="D33" s="41">
        <f t="shared" si="1"/>
        <v>4.9435217850143228E-3</v>
      </c>
      <c r="E33" s="78">
        <v>854025</v>
      </c>
      <c r="F33" s="41">
        <f t="shared" si="0"/>
        <v>1.6094244685662597E-2</v>
      </c>
      <c r="G33" s="78">
        <f t="shared" si="2"/>
        <v>-591701.96</v>
      </c>
      <c r="H33" s="41">
        <f t="shared" si="3"/>
        <v>-69.28391557624191</v>
      </c>
      <c r="I33" s="78">
        <v>440526.69</v>
      </c>
      <c r="J33" s="41">
        <f t="shared" si="4"/>
        <v>8.8903406095841141E-3</v>
      </c>
      <c r="K33" s="78">
        <f t="shared" si="6"/>
        <v>-178203.64999999997</v>
      </c>
      <c r="L33" s="41">
        <f t="shared" si="5"/>
        <v>-40.452407094789187</v>
      </c>
      <c r="M33" s="74" t="s">
        <v>110</v>
      </c>
    </row>
    <row r="34" spans="1:16384" s="3" customFormat="1" ht="15" customHeight="1">
      <c r="A34" s="21">
        <v>7155</v>
      </c>
      <c r="B34" s="22" t="s">
        <v>26</v>
      </c>
      <c r="C34" s="84">
        <v>823947.82000000007</v>
      </c>
      <c r="D34" s="41">
        <f t="shared" si="1"/>
        <v>1.5527435172621741E-2</v>
      </c>
      <c r="E34" s="78">
        <v>1737375</v>
      </c>
      <c r="F34" s="41">
        <f t="shared" si="0"/>
        <v>3.2741123925825413E-2</v>
      </c>
      <c r="G34" s="78">
        <f t="shared" si="2"/>
        <v>-913427.17999999993</v>
      </c>
      <c r="H34" s="41">
        <f t="shared" si="3"/>
        <v>-52.57513087272465</v>
      </c>
      <c r="I34" s="78">
        <v>1184878.0999999999</v>
      </c>
      <c r="J34" s="41">
        <f t="shared" si="4"/>
        <v>2.3912217191282704E-2</v>
      </c>
      <c r="K34" s="78">
        <f t="shared" si="6"/>
        <v>-360930.2799999998</v>
      </c>
      <c r="L34" s="41">
        <f t="shared" si="5"/>
        <v>-30.461385015049217</v>
      </c>
      <c r="M34" s="74" t="s">
        <v>107</v>
      </c>
    </row>
    <row r="35" spans="1:16384" ht="15" customHeight="1">
      <c r="A35" s="18">
        <v>73</v>
      </c>
      <c r="B35" s="19" t="s">
        <v>61</v>
      </c>
      <c r="C35" s="20">
        <v>2589531.84</v>
      </c>
      <c r="D35" s="40">
        <f>+C35/$C$2*100</f>
        <v>4.8800162822252371E-2</v>
      </c>
      <c r="E35" s="20">
        <v>66750</v>
      </c>
      <c r="F35" s="40">
        <f t="shared" si="0"/>
        <v>1.2579149706015377E-3</v>
      </c>
      <c r="G35" s="20">
        <f t="shared" si="2"/>
        <v>2522781.84</v>
      </c>
      <c r="H35" s="40">
        <f t="shared" si="3"/>
        <v>3779.4484494382018</v>
      </c>
      <c r="I35" s="20">
        <v>56866.450000000004</v>
      </c>
      <c r="J35" s="40">
        <f t="shared" si="4"/>
        <v>1.1476310544495832E-3</v>
      </c>
      <c r="K35" s="20">
        <f t="shared" si="6"/>
        <v>2532665.3899999997</v>
      </c>
      <c r="L35" s="40">
        <f t="shared" si="5"/>
        <v>4453.7075727428037</v>
      </c>
      <c r="M35" s="73" t="s">
        <v>111</v>
      </c>
    </row>
    <row r="36" spans="1:16384" ht="15" customHeight="1">
      <c r="A36" s="18">
        <v>74</v>
      </c>
      <c r="B36" s="19" t="s">
        <v>50</v>
      </c>
      <c r="C36" s="20">
        <v>1399637.73</v>
      </c>
      <c r="D36" s="40">
        <f t="shared" si="1"/>
        <v>2.637640829941203E-2</v>
      </c>
      <c r="E36" s="20">
        <v>5560381.75</v>
      </c>
      <c r="F36" s="40">
        <f t="shared" si="0"/>
        <v>0.10478632877280265</v>
      </c>
      <c r="G36" s="20">
        <f t="shared" si="2"/>
        <v>-4160744.02</v>
      </c>
      <c r="H36" s="40">
        <f t="shared" si="3"/>
        <v>-74.828387817077484</v>
      </c>
      <c r="I36" s="20">
        <v>758432.41</v>
      </c>
      <c r="J36" s="40">
        <f t="shared" si="4"/>
        <v>1.5306047527444364E-2</v>
      </c>
      <c r="K36" s="20">
        <f t="shared" si="6"/>
        <v>641205.31999999995</v>
      </c>
      <c r="L36" s="40">
        <f t="shared" si="5"/>
        <v>84.543502037314028</v>
      </c>
      <c r="M36" s="73" t="s">
        <v>112</v>
      </c>
    </row>
    <row r="37" spans="1:16384" s="34" customFormat="1" ht="15" customHeight="1">
      <c r="A37" s="31"/>
      <c r="B37" s="32" t="s">
        <v>75</v>
      </c>
      <c r="C37" s="33">
        <f>+C38+C48+C49++C50+C51+C52+C53+C54</f>
        <v>60457053.409999996</v>
      </c>
      <c r="D37" s="43">
        <f t="shared" si="1"/>
        <v>1.1393233342755917</v>
      </c>
      <c r="E37" s="33">
        <f>+E38+E48+E49++E50+E51+E52+E53+E54</f>
        <v>85858715.946178839</v>
      </c>
      <c r="F37" s="43">
        <f t="shared" si="0"/>
        <v>1.6180219347613982</v>
      </c>
      <c r="G37" s="33">
        <f t="shared" si="2"/>
        <v>-25401662.536178842</v>
      </c>
      <c r="H37" s="43">
        <f t="shared" si="3"/>
        <v>-29.58542095144081</v>
      </c>
      <c r="I37" s="33">
        <f>+I38+I48+I49++I50+I51+I52+I53+I54</f>
        <v>50439640.639999993</v>
      </c>
      <c r="J37" s="43">
        <f t="shared" si="4"/>
        <v>1.0179305719583556</v>
      </c>
      <c r="K37" s="33">
        <f t="shared" si="6"/>
        <v>10017412.770000003</v>
      </c>
      <c r="L37" s="43">
        <f t="shared" si="5"/>
        <v>19.860198532136096</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16934514.439999998</v>
      </c>
      <c r="D38" s="40">
        <f t="shared" si="1"/>
        <v>0.31913377129503989</v>
      </c>
      <c r="E38" s="69">
        <f>SUM(E39:E47)</f>
        <v>27445053.636178821</v>
      </c>
      <c r="F38" s="40">
        <f t="shared" si="0"/>
        <v>0.51720664925710125</v>
      </c>
      <c r="G38" s="20">
        <f t="shared" si="2"/>
        <v>-10510539.196178824</v>
      </c>
      <c r="H38" s="40">
        <f t="shared" si="3"/>
        <v>-38.296661159822051</v>
      </c>
      <c r="I38" s="69">
        <f>SUM(I39:I47)</f>
        <v>14593363.019999998</v>
      </c>
      <c r="J38" s="40">
        <f t="shared" si="4"/>
        <v>0.29451102698705739</v>
      </c>
      <c r="K38" s="20">
        <f t="shared" si="6"/>
        <v>2341151.42</v>
      </c>
      <c r="L38" s="40">
        <f t="shared" si="5"/>
        <v>16.042576456101898</v>
      </c>
      <c r="M38" s="73" t="s">
        <v>114</v>
      </c>
    </row>
    <row r="39" spans="1:16384" ht="15" customHeight="1">
      <c r="A39" s="21">
        <v>411</v>
      </c>
      <c r="B39" s="22" t="s">
        <v>30</v>
      </c>
      <c r="C39" s="23">
        <v>10124782.359999999</v>
      </c>
      <c r="D39" s="41">
        <f t="shared" si="1"/>
        <v>0.19080322553897178</v>
      </c>
      <c r="E39" s="23">
        <v>15314660.686178826</v>
      </c>
      <c r="F39" s="41">
        <f t="shared" si="0"/>
        <v>0.28860735500864665</v>
      </c>
      <c r="G39" s="23">
        <f t="shared" si="2"/>
        <v>-5189878.3261788264</v>
      </c>
      <c r="H39" s="41">
        <f t="shared" si="3"/>
        <v>-33.888301102632894</v>
      </c>
      <c r="I39" s="23">
        <v>8357506.7799999984</v>
      </c>
      <c r="J39" s="41">
        <f t="shared" si="4"/>
        <v>0.16866420039409771</v>
      </c>
      <c r="K39" s="23">
        <f t="shared" si="6"/>
        <v>1767275.580000001</v>
      </c>
      <c r="L39" s="41">
        <f t="shared" si="5"/>
        <v>21.145966452928207</v>
      </c>
      <c r="M39" s="74" t="s">
        <v>115</v>
      </c>
    </row>
    <row r="40" spans="1:16384" ht="15" customHeight="1">
      <c r="A40" s="21">
        <v>412</v>
      </c>
      <c r="B40" s="22" t="s">
        <v>31</v>
      </c>
      <c r="C40" s="23">
        <v>755464.02</v>
      </c>
      <c r="D40" s="41">
        <f t="shared" si="1"/>
        <v>1.423684644957033E-2</v>
      </c>
      <c r="E40" s="23">
        <v>1157597.94</v>
      </c>
      <c r="F40" s="41">
        <f t="shared" si="0"/>
        <v>2.1815127770239712E-2</v>
      </c>
      <c r="G40" s="23">
        <f t="shared" si="2"/>
        <v>-402133.91999999993</v>
      </c>
      <c r="H40" s="41">
        <f t="shared" si="3"/>
        <v>-34.738652005548659</v>
      </c>
      <c r="I40" s="23">
        <v>578715.88</v>
      </c>
      <c r="J40" s="41">
        <f t="shared" si="4"/>
        <v>1.1679159075186131E-2</v>
      </c>
      <c r="K40" s="23">
        <f t="shared" si="6"/>
        <v>176748.14</v>
      </c>
      <c r="L40" s="41">
        <f t="shared" si="5"/>
        <v>30.541435980640443</v>
      </c>
      <c r="M40" s="74" t="s">
        <v>116</v>
      </c>
    </row>
    <row r="41" spans="1:16384" ht="15" customHeight="1">
      <c r="A41" s="21">
        <v>413</v>
      </c>
      <c r="B41" s="22" t="s">
        <v>76</v>
      </c>
      <c r="C41" s="23">
        <v>1974244.4</v>
      </c>
      <c r="D41" s="41">
        <f t="shared" si="1"/>
        <v>3.7204967586310866E-2</v>
      </c>
      <c r="E41" s="23">
        <v>2463081</v>
      </c>
      <c r="F41" s="41">
        <f t="shared" si="0"/>
        <v>4.6417175486205338E-2</v>
      </c>
      <c r="G41" s="23">
        <f t="shared" si="2"/>
        <v>-488836.60000000009</v>
      </c>
      <c r="H41" s="41">
        <f t="shared" si="3"/>
        <v>-19.846549910457682</v>
      </c>
      <c r="I41" s="23">
        <v>1726637.79</v>
      </c>
      <c r="J41" s="41">
        <f t="shared" si="4"/>
        <v>3.4845557399665314E-2</v>
      </c>
      <c r="K41" s="23">
        <f t="shared" si="6"/>
        <v>247606.60999999987</v>
      </c>
      <c r="L41" s="41">
        <f t="shared" si="5"/>
        <v>14.340390986114102</v>
      </c>
      <c r="M41" s="74" t="s">
        <v>117</v>
      </c>
    </row>
    <row r="42" spans="1:16384" ht="15" customHeight="1">
      <c r="A42" s="21">
        <v>414</v>
      </c>
      <c r="B42" s="22" t="s">
        <v>77</v>
      </c>
      <c r="C42" s="23">
        <v>1118468.2999999998</v>
      </c>
      <c r="D42" s="41">
        <f t="shared" si="1"/>
        <v>2.1077723126790286E-2</v>
      </c>
      <c r="E42" s="23">
        <v>2619551.9500000002</v>
      </c>
      <c r="F42" s="41">
        <f t="shared" si="0"/>
        <v>4.9365896841549829E-2</v>
      </c>
      <c r="G42" s="23">
        <f t="shared" si="2"/>
        <v>-1501083.6500000004</v>
      </c>
      <c r="H42" s="41">
        <f t="shared" si="3"/>
        <v>-57.303068564836067</v>
      </c>
      <c r="I42" s="23">
        <v>846589.51</v>
      </c>
      <c r="J42" s="41">
        <f t="shared" si="4"/>
        <v>1.7085160266681953E-2</v>
      </c>
      <c r="K42" s="23">
        <f t="shared" si="6"/>
        <v>271878.7899999998</v>
      </c>
      <c r="L42" s="41">
        <f t="shared" si="5"/>
        <v>32.11459471072348</v>
      </c>
      <c r="M42" s="74" t="s">
        <v>118</v>
      </c>
    </row>
    <row r="43" spans="1:16384" ht="15.75" customHeight="1">
      <c r="A43" s="21">
        <v>415</v>
      </c>
      <c r="B43" s="22" t="s">
        <v>32</v>
      </c>
      <c r="C43" s="23">
        <v>947068.1399999999</v>
      </c>
      <c r="D43" s="41">
        <f t="shared" si="1"/>
        <v>1.7847658299412029E-2</v>
      </c>
      <c r="E43" s="23">
        <v>1984087.5</v>
      </c>
      <c r="F43" s="41">
        <f t="shared" si="0"/>
        <v>3.7390462460425142E-2</v>
      </c>
      <c r="G43" s="23">
        <f t="shared" si="2"/>
        <v>-1037019.3600000001</v>
      </c>
      <c r="H43" s="41">
        <f t="shared" si="3"/>
        <v>-52.266815853635492</v>
      </c>
      <c r="I43" s="23">
        <v>1219443.1000000001</v>
      </c>
      <c r="J43" s="41">
        <f t="shared" si="4"/>
        <v>2.4609779064708071E-2</v>
      </c>
      <c r="K43" s="23">
        <f t="shared" si="6"/>
        <v>-272374.9600000002</v>
      </c>
      <c r="L43" s="41">
        <f t="shared" si="5"/>
        <v>-22.336012233781162</v>
      </c>
      <c r="M43" s="74" t="s">
        <v>119</v>
      </c>
    </row>
    <row r="44" spans="1:16384" ht="15" customHeight="1">
      <c r="A44" s="21">
        <v>416</v>
      </c>
      <c r="B44" s="22" t="s">
        <v>33</v>
      </c>
      <c r="C44" s="23">
        <v>367548.17000000004</v>
      </c>
      <c r="D44" s="41">
        <f t="shared" si="1"/>
        <v>6.9265070480928692E-3</v>
      </c>
      <c r="E44" s="23">
        <v>634058.56000000006</v>
      </c>
      <c r="F44" s="41">
        <f t="shared" si="0"/>
        <v>1.1948940147746119E-2</v>
      </c>
      <c r="G44" s="23">
        <f t="shared" si="2"/>
        <v>-266510.39</v>
      </c>
      <c r="H44" s="41">
        <f t="shared" si="3"/>
        <v>-42.03245674973617</v>
      </c>
      <c r="I44" s="23">
        <v>561078.53</v>
      </c>
      <c r="J44" s="41">
        <f t="shared" si="4"/>
        <v>1.1323216853046427E-2</v>
      </c>
      <c r="K44" s="23">
        <f t="shared" si="6"/>
        <v>-193530.36</v>
      </c>
      <c r="L44" s="41">
        <f t="shared" si="5"/>
        <v>-34.49256203048796</v>
      </c>
      <c r="M44" s="74" t="s">
        <v>120</v>
      </c>
    </row>
    <row r="45" spans="1:16384" ht="15" customHeight="1">
      <c r="A45" s="21">
        <v>417</v>
      </c>
      <c r="B45" s="22" t="s">
        <v>34</v>
      </c>
      <c r="C45" s="23">
        <v>95820.23000000001</v>
      </c>
      <c r="D45" s="41">
        <f t="shared" si="1"/>
        <v>1.8057483416252075E-3</v>
      </c>
      <c r="E45" s="23">
        <v>176241.25</v>
      </c>
      <c r="F45" s="41">
        <f t="shared" si="0"/>
        <v>3.3212959822101614E-3</v>
      </c>
      <c r="G45" s="23">
        <f t="shared" si="2"/>
        <v>-80421.01999999999</v>
      </c>
      <c r="H45" s="41">
        <f t="shared" si="3"/>
        <v>-45.631212897094173</v>
      </c>
      <c r="I45" s="23">
        <v>73817.3</v>
      </c>
      <c r="J45" s="41">
        <f t="shared" si="4"/>
        <v>1.4897189086996148E-3</v>
      </c>
      <c r="K45" s="23">
        <f t="shared" si="6"/>
        <v>22002.930000000008</v>
      </c>
      <c r="L45" s="41">
        <f t="shared" si="5"/>
        <v>29.807280949045833</v>
      </c>
      <c r="M45" s="74" t="s">
        <v>121</v>
      </c>
    </row>
    <row r="46" spans="1:16384" ht="15" customHeight="1">
      <c r="A46" s="21">
        <v>418</v>
      </c>
      <c r="B46" s="22" t="s">
        <v>35</v>
      </c>
      <c r="C46" s="23">
        <v>213195.75999999998</v>
      </c>
      <c r="D46" s="41">
        <f t="shared" si="1"/>
        <v>4.0177099351726211E-3</v>
      </c>
      <c r="E46" s="23">
        <v>1214197.5</v>
      </c>
      <c r="F46" s="41">
        <f t="shared" si="0"/>
        <v>2.2881755992763455E-2</v>
      </c>
      <c r="G46" s="23">
        <f t="shared" si="2"/>
        <v>-1001001.74</v>
      </c>
      <c r="H46" s="41">
        <f t="shared" si="3"/>
        <v>-82.441426538927971</v>
      </c>
      <c r="I46" s="23">
        <v>107209.00999999998</v>
      </c>
      <c r="J46" s="41">
        <f t="shared" si="4"/>
        <v>2.1636024262600508E-3</v>
      </c>
      <c r="K46" s="23">
        <f t="shared" si="6"/>
        <v>105986.75</v>
      </c>
      <c r="L46" s="41">
        <f t="shared" si="5"/>
        <v>98.859927910909732</v>
      </c>
      <c r="M46" s="74" t="s">
        <v>122</v>
      </c>
    </row>
    <row r="47" spans="1:16384" ht="15" customHeight="1">
      <c r="A47" s="21">
        <v>419</v>
      </c>
      <c r="B47" s="22" t="s">
        <v>36</v>
      </c>
      <c r="C47" s="23">
        <v>1337923.06</v>
      </c>
      <c r="D47" s="41">
        <f t="shared" si="1"/>
        <v>2.5213384969093929E-2</v>
      </c>
      <c r="E47" s="23">
        <v>1881577.25</v>
      </c>
      <c r="F47" s="41">
        <f t="shared" si="0"/>
        <v>3.5458639567314938E-2</v>
      </c>
      <c r="G47" s="23">
        <f t="shared" si="2"/>
        <v>-543654.18999999994</v>
      </c>
      <c r="H47" s="41">
        <f t="shared" si="3"/>
        <v>-28.893535463399118</v>
      </c>
      <c r="I47" s="23">
        <v>1122365.1199999999</v>
      </c>
      <c r="J47" s="41">
        <f t="shared" si="4"/>
        <v>2.2650632598712115E-2</v>
      </c>
      <c r="K47" s="23">
        <f t="shared" si="6"/>
        <v>215557.94000000018</v>
      </c>
      <c r="L47" s="41">
        <f t="shared" si="5"/>
        <v>19.205687717736652</v>
      </c>
      <c r="M47" s="74" t="s">
        <v>123</v>
      </c>
    </row>
    <row r="48" spans="1:16384" ht="15" customHeight="1">
      <c r="A48" s="18">
        <v>42</v>
      </c>
      <c r="B48" s="19" t="s">
        <v>37</v>
      </c>
      <c r="C48" s="20">
        <v>97777.540000000008</v>
      </c>
      <c r="D48" s="40">
        <f t="shared" si="1"/>
        <v>1.8426341775968644E-3</v>
      </c>
      <c r="E48" s="20">
        <v>176865.75</v>
      </c>
      <c r="F48" s="40">
        <f t="shared" si="0"/>
        <v>3.3330647896879242E-3</v>
      </c>
      <c r="G48" s="20">
        <f t="shared" si="2"/>
        <v>-79088.209999999992</v>
      </c>
      <c r="H48" s="40">
        <f t="shared" si="3"/>
        <v>-44.716520863988642</v>
      </c>
      <c r="I48" s="20">
        <v>60011.770000000004</v>
      </c>
      <c r="J48" s="40">
        <f t="shared" si="4"/>
        <v>1.2111072677208768E-3</v>
      </c>
      <c r="K48" s="20">
        <f t="shared" si="6"/>
        <v>37765.770000000004</v>
      </c>
      <c r="L48" s="40">
        <f t="shared" si="5"/>
        <v>62.930605112963661</v>
      </c>
      <c r="M48" s="73" t="s">
        <v>124</v>
      </c>
    </row>
    <row r="49" spans="1:16384" ht="15" customHeight="1">
      <c r="A49" s="18">
        <v>43</v>
      </c>
      <c r="B49" s="19" t="s">
        <v>177</v>
      </c>
      <c r="C49" s="20">
        <v>14272381.18</v>
      </c>
      <c r="D49" s="40">
        <f t="shared" si="1"/>
        <v>0.26896542250866878</v>
      </c>
      <c r="E49" s="20">
        <v>17389069.23</v>
      </c>
      <c r="F49" s="40">
        <f t="shared" si="0"/>
        <v>0.32769993272274989</v>
      </c>
      <c r="G49" s="20">
        <f t="shared" si="2"/>
        <v>-3116688.0500000007</v>
      </c>
      <c r="H49" s="40">
        <f t="shared" si="3"/>
        <v>-17.923259771851519</v>
      </c>
      <c r="I49" s="20">
        <v>9897867.5</v>
      </c>
      <c r="J49" s="40">
        <f t="shared" si="4"/>
        <v>0.19975047001926896</v>
      </c>
      <c r="K49" s="20">
        <f t="shared" si="6"/>
        <v>4374513.68</v>
      </c>
      <c r="L49" s="40">
        <f t="shared" si="5"/>
        <v>44.196526979170017</v>
      </c>
      <c r="M49" s="73" t="s">
        <v>130</v>
      </c>
    </row>
    <row r="50" spans="1:16384" ht="15" customHeight="1">
      <c r="A50" s="18">
        <v>44</v>
      </c>
      <c r="B50" s="19" t="s">
        <v>67</v>
      </c>
      <c r="C50" s="20">
        <v>14233619.990000002</v>
      </c>
      <c r="D50" s="40">
        <f t="shared" si="1"/>
        <v>0.26823496136740543</v>
      </c>
      <c r="E50" s="20">
        <v>34176457.165000007</v>
      </c>
      <c r="F50" s="40">
        <f t="shared" si="0"/>
        <v>0.64406108029926135</v>
      </c>
      <c r="G50" s="20">
        <f t="shared" si="2"/>
        <v>-19942837.175000004</v>
      </c>
      <c r="H50" s="40">
        <f t="shared" si="3"/>
        <v>-58.352558542619789</v>
      </c>
      <c r="I50" s="20">
        <v>9434545.620000001</v>
      </c>
      <c r="J50" s="40">
        <f t="shared" si="4"/>
        <v>0.19040009598160773</v>
      </c>
      <c r="K50" s="20">
        <f t="shared" si="6"/>
        <v>4799074.370000001</v>
      </c>
      <c r="L50" s="40">
        <f t="shared" si="5"/>
        <v>50.867042921776658</v>
      </c>
      <c r="M50" s="73" t="s">
        <v>131</v>
      </c>
    </row>
    <row r="51" spans="1:16384" ht="15" customHeight="1">
      <c r="A51" s="18">
        <v>45</v>
      </c>
      <c r="B51" s="19" t="s">
        <v>44</v>
      </c>
      <c r="C51" s="20">
        <v>1069453.23</v>
      </c>
      <c r="D51" s="40">
        <f t="shared" si="1"/>
        <v>2.0154025893260968E-2</v>
      </c>
      <c r="E51" s="20">
        <v>435000</v>
      </c>
      <c r="F51" s="40">
        <f t="shared" si="0"/>
        <v>8.1976481230212565E-3</v>
      </c>
      <c r="G51" s="20">
        <f t="shared" si="2"/>
        <v>634453.23</v>
      </c>
      <c r="H51" s="40">
        <f t="shared" si="3"/>
        <v>145.85131724137929</v>
      </c>
      <c r="I51" s="20">
        <v>1745861.51</v>
      </c>
      <c r="J51" s="40">
        <f t="shared" si="4"/>
        <v>3.5233514412175211E-2</v>
      </c>
      <c r="K51" s="20">
        <f t="shared" si="6"/>
        <v>-676408.28</v>
      </c>
      <c r="L51" s="40">
        <f t="shared" si="5"/>
        <v>-38.74352439329509</v>
      </c>
      <c r="M51" s="73" t="s">
        <v>132</v>
      </c>
    </row>
    <row r="52" spans="1:16384" ht="15" customHeight="1">
      <c r="A52" s="18">
        <v>462</v>
      </c>
      <c r="B52" s="19" t="s">
        <v>45</v>
      </c>
      <c r="C52" s="20">
        <v>0</v>
      </c>
      <c r="D52" s="40">
        <f t="shared" si="1"/>
        <v>0</v>
      </c>
      <c r="E52" s="20">
        <v>0</v>
      </c>
      <c r="F52" s="40">
        <f t="shared" si="0"/>
        <v>0</v>
      </c>
      <c r="G52" s="20">
        <f t="shared" si="2"/>
        <v>0</v>
      </c>
      <c r="H52" s="40" t="e">
        <f t="shared" si="3"/>
        <v>#DIV/0!</v>
      </c>
      <c r="I52" s="20">
        <v>0</v>
      </c>
      <c r="J52" s="40">
        <f t="shared" si="4"/>
        <v>0</v>
      </c>
      <c r="K52" s="20">
        <f t="shared" si="6"/>
        <v>0</v>
      </c>
      <c r="L52" s="40" t="e">
        <f t="shared" si="5"/>
        <v>#DIV/0!</v>
      </c>
      <c r="M52" s="73" t="s">
        <v>133</v>
      </c>
    </row>
    <row r="53" spans="1:16384" ht="15" customHeight="1">
      <c r="A53" s="18">
        <v>463</v>
      </c>
      <c r="B53" s="19" t="s">
        <v>46</v>
      </c>
      <c r="C53" s="20">
        <v>13036389.780000003</v>
      </c>
      <c r="D53" s="40">
        <f>+C53/$C$2*100</f>
        <v>0.24567295680687479</v>
      </c>
      <c r="E53" s="20">
        <v>5368610.165</v>
      </c>
      <c r="F53" s="40">
        <f>+E53/$E$2*100</f>
        <v>0.10117236101688527</v>
      </c>
      <c r="G53" s="20">
        <f>+C53-E53</f>
        <v>7667779.615000003</v>
      </c>
      <c r="H53" s="40">
        <f>+C53/E53*100-100</f>
        <v>142.82615759641405</v>
      </c>
      <c r="I53" s="20">
        <v>14201281.859999999</v>
      </c>
      <c r="J53" s="40">
        <v>0</v>
      </c>
      <c r="K53" s="20">
        <f>+C53-I53</f>
        <v>-1164892.0799999963</v>
      </c>
      <c r="L53" s="40">
        <f>+C53/I53*100-100</f>
        <v>-8.2027248771189107</v>
      </c>
      <c r="M53" s="73" t="s">
        <v>134</v>
      </c>
    </row>
    <row r="54" spans="1:16384" ht="15" customHeight="1">
      <c r="A54" s="18">
        <v>47</v>
      </c>
      <c r="B54" s="19" t="s">
        <v>47</v>
      </c>
      <c r="C54" s="20">
        <v>812917.25</v>
      </c>
      <c r="D54" s="40">
        <f t="shared" si="1"/>
        <v>1.5319562226745064E-2</v>
      </c>
      <c r="E54" s="20">
        <v>867660</v>
      </c>
      <c r="F54" s="40">
        <f t="shared" si="0"/>
        <v>1.6351198552691088E-2</v>
      </c>
      <c r="G54" s="20">
        <f t="shared" si="2"/>
        <v>-54742.75</v>
      </c>
      <c r="H54" s="40">
        <f t="shared" si="3"/>
        <v>-6.3092397943895122</v>
      </c>
      <c r="I54" s="20">
        <v>506709.36000000004</v>
      </c>
      <c r="J54" s="40">
        <f t="shared" si="4"/>
        <v>1.0225983811478885E-2</v>
      </c>
      <c r="K54" s="20">
        <f t="shared" si="6"/>
        <v>306207.88999999996</v>
      </c>
      <c r="L54" s="40">
        <f t="shared" si="5"/>
        <v>60.430675683591062</v>
      </c>
      <c r="M54" s="73" t="s">
        <v>135</v>
      </c>
    </row>
    <row r="55" spans="1:16384" s="34" customFormat="1" ht="15" customHeight="1">
      <c r="A55" s="31"/>
      <c r="B55" s="32" t="s">
        <v>80</v>
      </c>
      <c r="C55" s="33">
        <f>+C6-C37</f>
        <v>-13876344.770076372</v>
      </c>
      <c r="D55" s="43">
        <f t="shared" si="1"/>
        <v>-0.26150204979037334</v>
      </c>
      <c r="E55" s="33">
        <f>+E6-E37</f>
        <v>-24866737.646178842</v>
      </c>
      <c r="F55" s="43">
        <f t="shared" si="0"/>
        <v>-0.46861785101347131</v>
      </c>
      <c r="G55" s="33">
        <f t="shared" si="2"/>
        <v>10990392.87610247</v>
      </c>
      <c r="H55" s="43">
        <f t="shared" si="3"/>
        <v>-44.197164229909802</v>
      </c>
      <c r="I55" s="33">
        <f>+I6-I37</f>
        <v>-8208087.9299999923</v>
      </c>
      <c r="J55" s="43">
        <f t="shared" si="4"/>
        <v>-0.16564875433794066</v>
      </c>
      <c r="K55" s="33">
        <f t="shared" si="6"/>
        <v>-5668256.8400763795</v>
      </c>
      <c r="L55" s="43">
        <f t="shared" si="5"/>
        <v>69.056970251979067</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-13876344.770076372</v>
      </c>
      <c r="D57" s="43">
        <f t="shared" si="1"/>
        <v>-0.26150204979037334</v>
      </c>
      <c r="E57" s="33">
        <f>+E55-E56</f>
        <v>-24866737.646178842</v>
      </c>
      <c r="F57" s="43">
        <f t="shared" si="0"/>
        <v>-0.46861785101347131</v>
      </c>
      <c r="G57" s="33">
        <f t="shared" si="2"/>
        <v>10990392.87610247</v>
      </c>
      <c r="H57" s="43">
        <f t="shared" si="3"/>
        <v>-44.197164229909802</v>
      </c>
      <c r="I57" s="33">
        <f>+I55-I56</f>
        <v>-8208087.9299999923</v>
      </c>
      <c r="J57" s="43">
        <f t="shared" si="4"/>
        <v>-0.16564875433794066</v>
      </c>
      <c r="K57" s="33">
        <f t="shared" si="6"/>
        <v>-5668256.8400763795</v>
      </c>
      <c r="L57" s="43">
        <f t="shared" si="5"/>
        <v>69.056970251979067</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-13508796.600076372</v>
      </c>
      <c r="D58" s="43">
        <f t="shared" si="1"/>
        <v>-0.2545755427422805</v>
      </c>
      <c r="E58" s="33">
        <f>+E57+E44</f>
        <v>-24232679.086178843</v>
      </c>
      <c r="F58" s="43">
        <f t="shared" si="0"/>
        <v>-0.4566689108657252</v>
      </c>
      <c r="G58" s="33">
        <f t="shared" si="2"/>
        <v>10723882.486102471</v>
      </c>
      <c r="H58" s="43">
        <f t="shared" si="3"/>
        <v>-44.253804740140588</v>
      </c>
      <c r="I58" s="33">
        <f>+I57+I44</f>
        <v>-7647009.399999992</v>
      </c>
      <c r="J58" s="43">
        <f t="shared" si="4"/>
        <v>-0.15432553748489425</v>
      </c>
      <c r="K58" s="33">
        <f t="shared" si="6"/>
        <v>-5861787.2000763798</v>
      </c>
      <c r="L58" s="43">
        <f t="shared" si="5"/>
        <v>76.65463573349848</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357275.21992363036</v>
      </c>
      <c r="D59" s="43">
        <f t="shared" si="1"/>
        <v>6.7329115770320812E-3</v>
      </c>
      <c r="E59" s="33">
        <f>+E6-(E37-E50)</f>
        <v>9309719.518821165</v>
      </c>
      <c r="F59" s="43">
        <f t="shared" si="0"/>
        <v>0.17544322928579009</v>
      </c>
      <c r="G59" s="33">
        <f t="shared" si="2"/>
        <v>-8952444.2988975346</v>
      </c>
      <c r="H59" s="43">
        <f t="shared" si="3"/>
        <v>-96.162341741860871</v>
      </c>
      <c r="I59" s="33">
        <f>+I6-(I37-I50)</f>
        <v>1226457.6900000051</v>
      </c>
      <c r="J59" s="43">
        <f t="shared" si="4"/>
        <v>2.475134164366697E-2</v>
      </c>
      <c r="K59" s="33">
        <f t="shared" si="6"/>
        <v>-869182.47007637471</v>
      </c>
      <c r="L59" s="43">
        <f t="shared" si="5"/>
        <v>-70.869339983213862</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2156783.6</v>
      </c>
      <c r="D60" s="43">
        <f t="shared" si="1"/>
        <v>4.0644949494949498E-2</v>
      </c>
      <c r="E60" s="33">
        <f>+E61+E62</f>
        <v>2243155.5</v>
      </c>
      <c r="F60" s="43">
        <f t="shared" si="0"/>
        <v>4.2272642469470829E-2</v>
      </c>
      <c r="G60" s="33">
        <f t="shared" si="2"/>
        <v>-86371.899999999907</v>
      </c>
      <c r="H60" s="43">
        <f t="shared" si="3"/>
        <v>-3.8504642232783226</v>
      </c>
      <c r="I60" s="33">
        <f>+I61+I62+I63</f>
        <v>2962061.2699999996</v>
      </c>
      <c r="J60" s="43">
        <f t="shared" si="4"/>
        <v>5.977783910608752E-2</v>
      </c>
      <c r="K60" s="33">
        <f t="shared" si="6"/>
        <v>-805277.66999999946</v>
      </c>
      <c r="L60" s="43">
        <f t="shared" si="5"/>
        <v>-27.186394763535716</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1300513.33</v>
      </c>
      <c r="D61" s="41">
        <f t="shared" si="1"/>
        <v>2.4508392318709486E-2</v>
      </c>
      <c r="E61" s="23">
        <v>2243155.5</v>
      </c>
      <c r="F61" s="41">
        <f t="shared" si="0"/>
        <v>4.2272642469470829E-2</v>
      </c>
      <c r="G61" s="23">
        <f t="shared" si="2"/>
        <v>-942642.16999999993</v>
      </c>
      <c r="H61" s="41">
        <f t="shared" si="3"/>
        <v>-42.023041648249524</v>
      </c>
      <c r="I61" s="23">
        <v>2103846.0299999998</v>
      </c>
      <c r="J61" s="41">
        <f t="shared" si="4"/>
        <v>4.2458058095915407E-2</v>
      </c>
      <c r="K61" s="23">
        <f t="shared" si="6"/>
        <v>-803332.69999999972</v>
      </c>
      <c r="L61" s="41">
        <f t="shared" si="5"/>
        <v>-38.184006269698344</v>
      </c>
      <c r="M61" s="74" t="s">
        <v>142</v>
      </c>
    </row>
    <row r="62" spans="1:16384" ht="15" customHeight="1">
      <c r="A62" s="21">
        <v>4612</v>
      </c>
      <c r="B62" s="22" t="s">
        <v>54</v>
      </c>
      <c r="C62" s="23">
        <v>856270.27</v>
      </c>
      <c r="D62" s="41">
        <f t="shared" si="1"/>
        <v>1.6136557176240011E-2</v>
      </c>
      <c r="E62" s="23">
        <v>0</v>
      </c>
      <c r="F62" s="41">
        <f t="shared" si="0"/>
        <v>0</v>
      </c>
      <c r="G62" s="23">
        <f t="shared" si="2"/>
        <v>856270.27</v>
      </c>
      <c r="H62" s="41" t="e">
        <f t="shared" si="3"/>
        <v>#DIV/0!</v>
      </c>
      <c r="I62" s="23">
        <v>858215.24</v>
      </c>
      <c r="J62" s="41">
        <f t="shared" si="4"/>
        <v>1.7319781010172113E-2</v>
      </c>
      <c r="K62" s="23">
        <f t="shared" si="6"/>
        <v>-1944.9699999999721</v>
      </c>
      <c r="L62" s="41">
        <f t="shared" si="5"/>
        <v>-0.22662962731820357</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-16033128.370076371</v>
      </c>
      <c r="D65" s="43">
        <f t="shared" si="1"/>
        <v>-0.30214699928532285</v>
      </c>
      <c r="E65" s="33">
        <f>+E57-E60-E64</f>
        <v>-27109893.146178842</v>
      </c>
      <c r="F65" s="43">
        <f t="shared" si="25"/>
        <v>-0.51089049348294213</v>
      </c>
      <c r="G65" s="33">
        <f t="shared" ref="G65:G71" si="26">+C65-E65</f>
        <v>11076764.77610247</v>
      </c>
      <c r="H65" s="43">
        <f t="shared" ref="H65:H71" si="27">+C65/E65*100-100</f>
        <v>-40.858754833062662</v>
      </c>
      <c r="I65" s="33">
        <f>+I57-I60-I64</f>
        <v>-11170149.199999992</v>
      </c>
      <c r="J65" s="43">
        <f t="shared" si="4"/>
        <v>-0.22542659344402818</v>
      </c>
      <c r="K65" s="33">
        <f t="shared" ref="K65:K71" si="28">+C65-I65</f>
        <v>-4862979.1700763796</v>
      </c>
      <c r="L65" s="43">
        <f t="shared" ref="L65:L71" si="29">+C65/I65*100-100</f>
        <v>43.535489839977998</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16033128.370076371</v>
      </c>
      <c r="D66" s="43">
        <f t="shared" ref="D66:D71" si="30">+C66/$C$2*100</f>
        <v>0.30214699928532285</v>
      </c>
      <c r="E66" s="33">
        <f>+SUM(E67:E71)</f>
        <v>27109893.146178842</v>
      </c>
      <c r="F66" s="43">
        <f t="shared" si="25"/>
        <v>0.51089049348294213</v>
      </c>
      <c r="G66" s="33">
        <f t="shared" si="26"/>
        <v>-11076764.77610247</v>
      </c>
      <c r="H66" s="43">
        <f t="shared" si="27"/>
        <v>-40.858754833062662</v>
      </c>
      <c r="I66" s="33">
        <f>+SUM(I67:I71)</f>
        <v>11170149.199999992</v>
      </c>
      <c r="J66" s="43">
        <f t="shared" ref="J66:J71" si="31">+I66/$I$2*100</f>
        <v>0.22542659344402818</v>
      </c>
      <c r="K66" s="33">
        <f t="shared" si="28"/>
        <v>4862979.1700763796</v>
      </c>
      <c r="L66" s="43">
        <f t="shared" si="29"/>
        <v>43.535489839977998</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2369632.2400000002</v>
      </c>
      <c r="D67" s="41">
        <f t="shared" si="30"/>
        <v>4.4656117895371633E-2</v>
      </c>
      <c r="E67" s="23">
        <v>2107500</v>
      </c>
      <c r="F67" s="41">
        <f t="shared" si="25"/>
        <v>3.9716191768430574E-2</v>
      </c>
      <c r="G67" s="23">
        <f t="shared" si="26"/>
        <v>262132.24000000022</v>
      </c>
      <c r="H67" s="41">
        <f t="shared" si="27"/>
        <v>12.438065954922891</v>
      </c>
      <c r="I67" s="70">
        <v>2809044.68</v>
      </c>
      <c r="J67" s="41">
        <f t="shared" si="31"/>
        <v>5.6689786475230854E-2</v>
      </c>
      <c r="K67" s="23">
        <f t="shared" si="28"/>
        <v>-439412.43999999994</v>
      </c>
      <c r="L67" s="41">
        <f t="shared" si="29"/>
        <v>-15.642771477739529</v>
      </c>
      <c r="M67" s="74" t="s">
        <v>147</v>
      </c>
    </row>
    <row r="68" spans="1:16384" ht="15" customHeight="1">
      <c r="A68" s="21">
        <v>7512</v>
      </c>
      <c r="B68" s="22" t="s">
        <v>49</v>
      </c>
      <c r="C68" s="23">
        <v>60865.46</v>
      </c>
      <c r="D68" s="41">
        <f t="shared" si="30"/>
        <v>1.1470198251168401E-3</v>
      </c>
      <c r="E68" s="23">
        <v>923970.25</v>
      </c>
      <c r="F68" s="41">
        <f t="shared" si="25"/>
        <v>1.741237467963214E-2</v>
      </c>
      <c r="G68" s="23">
        <f t="shared" si="26"/>
        <v>-863104.79</v>
      </c>
      <c r="H68" s="41">
        <f t="shared" si="27"/>
        <v>-93.412616910555286</v>
      </c>
      <c r="I68" s="70">
        <v>778652.41999999993</v>
      </c>
      <c r="J68" s="41">
        <f t="shared" si="31"/>
        <v>1.5714110830099635E-2</v>
      </c>
      <c r="K68" s="23">
        <f t="shared" si="28"/>
        <v>-717786.96</v>
      </c>
      <c r="L68" s="41">
        <f t="shared" si="29"/>
        <v>-92.183231126411968</v>
      </c>
      <c r="M68" s="74" t="s">
        <v>148</v>
      </c>
    </row>
    <row r="69" spans="1:16384" ht="15" customHeight="1">
      <c r="A69" s="18">
        <v>72</v>
      </c>
      <c r="B69" s="19" t="s">
        <v>176</v>
      </c>
      <c r="C69" s="20">
        <v>13221893.129999999</v>
      </c>
      <c r="D69" s="40">
        <f t="shared" si="30"/>
        <v>0.24916879862053368</v>
      </c>
      <c r="E69" s="20">
        <v>4924097</v>
      </c>
      <c r="F69" s="40">
        <f t="shared" si="25"/>
        <v>9.2795435700286449E-2</v>
      </c>
      <c r="G69" s="20">
        <f t="shared" si="26"/>
        <v>8297796.129999999</v>
      </c>
      <c r="H69" s="40">
        <f t="shared" si="27"/>
        <v>168.51406724928444</v>
      </c>
      <c r="I69" s="69">
        <v>1982316.8699999999</v>
      </c>
      <c r="J69" s="40">
        <f t="shared" si="31"/>
        <v>4.0005458398955744E-2</v>
      </c>
      <c r="K69" s="20">
        <f t="shared" si="28"/>
        <v>11239576.26</v>
      </c>
      <c r="L69" s="40">
        <f t="shared" si="29"/>
        <v>566.99190881627317</v>
      </c>
      <c r="M69" s="73" t="s">
        <v>149</v>
      </c>
    </row>
    <row r="70" spans="1:16384" ht="15" customHeight="1">
      <c r="A70" s="28"/>
      <c r="B70" s="29" t="s">
        <v>155</v>
      </c>
      <c r="C70" s="30">
        <v>1250736.0299999998</v>
      </c>
      <c r="D70" s="40">
        <f t="shared" si="30"/>
        <v>2.357033073270013E-2</v>
      </c>
      <c r="E70" s="30">
        <v>1737490</v>
      </c>
      <c r="F70" s="40">
        <f t="shared" ref="F70" si="32">+E70/$E$2*100</f>
        <v>3.2743291120156795E-2</v>
      </c>
      <c r="G70" s="20">
        <f t="shared" ref="G70" si="33">+C70-E70</f>
        <v>-486753.9700000002</v>
      </c>
      <c r="H70" s="40">
        <f t="shared" ref="H70" si="34">+C70/E70*100-100</f>
        <v>-28.014778214550887</v>
      </c>
      <c r="I70" s="71">
        <v>943201.58</v>
      </c>
      <c r="J70" s="40">
        <f t="shared" ref="J70" si="35">+I70/$I$2*100</f>
        <v>1.9034904127370578E-2</v>
      </c>
      <c r="K70" s="20">
        <f t="shared" ref="K70" si="36">+C70-I70</f>
        <v>307534.44999999984</v>
      </c>
      <c r="L70" s="40">
        <f t="shared" ref="L70" si="37">+C70/I70*100-100</f>
        <v>32.605379011345576</v>
      </c>
      <c r="M70" s="76" t="s">
        <v>156</v>
      </c>
    </row>
    <row r="71" spans="1:16384" ht="15" customHeight="1" thickBot="1">
      <c r="A71" s="24"/>
      <c r="B71" s="25" t="s">
        <v>51</v>
      </c>
      <c r="C71" s="26">
        <f>+-C65-SUM(C67:C70)</f>
        <v>-869998.48992362805</v>
      </c>
      <c r="D71" s="42">
        <f t="shared" si="30"/>
        <v>-1.6395267788399445E-2</v>
      </c>
      <c r="E71" s="26">
        <f>+-E65-SUM(E67:E70)</f>
        <v>17416835.896178842</v>
      </c>
      <c r="F71" s="42">
        <f t="shared" si="25"/>
        <v>0.32822320021443618</v>
      </c>
      <c r="G71" s="26">
        <f t="shared" si="26"/>
        <v>-18286834.386102468</v>
      </c>
      <c r="H71" s="42">
        <f t="shared" si="27"/>
        <v>-104.99515810512115</v>
      </c>
      <c r="I71" s="26">
        <v>4656933.649999992</v>
      </c>
      <c r="J71" s="42">
        <f t="shared" si="31"/>
        <v>9.3982333612371377E-2</v>
      </c>
      <c r="K71" s="26">
        <f t="shared" si="28"/>
        <v>-5526932.13992362</v>
      </c>
      <c r="L71" s="42">
        <f t="shared" si="29"/>
        <v>-118.68178838931127</v>
      </c>
      <c r="M71" s="77" t="s">
        <v>150</v>
      </c>
    </row>
    <row r="72" spans="1:16384" ht="13.5" customHeight="1"/>
    <row r="76" spans="1:16384">
      <c r="G76" s="88"/>
    </row>
    <row r="78" spans="1:16384">
      <c r="J78" s="89"/>
    </row>
  </sheetData>
  <sheetProtection algorithmName="SHA-512" hashValue="Hy4jmtHud2V9SwlS4xH75M4XeTddxBk5hOlR0W2xqjcmUlCgJkBedcKoidFCpPYbGgkoJdCgIyImxZsgF6InKg==" saltValue="C7tHVVmdVelUC4ZN/DuDOw=="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zoomScale="90" zoomScaleNormal="90" zoomScaleSheetLayoutView="90" workbookViewId="0">
      <pane ySplit="5" topLeftCell="A6" activePane="bottomLeft" state="frozen"/>
      <selection activeCell="G14" sqref="G14"/>
      <selection pane="bottomLeft" activeCell="C7" sqref="C7 C17 C22:C26"/>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5" width="9.140625" style="1"/>
    <col min="16" max="17" width="12.7109375" style="1" bestFit="1" customWidth="1"/>
    <col min="18" max="18" width="10.42578125" style="1" bestFit="1" customWidth="1"/>
    <col min="19" max="16384" width="9.140625" style="1"/>
  </cols>
  <sheetData>
    <row r="1" spans="1:16357" ht="18.75" customHeight="1" thickBot="1">
      <c r="B1" s="5"/>
      <c r="M1" s="5"/>
    </row>
    <row r="2" spans="1:16357" ht="15.75" customHeight="1" thickBot="1">
      <c r="A2" s="8" t="s">
        <v>59</v>
      </c>
      <c r="B2" s="8"/>
      <c r="C2" s="98">
        <f>'Centralna država-ek klas'!C2:D2</f>
        <v>5306400000</v>
      </c>
      <c r="D2" s="99"/>
      <c r="E2" s="98">
        <f>'Centralna država-ek klas'!E2:F2</f>
        <v>5306400000</v>
      </c>
      <c r="F2" s="99"/>
      <c r="G2" s="9"/>
      <c r="H2" s="10"/>
      <c r="I2" s="98">
        <v>4955116000</v>
      </c>
      <c r="J2" s="99"/>
      <c r="K2" s="9"/>
      <c r="L2" s="10"/>
      <c r="M2" s="8" t="s">
        <v>81</v>
      </c>
    </row>
    <row r="3" spans="1:16357" ht="15" customHeight="1" thickBot="1">
      <c r="A3" s="8"/>
      <c r="B3" s="8"/>
      <c r="C3" s="11"/>
      <c r="D3" s="8"/>
      <c r="E3" s="11"/>
      <c r="F3" s="10"/>
      <c r="G3" s="11"/>
      <c r="H3" s="10"/>
      <c r="I3" s="11"/>
      <c r="J3" s="10"/>
      <c r="K3" s="11"/>
      <c r="L3" s="10"/>
      <c r="M3" s="8"/>
    </row>
    <row r="4" spans="1:16357" ht="15" customHeight="1">
      <c r="A4" s="92" t="s">
        <v>73</v>
      </c>
      <c r="B4" s="102" t="s">
        <v>74</v>
      </c>
      <c r="C4" s="96" t="s">
        <v>184</v>
      </c>
      <c r="D4" s="97"/>
      <c r="E4" s="94" t="s">
        <v>185</v>
      </c>
      <c r="F4" s="95"/>
      <c r="G4" s="94" t="s">
        <v>175</v>
      </c>
      <c r="H4" s="95"/>
      <c r="I4" s="94" t="s">
        <v>188</v>
      </c>
      <c r="J4" s="95"/>
      <c r="K4" s="94" t="s">
        <v>175</v>
      </c>
      <c r="L4" s="95"/>
      <c r="M4" s="100" t="s">
        <v>151</v>
      </c>
    </row>
    <row r="5" spans="1:16357" ht="24" customHeight="1">
      <c r="A5" s="93"/>
      <c r="B5" s="103"/>
      <c r="C5" s="12" t="s">
        <v>63</v>
      </c>
      <c r="D5" s="13" t="s">
        <v>57</v>
      </c>
      <c r="E5" s="12" t="s">
        <v>63</v>
      </c>
      <c r="F5" s="13" t="s">
        <v>57</v>
      </c>
      <c r="G5" s="12" t="s">
        <v>66</v>
      </c>
      <c r="H5" s="13" t="s">
        <v>64</v>
      </c>
      <c r="I5" s="12" t="s">
        <v>63</v>
      </c>
      <c r="J5" s="14" t="s">
        <v>57</v>
      </c>
      <c r="K5" s="12" t="s">
        <v>63</v>
      </c>
      <c r="L5" s="14" t="s">
        <v>64</v>
      </c>
      <c r="M5" s="101"/>
    </row>
    <row r="6" spans="1:16357" s="38" customFormat="1" ht="15" customHeight="1">
      <c r="A6" s="35"/>
      <c r="B6" s="36" t="s">
        <v>52</v>
      </c>
      <c r="C6" s="37">
        <f>+C7+C17+C22+C23+C24+C25+C26</f>
        <v>463226677.19992357</v>
      </c>
      <c r="D6" s="44">
        <f>+C6/$C$2*100</f>
        <v>8.7295845997271879</v>
      </c>
      <c r="E6" s="37">
        <f>+E7+E17+E22+E23+E24+E25+E26</f>
        <v>427088328.47277296</v>
      </c>
      <c r="F6" s="44">
        <f t="shared" ref="F6:F52" si="0">+E6/$E$2*100</f>
        <v>8.0485513431473876</v>
      </c>
      <c r="G6" s="37">
        <f>+C6-E6</f>
        <v>36138348.727150619</v>
      </c>
      <c r="H6" s="44">
        <f>+C6/E6*100-100</f>
        <v>8.4615631750879032</v>
      </c>
      <c r="I6" s="37">
        <f>+I7+I17+I22+I23+I24+I25+I26</f>
        <v>390671515.63</v>
      </c>
      <c r="J6" s="44">
        <f>+I6/$I$2*100</f>
        <v>7.8842052462545773</v>
      </c>
      <c r="K6" s="37">
        <f>+C6-I6</f>
        <v>72555161.56992358</v>
      </c>
      <c r="L6" s="44">
        <f>+C6/I6*100-100</f>
        <v>18.571909818641515</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329509102.46992362</v>
      </c>
      <c r="D7" s="40">
        <f t="shared" ref="D7:D55" si="1">+C7/$C$2*100</f>
        <v>6.2096544261631923</v>
      </c>
      <c r="E7" s="20">
        <f>+SUM(E8:E16)</f>
        <v>286889154.2690767</v>
      </c>
      <c r="F7" s="40">
        <f t="shared" si="0"/>
        <v>5.4064743379518454</v>
      </c>
      <c r="G7" s="20">
        <f t="shared" ref="G7:G54" si="2">+C7-E7</f>
        <v>42619948.20084691</v>
      </c>
      <c r="H7" s="40">
        <f t="shared" ref="H7:H54" si="3">+C7/E7*100-100</f>
        <v>14.855893841449699</v>
      </c>
      <c r="I7" s="20">
        <f>+SUM(I8:I16)</f>
        <v>256394113.53999999</v>
      </c>
      <c r="J7" s="40">
        <f t="shared" ref="J7:J55" si="4">+I7/$I$2*100</f>
        <v>5.1743312071806189</v>
      </c>
      <c r="K7" s="20">
        <f t="shared" ref="K7:K54" si="5">+C7-I7</f>
        <v>73114988.929923624</v>
      </c>
      <c r="L7" s="40">
        <f t="shared" ref="L7:L54" si="6">+C7/I7*100-100</f>
        <v>28.516641010370535</v>
      </c>
      <c r="M7" s="73" t="s">
        <v>82</v>
      </c>
    </row>
    <row r="8" spans="1:16357" ht="15" customHeight="1">
      <c r="A8" s="21">
        <v>7111</v>
      </c>
      <c r="B8" s="22" t="s">
        <v>2</v>
      </c>
      <c r="C8" s="23">
        <f>+'Centralna država-ek klas'!C8+'Lokalna država-ek klas '!C8</f>
        <v>30259722.578000002</v>
      </c>
      <c r="D8" s="41">
        <f t="shared" si="1"/>
        <v>0.57024955860847282</v>
      </c>
      <c r="E8" s="23">
        <f>+'Centralna država-ek klas'!E8+'Lokalna država-ek klas '!E8</f>
        <v>32214443.066653699</v>
      </c>
      <c r="F8" s="41">
        <f t="shared" si="0"/>
        <v>0.60708659480351457</v>
      </c>
      <c r="G8" s="23">
        <f t="shared" si="2"/>
        <v>-1954720.4886536971</v>
      </c>
      <c r="H8" s="41">
        <f t="shared" si="3"/>
        <v>-6.0678388405140566</v>
      </c>
      <c r="I8" s="23">
        <f>+'Centralna država-ek klas'!I8+'Lokalna država-ek klas '!I8</f>
        <v>34791996.289999999</v>
      </c>
      <c r="J8" s="41">
        <f t="shared" si="4"/>
        <v>0.70214292238567166</v>
      </c>
      <c r="K8" s="23">
        <f t="shared" si="5"/>
        <v>-4532273.7119999975</v>
      </c>
      <c r="L8" s="41">
        <f t="shared" si="6"/>
        <v>-13.026771083275477</v>
      </c>
      <c r="M8" s="74" t="s">
        <v>83</v>
      </c>
      <c r="P8" s="90"/>
      <c r="Q8" s="90"/>
      <c r="R8" s="90"/>
    </row>
    <row r="9" spans="1:16357" ht="15" customHeight="1">
      <c r="A9" s="21">
        <v>7112</v>
      </c>
      <c r="B9" s="22" t="s">
        <v>3</v>
      </c>
      <c r="C9" s="23">
        <f>+'Centralna država-ek klas'!C9</f>
        <v>41248279.109999999</v>
      </c>
      <c r="D9" s="41">
        <f t="shared" si="1"/>
        <v>0.7773307536182722</v>
      </c>
      <c r="E9" s="23">
        <f>+'Centralna država-ek klas'!E9</f>
        <v>31720404.781161029</v>
      </c>
      <c r="F9" s="41">
        <f t="shared" si="0"/>
        <v>0.59777636026611314</v>
      </c>
      <c r="G9" s="23">
        <f t="shared" si="2"/>
        <v>9527874.3288389705</v>
      </c>
      <c r="H9" s="41">
        <f t="shared" si="3"/>
        <v>30.037051527468662</v>
      </c>
      <c r="I9" s="23">
        <f>+'Centralna država-ek klas'!I9</f>
        <v>30868426.009999998</v>
      </c>
      <c r="J9" s="41">
        <f t="shared" si="4"/>
        <v>0.62296071393686836</v>
      </c>
      <c r="K9" s="23">
        <f t="shared" si="5"/>
        <v>10379853.100000001</v>
      </c>
      <c r="L9" s="41">
        <f t="shared" si="6"/>
        <v>33.626117174349588</v>
      </c>
      <c r="M9" s="74" t="s">
        <v>84</v>
      </c>
    </row>
    <row r="10" spans="1:16357" ht="15" customHeight="1">
      <c r="A10" s="21">
        <v>71131</v>
      </c>
      <c r="B10" s="22" t="s">
        <v>68</v>
      </c>
      <c r="C10" s="23">
        <f>+'Lokalna država-ek klas '!C9</f>
        <v>7294863.4700000007</v>
      </c>
      <c r="D10" s="41">
        <f t="shared" si="1"/>
        <v>0.1374729283506709</v>
      </c>
      <c r="E10" s="23">
        <f>+'Lokalna država-ek klas '!E9</f>
        <v>3684904</v>
      </c>
      <c r="F10" s="41">
        <f t="shared" si="0"/>
        <v>6.9442635308306938E-2</v>
      </c>
      <c r="G10" s="23">
        <f t="shared" si="2"/>
        <v>3609959.4700000007</v>
      </c>
      <c r="H10" s="41">
        <f t="shared" si="3"/>
        <v>97.966174152705207</v>
      </c>
      <c r="I10" s="23">
        <f>+'Lokalna država-ek klas '!I9</f>
        <v>8963087.2899999991</v>
      </c>
      <c r="J10" s="41">
        <f t="shared" si="4"/>
        <v>0.18088551892629759</v>
      </c>
      <c r="K10" s="23">
        <f t="shared" si="5"/>
        <v>-1668223.8199999984</v>
      </c>
      <c r="L10" s="41">
        <f t="shared" si="6"/>
        <v>-18.61215634774878</v>
      </c>
      <c r="M10" s="74" t="s">
        <v>153</v>
      </c>
    </row>
    <row r="11" spans="1:16357" ht="15" customHeight="1">
      <c r="A11" s="21">
        <v>71132</v>
      </c>
      <c r="B11" s="22" t="s">
        <v>4</v>
      </c>
      <c r="C11" s="23">
        <f>+'Centralna država-ek klas'!C10+'Lokalna država-ek klas '!C10</f>
        <v>5597328.444600001</v>
      </c>
      <c r="D11" s="41">
        <f t="shared" si="1"/>
        <v>0.10548259544323837</v>
      </c>
      <c r="E11" s="23">
        <f>+'Centralna država-ek klas'!E10+'Lokalna država-ek klas '!E10</f>
        <v>18047112.62107949</v>
      </c>
      <c r="F11" s="41">
        <f t="shared" si="0"/>
        <v>0.34010087104401271</v>
      </c>
      <c r="G11" s="23">
        <f t="shared" si="2"/>
        <v>-12449784.176479489</v>
      </c>
      <c r="H11" s="41">
        <f t="shared" si="3"/>
        <v>-68.984908765615074</v>
      </c>
      <c r="I11" s="23">
        <f>+'Centralna država-ek klas'!I10+'Lokalna država-ek klas '!I10</f>
        <v>3183558.68</v>
      </c>
      <c r="J11" s="41">
        <f t="shared" si="4"/>
        <v>6.4247914276880702E-2</v>
      </c>
      <c r="K11" s="23">
        <f t="shared" si="5"/>
        <v>2413769.7646000008</v>
      </c>
      <c r="L11" s="41">
        <f t="shared" si="6"/>
        <v>75.8198609550995</v>
      </c>
      <c r="M11" s="74" t="s">
        <v>85</v>
      </c>
    </row>
    <row r="12" spans="1:16357" ht="15" customHeight="1">
      <c r="A12" s="21">
        <v>7114</v>
      </c>
      <c r="B12" s="22" t="s">
        <v>5</v>
      </c>
      <c r="C12" s="23">
        <f>+'Centralna država-ek klas'!C11</f>
        <v>171411208.22999999</v>
      </c>
      <c r="D12" s="41">
        <f t="shared" si="1"/>
        <v>3.2302730331298055</v>
      </c>
      <c r="E12" s="23">
        <f>+'Centralna država-ek klas'!E11</f>
        <v>139004746.5893546</v>
      </c>
      <c r="F12" s="41">
        <f t="shared" si="0"/>
        <v>2.6195678160213065</v>
      </c>
      <c r="G12" s="23">
        <f t="shared" si="2"/>
        <v>32406461.640645385</v>
      </c>
      <c r="H12" s="41">
        <f t="shared" si="3"/>
        <v>23.313205078082675</v>
      </c>
      <c r="I12" s="23">
        <f>+'Centralna država-ek klas'!I11</f>
        <v>124572035.69</v>
      </c>
      <c r="J12" s="41">
        <f t="shared" si="4"/>
        <v>2.5140084649885086</v>
      </c>
      <c r="K12" s="23">
        <f t="shared" si="5"/>
        <v>46839172.539999992</v>
      </c>
      <c r="L12" s="41">
        <f t="shared" si="6"/>
        <v>37.600069935888513</v>
      </c>
      <c r="M12" s="74" t="s">
        <v>86</v>
      </c>
    </row>
    <row r="13" spans="1:16357" ht="15" customHeight="1">
      <c r="A13" s="21">
        <v>7115</v>
      </c>
      <c r="B13" s="22" t="s">
        <v>6</v>
      </c>
      <c r="C13" s="23">
        <f>+'Centralna država-ek klas'!C12</f>
        <v>56688234.68</v>
      </c>
      <c r="D13" s="41">
        <f t="shared" si="1"/>
        <v>1.068299311774461</v>
      </c>
      <c r="E13" s="23">
        <f>+'Centralna država-ek klas'!E12</f>
        <v>48440640.591338575</v>
      </c>
      <c r="F13" s="41">
        <f t="shared" si="0"/>
        <v>0.91287201476214708</v>
      </c>
      <c r="G13" s="23">
        <f t="shared" si="2"/>
        <v>8247594.0886614248</v>
      </c>
      <c r="H13" s="41">
        <f t="shared" si="3"/>
        <v>17.026187077584055</v>
      </c>
      <c r="I13" s="23">
        <f>+'Centralna država-ek klas'!I12</f>
        <v>42325324.729999997</v>
      </c>
      <c r="J13" s="41">
        <f t="shared" si="4"/>
        <v>0.85417424597123448</v>
      </c>
      <c r="K13" s="23">
        <f t="shared" si="5"/>
        <v>14362909.950000003</v>
      </c>
      <c r="L13" s="41">
        <f t="shared" si="6"/>
        <v>33.934553465622059</v>
      </c>
      <c r="M13" s="74" t="s">
        <v>87</v>
      </c>
    </row>
    <row r="14" spans="1:16357" ht="15" customHeight="1">
      <c r="A14" s="21">
        <v>7116</v>
      </c>
      <c r="B14" s="22" t="s">
        <v>7</v>
      </c>
      <c r="C14" s="23">
        <f>+'Centralna država-ek klas'!C13</f>
        <v>7122968.6799999997</v>
      </c>
      <c r="D14" s="41">
        <f t="shared" si="1"/>
        <v>0.13423354213779587</v>
      </c>
      <c r="E14" s="23">
        <f>+'Centralna država-ek klas'!E13</f>
        <v>5745775.7236759728</v>
      </c>
      <c r="F14" s="41">
        <f t="shared" si="0"/>
        <v>0.10828010937124931</v>
      </c>
      <c r="G14" s="23">
        <f t="shared" si="2"/>
        <v>1377192.9563240269</v>
      </c>
      <c r="H14" s="41">
        <f t="shared" si="3"/>
        <v>23.968790683026171</v>
      </c>
      <c r="I14" s="23">
        <f>+'Centralna država-ek klas'!I13</f>
        <v>5055156.43</v>
      </c>
      <c r="J14" s="41">
        <f t="shared" si="4"/>
        <v>0.10201893215012524</v>
      </c>
      <c r="K14" s="23">
        <f t="shared" si="5"/>
        <v>2067812.25</v>
      </c>
      <c r="L14" s="41">
        <f t="shared" si="6"/>
        <v>40.905010134374834</v>
      </c>
      <c r="M14" s="74" t="s">
        <v>88</v>
      </c>
    </row>
    <row r="15" spans="1:16357" ht="15" customHeight="1">
      <c r="A15" s="21"/>
      <c r="B15" s="22" t="s">
        <v>163</v>
      </c>
      <c r="C15" s="23">
        <f>+'Lokalna država-ek klas '!C11</f>
        <v>7243284.6973236296</v>
      </c>
      <c r="D15" s="41">
        <f t="shared" si="1"/>
        <v>0.13650091770924977</v>
      </c>
      <c r="E15" s="23">
        <f>+'Lokalna država-ek klas '!E11</f>
        <v>5512750</v>
      </c>
      <c r="F15" s="41">
        <f t="shared" si="0"/>
        <v>0.1038887004372079</v>
      </c>
      <c r="G15" s="23">
        <f t="shared" si="2"/>
        <v>1730534.6973236296</v>
      </c>
      <c r="H15" s="41">
        <f t="shared" si="3"/>
        <v>31.391496028726664</v>
      </c>
      <c r="I15" s="23">
        <f>+'Lokalna država-ek klas '!I11</f>
        <v>4245824.32</v>
      </c>
      <c r="J15" s="41">
        <f t="shared" si="4"/>
        <v>8.5685669518130364E-2</v>
      </c>
      <c r="K15" s="23">
        <f t="shared" si="5"/>
        <v>2997460.3773236293</v>
      </c>
      <c r="L15" s="41">
        <f t="shared" si="6"/>
        <v>70.597842760569733</v>
      </c>
      <c r="M15" s="74" t="s">
        <v>164</v>
      </c>
    </row>
    <row r="16" spans="1:16357" ht="15" customHeight="1">
      <c r="A16" s="21">
        <v>7118</v>
      </c>
      <c r="B16" s="22" t="s">
        <v>62</v>
      </c>
      <c r="C16" s="23">
        <f>+'Centralna država-ek klas'!C14</f>
        <v>2643212.58</v>
      </c>
      <c r="D16" s="41">
        <f t="shared" si="1"/>
        <v>4.9811785391225695E-2</v>
      </c>
      <c r="E16" s="23">
        <f>+'Centralna država-ek klas'!E14</f>
        <v>2518376.8958133515</v>
      </c>
      <c r="F16" s="41">
        <f t="shared" si="0"/>
        <v>4.7459235937987176E-2</v>
      </c>
      <c r="G16" s="23">
        <f t="shared" si="2"/>
        <v>124835.68418664858</v>
      </c>
      <c r="H16" s="41">
        <f t="shared" si="3"/>
        <v>4.9569897339107598</v>
      </c>
      <c r="I16" s="23">
        <f>+'Centralna država-ek klas'!I14</f>
        <v>2388704.1</v>
      </c>
      <c r="J16" s="41">
        <f t="shared" si="4"/>
        <v>4.820682502690149E-2</v>
      </c>
      <c r="K16" s="23">
        <f t="shared" si="5"/>
        <v>254508.47999999998</v>
      </c>
      <c r="L16" s="41">
        <f t="shared" si="6"/>
        <v>10.654667524537672</v>
      </c>
      <c r="M16" s="74" t="s">
        <v>89</v>
      </c>
    </row>
    <row r="17" spans="1:16357" ht="15" customHeight="1">
      <c r="A17" s="18">
        <v>712</v>
      </c>
      <c r="B17" s="19" t="s">
        <v>8</v>
      </c>
      <c r="C17" s="20">
        <f>+SUM(C18:C21)</f>
        <v>83772855.75</v>
      </c>
      <c r="D17" s="40">
        <f t="shared" si="1"/>
        <v>1.5787135487336048</v>
      </c>
      <c r="E17" s="20">
        <f>+SUM(E18:E21)</f>
        <v>85522929.671695396</v>
      </c>
      <c r="F17" s="40">
        <f t="shared" si="0"/>
        <v>1.6116939859734547</v>
      </c>
      <c r="G17" s="20">
        <f t="shared" si="2"/>
        <v>-1750073.9216953963</v>
      </c>
      <c r="H17" s="40">
        <f t="shared" si="3"/>
        <v>-2.0463212946674787</v>
      </c>
      <c r="I17" s="20">
        <f>+SUM(I18:I21)</f>
        <v>100648998.08000001</v>
      </c>
      <c r="J17" s="40">
        <f t="shared" si="4"/>
        <v>2.0312137612923697</v>
      </c>
      <c r="K17" s="20">
        <f t="shared" si="5"/>
        <v>-16876142.330000013</v>
      </c>
      <c r="L17" s="40">
        <f t="shared" si="6"/>
        <v>-16.767322727431576</v>
      </c>
      <c r="M17" s="73" t="s">
        <v>90</v>
      </c>
    </row>
    <row r="18" spans="1:16357" ht="15" customHeight="1">
      <c r="A18" s="21">
        <v>7121</v>
      </c>
      <c r="B18" s="22" t="s">
        <v>9</v>
      </c>
      <c r="C18" s="23">
        <f>+'Centralna država-ek klas'!C16</f>
        <v>63808537.519999996</v>
      </c>
      <c r="D18" s="41">
        <f t="shared" si="1"/>
        <v>1.202482615709332</v>
      </c>
      <c r="E18" s="23">
        <f>+'Centralna država-ek klas'!E16</f>
        <v>72020920.046768844</v>
      </c>
      <c r="F18" s="41">
        <f t="shared" si="0"/>
        <v>1.3572463449187555</v>
      </c>
      <c r="G18" s="23">
        <f t="shared" si="2"/>
        <v>-8212382.5267688483</v>
      </c>
      <c r="H18" s="41">
        <f t="shared" si="3"/>
        <v>-11.402773696081496</v>
      </c>
      <c r="I18" s="23">
        <f>+'Centralna država-ek klas'!I16</f>
        <v>62607649.640000001</v>
      </c>
      <c r="J18" s="41">
        <f t="shared" si="4"/>
        <v>1.2634951359362727</v>
      </c>
      <c r="K18" s="23">
        <f t="shared" si="5"/>
        <v>1200887.8799999952</v>
      </c>
      <c r="L18" s="41">
        <f t="shared" si="6"/>
        <v>1.9181168545780167</v>
      </c>
      <c r="M18" s="74" t="s">
        <v>91</v>
      </c>
    </row>
    <row r="19" spans="1:16357" ht="15" customHeight="1">
      <c r="A19" s="21">
        <v>7122</v>
      </c>
      <c r="B19" s="22" t="s">
        <v>10</v>
      </c>
      <c r="C19" s="23">
        <f>+'Centralna država-ek klas'!C17</f>
        <v>15016477.529999999</v>
      </c>
      <c r="D19" s="41">
        <f t="shared" si="1"/>
        <v>0.28298804330619631</v>
      </c>
      <c r="E19" s="23">
        <f>+'Centralna država-ek klas'!E17</f>
        <v>6991701.9601362981</v>
      </c>
      <c r="F19" s="41">
        <f t="shared" si="0"/>
        <v>0.13175979873617327</v>
      </c>
      <c r="G19" s="23">
        <f t="shared" si="2"/>
        <v>8024775.5698637012</v>
      </c>
      <c r="H19" s="41">
        <f t="shared" si="3"/>
        <v>114.77571005768766</v>
      </c>
      <c r="I19" s="23">
        <f>+'Centralna država-ek klas'!I17</f>
        <v>32563618.57</v>
      </c>
      <c r="J19" s="41">
        <f t="shared" si="4"/>
        <v>0.65717167004768406</v>
      </c>
      <c r="K19" s="23">
        <f t="shared" si="5"/>
        <v>-17547141.039999999</v>
      </c>
      <c r="L19" s="41">
        <f t="shared" si="6"/>
        <v>-53.885722197242899</v>
      </c>
      <c r="M19" s="74" t="s">
        <v>92</v>
      </c>
    </row>
    <row r="20" spans="1:16357" ht="15" customHeight="1">
      <c r="A20" s="21">
        <v>7123</v>
      </c>
      <c r="B20" s="22" t="s">
        <v>11</v>
      </c>
      <c r="C20" s="23">
        <f>+'Centralna država-ek klas'!C18</f>
        <v>2901152.4699999997</v>
      </c>
      <c r="D20" s="41">
        <f t="shared" si="1"/>
        <v>5.4672705977687315E-2</v>
      </c>
      <c r="E20" s="23">
        <f>+'Centralna država-ek klas'!E18</f>
        <v>3588247.4051694265</v>
      </c>
      <c r="F20" s="41">
        <f t="shared" si="0"/>
        <v>6.762112553085757E-2</v>
      </c>
      <c r="G20" s="23">
        <f t="shared" si="2"/>
        <v>-687094.93516942672</v>
      </c>
      <c r="H20" s="41">
        <f t="shared" si="3"/>
        <v>-19.148482743401701</v>
      </c>
      <c r="I20" s="23">
        <f>+'Centralna država-ek klas'!I18</f>
        <v>3031537.26</v>
      </c>
      <c r="J20" s="41">
        <f t="shared" si="4"/>
        <v>6.1179945333267677E-2</v>
      </c>
      <c r="K20" s="23">
        <f t="shared" si="5"/>
        <v>-130384.79000000004</v>
      </c>
      <c r="L20" s="41">
        <f t="shared" si="6"/>
        <v>-4.3009463126308418</v>
      </c>
      <c r="M20" s="74" t="s">
        <v>93</v>
      </c>
    </row>
    <row r="21" spans="1:16357" ht="15" customHeight="1">
      <c r="A21" s="21">
        <v>7124</v>
      </c>
      <c r="B21" s="22" t="s">
        <v>12</v>
      </c>
      <c r="C21" s="23">
        <f>+'Centralna država-ek klas'!C19</f>
        <v>2046688.23</v>
      </c>
      <c r="D21" s="41">
        <f t="shared" si="1"/>
        <v>3.8570183740388959E-2</v>
      </c>
      <c r="E21" s="23">
        <f>+'Centralna država-ek klas'!E19</f>
        <v>2922060.2596208276</v>
      </c>
      <c r="F21" s="41">
        <f t="shared" si="0"/>
        <v>5.5066716787668238E-2</v>
      </c>
      <c r="G21" s="23">
        <f t="shared" si="2"/>
        <v>-875372.02962082764</v>
      </c>
      <c r="H21" s="41">
        <f t="shared" si="3"/>
        <v>-29.957357201607394</v>
      </c>
      <c r="I21" s="23">
        <f>+'Centralna država-ek klas'!I19</f>
        <v>2446192.6100000003</v>
      </c>
      <c r="J21" s="41">
        <f t="shared" si="4"/>
        <v>4.9367009975144885E-2</v>
      </c>
      <c r="K21" s="23">
        <f t="shared" si="5"/>
        <v>-399504.38000000035</v>
      </c>
      <c r="L21" s="41">
        <f t="shared" si="6"/>
        <v>-16.331681257102659</v>
      </c>
      <c r="M21" s="74" t="s">
        <v>94</v>
      </c>
    </row>
    <row r="22" spans="1:16357" ht="15" customHeight="1">
      <c r="A22" s="18">
        <v>713</v>
      </c>
      <c r="B22" s="19" t="s">
        <v>13</v>
      </c>
      <c r="C22" s="20">
        <f>+'Centralna država-ek klas'!C20+'Lokalna država-ek klas '!C12</f>
        <v>3387227.14</v>
      </c>
      <c r="D22" s="40">
        <f t="shared" si="1"/>
        <v>6.3832864842454401E-2</v>
      </c>
      <c r="E22" s="20">
        <f>+'Centralna država-ek klas'!E20+'Lokalna država-ek klas '!E12</f>
        <v>4078674.4637146299</v>
      </c>
      <c r="F22" s="40">
        <f t="shared" si="0"/>
        <v>7.6863305889390734E-2</v>
      </c>
      <c r="G22" s="20">
        <f t="shared" si="2"/>
        <v>-691447.32371462975</v>
      </c>
      <c r="H22" s="40">
        <f t="shared" si="3"/>
        <v>-16.952746042029005</v>
      </c>
      <c r="I22" s="20">
        <f>+'Centralna država-ek klas'!I20+'Lokalna država-ek klas '!I12</f>
        <v>2827613.66</v>
      </c>
      <c r="J22" s="40">
        <f t="shared" si="4"/>
        <v>5.7064530073564379E-2</v>
      </c>
      <c r="K22" s="20">
        <f t="shared" si="5"/>
        <v>559613.48</v>
      </c>
      <c r="L22" s="40">
        <f t="shared" si="6"/>
        <v>19.791016287564545</v>
      </c>
      <c r="M22" s="73" t="s">
        <v>95</v>
      </c>
    </row>
    <row r="23" spans="1:16357" ht="15" customHeight="1">
      <c r="A23" s="18">
        <v>714</v>
      </c>
      <c r="B23" s="19" t="s">
        <v>19</v>
      </c>
      <c r="C23" s="20">
        <f>+'Centralna država-ek klas'!C25+'Lokalna država-ek klas '!C19</f>
        <v>27698230.189999998</v>
      </c>
      <c r="D23" s="40">
        <f t="shared" si="1"/>
        <v>0.52197780397256144</v>
      </c>
      <c r="E23" s="20">
        <f>+'Centralna država-ek klas'!E25+'Lokalna država-ek klas '!E19</f>
        <v>30768378.172429211</v>
      </c>
      <c r="F23" s="40">
        <f t="shared" si="0"/>
        <v>0.57983525878993691</v>
      </c>
      <c r="G23" s="20">
        <f t="shared" si="2"/>
        <v>-3070147.9824292138</v>
      </c>
      <c r="H23" s="40">
        <f t="shared" si="3"/>
        <v>-9.9782574343820869</v>
      </c>
      <c r="I23" s="20">
        <f>+'Centralna država-ek klas'!I25+'Lokalna država-ek klas '!I19</f>
        <v>18105352.580000002</v>
      </c>
      <c r="J23" s="40">
        <f t="shared" si="4"/>
        <v>0.365387058143543</v>
      </c>
      <c r="K23" s="20">
        <f t="shared" si="5"/>
        <v>9592877.6099999957</v>
      </c>
      <c r="L23" s="40">
        <f t="shared" si="6"/>
        <v>52.983655345086873</v>
      </c>
      <c r="M23" s="73" t="s">
        <v>100</v>
      </c>
    </row>
    <row r="24" spans="1:16357" ht="15" customHeight="1">
      <c r="A24" s="18">
        <v>715</v>
      </c>
      <c r="B24" s="19" t="s">
        <v>26</v>
      </c>
      <c r="C24" s="20">
        <f>+'Centralna država-ek klas'!C32+'Lokalna država-ek klas '!C30</f>
        <v>6490417.629999999</v>
      </c>
      <c r="D24" s="40">
        <f t="shared" si="1"/>
        <v>0.12231301126941052</v>
      </c>
      <c r="E24" s="20">
        <f>+'Centralna država-ek klas'!E32+'Lokalna država-ek klas '!E30</f>
        <v>9309807.358314313</v>
      </c>
      <c r="F24" s="40">
        <f t="shared" si="0"/>
        <v>0.17544488463580418</v>
      </c>
      <c r="G24" s="20">
        <f t="shared" si="2"/>
        <v>-2819389.728314314</v>
      </c>
      <c r="H24" s="40">
        <f t="shared" si="3"/>
        <v>-30.284082363921314</v>
      </c>
      <c r="I24" s="20">
        <f>+'Centralna država-ek klas'!I32+'Lokalna država-ek klas '!I30</f>
        <v>7221690.0700000003</v>
      </c>
      <c r="J24" s="40">
        <f t="shared" si="4"/>
        <v>0.14574209907497623</v>
      </c>
      <c r="K24" s="20">
        <f t="shared" si="5"/>
        <v>-731272.44000000134</v>
      </c>
      <c r="L24" s="40">
        <f t="shared" si="6"/>
        <v>-10.1260568220425</v>
      </c>
      <c r="M24" s="73" t="s">
        <v>107</v>
      </c>
    </row>
    <row r="25" spans="1:16357" ht="15" customHeight="1">
      <c r="A25" s="18">
        <v>73</v>
      </c>
      <c r="B25" s="19" t="s">
        <v>61</v>
      </c>
      <c r="C25" s="20">
        <f>+'Centralna država-ek klas'!C37+'Lokalna država-ek klas '!C35</f>
        <v>3961471.71</v>
      </c>
      <c r="D25" s="40">
        <f t="shared" si="1"/>
        <v>7.465460029398463E-2</v>
      </c>
      <c r="E25" s="20">
        <f>+'Centralna država-ek klas'!E37+'Lokalna država-ek klas '!E35</f>
        <v>913435.93402877718</v>
      </c>
      <c r="F25" s="40">
        <f t="shared" si="0"/>
        <v>1.7213853724347528E-2</v>
      </c>
      <c r="G25" s="20">
        <f t="shared" si="2"/>
        <v>3048035.7759712227</v>
      </c>
      <c r="H25" s="40">
        <f t="shared" si="3"/>
        <v>333.68905934405643</v>
      </c>
      <c r="I25" s="20">
        <f>+'Centralna država-ek klas'!I37+'Lokalna država-ek klas '!I35</f>
        <v>1637072.21</v>
      </c>
      <c r="J25" s="40">
        <f t="shared" si="4"/>
        <v>3.3038019897011495E-2</v>
      </c>
      <c r="K25" s="20">
        <f t="shared" si="5"/>
        <v>2324399.5</v>
      </c>
      <c r="L25" s="40">
        <f t="shared" si="6"/>
        <v>141.9851540940885</v>
      </c>
      <c r="M25" s="73" t="s">
        <v>111</v>
      </c>
    </row>
    <row r="26" spans="1:16357" ht="15" customHeight="1">
      <c r="A26" s="18">
        <v>74</v>
      </c>
      <c r="B26" s="19" t="s">
        <v>50</v>
      </c>
      <c r="C26" s="20">
        <f>+'Centralna država-ek klas'!C38+'Lokalna država-ek klas '!C36</f>
        <v>8407372.3100000005</v>
      </c>
      <c r="D26" s="40">
        <f t="shared" si="1"/>
        <v>0.15843834445198252</v>
      </c>
      <c r="E26" s="20">
        <f>+'Centralna država-ek klas'!E38+'Lokalna država-ek klas '!E36</f>
        <v>9605948.6035138108</v>
      </c>
      <c r="F26" s="40">
        <f t="shared" si="0"/>
        <v>0.1810257161826061</v>
      </c>
      <c r="G26" s="20">
        <f t="shared" si="2"/>
        <v>-1198576.2935138103</v>
      </c>
      <c r="H26" s="40">
        <f t="shared" si="3"/>
        <v>-12.477438126989114</v>
      </c>
      <c r="I26" s="20">
        <f>+'Centralna država-ek klas'!I38+'Lokalna država-ek klas '!I36</f>
        <v>3836675.49</v>
      </c>
      <c r="J26" s="40">
        <f t="shared" si="4"/>
        <v>7.7428570592494708E-2</v>
      </c>
      <c r="K26" s="20">
        <f t="shared" si="5"/>
        <v>4570696.82</v>
      </c>
      <c r="L26" s="40">
        <f t="shared" si="6"/>
        <v>119.13170222274911</v>
      </c>
      <c r="M26" s="73" t="s">
        <v>112</v>
      </c>
    </row>
    <row r="27" spans="1:16357" s="38" customFormat="1" ht="15" customHeight="1">
      <c r="A27" s="35"/>
      <c r="B27" s="36" t="s">
        <v>75</v>
      </c>
      <c r="C27" s="37">
        <f>+C28+C38+C39+C40+C41+C42+C43+C44</f>
        <v>499038509.7299999</v>
      </c>
      <c r="D27" s="44">
        <f t="shared" si="1"/>
        <v>9.4044646036861135</v>
      </c>
      <c r="E27" s="37">
        <f>+E28+E38+E39+E40+E41+E42+E43+E44</f>
        <v>589085739.05382156</v>
      </c>
      <c r="F27" s="44">
        <f t="shared" si="0"/>
        <v>11.10141977713368</v>
      </c>
      <c r="G27" s="37">
        <f>+C27-E27</f>
        <v>-90047229.323821664</v>
      </c>
      <c r="H27" s="44">
        <f t="shared" si="3"/>
        <v>-15.285929255129119</v>
      </c>
      <c r="I27" s="37">
        <f>+I28+I38+I39+I40+I41+I42+I43+I44</f>
        <v>499449783.38999993</v>
      </c>
      <c r="J27" s="44">
        <f t="shared" si="4"/>
        <v>10.079477117992797</v>
      </c>
      <c r="K27" s="37">
        <f t="shared" si="5"/>
        <v>-411273.66000002623</v>
      </c>
      <c r="L27" s="44">
        <f t="shared" si="6"/>
        <v>-8.2345347555971671E-2</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72</v>
      </c>
      <c r="C28" s="20">
        <f>+SUM(C29:C37)</f>
        <v>189321075.77999994</v>
      </c>
      <c r="D28" s="40">
        <f t="shared" si="1"/>
        <v>3.5677874977385788</v>
      </c>
      <c r="E28" s="20">
        <f>+SUM(E29:E37)</f>
        <v>217185919.54417878</v>
      </c>
      <c r="F28" s="40">
        <f t="shared" si="0"/>
        <v>4.0929051625240991</v>
      </c>
      <c r="G28" s="20">
        <f t="shared" si="2"/>
        <v>-27864843.764178842</v>
      </c>
      <c r="H28" s="40">
        <f t="shared" si="3"/>
        <v>-12.829949484138041</v>
      </c>
      <c r="I28" s="20">
        <f>+SUM(I29:I37)</f>
        <v>203705056.43000001</v>
      </c>
      <c r="J28" s="40">
        <f t="shared" si="4"/>
        <v>4.1110047964568341</v>
      </c>
      <c r="K28" s="20">
        <f t="shared" si="5"/>
        <v>-14383980.650000066</v>
      </c>
      <c r="L28" s="40">
        <f t="shared" si="6"/>
        <v>-7.0611799736757632</v>
      </c>
      <c r="M28" s="73" t="s">
        <v>114</v>
      </c>
    </row>
    <row r="29" spans="1:16357" ht="15" customHeight="1">
      <c r="A29" s="21">
        <v>411</v>
      </c>
      <c r="B29" s="22" t="s">
        <v>30</v>
      </c>
      <c r="C29" s="23">
        <f>+'Centralna država-ek klas'!C41+'Lokalna država-ek klas '!C39</f>
        <v>139291671.81</v>
      </c>
      <c r="D29" s="41">
        <f t="shared" si="1"/>
        <v>2.6249749700361829</v>
      </c>
      <c r="E29" s="23">
        <f>+'Centralna država-ek klas'!E41+'Lokalna država-ek klas '!E39</f>
        <v>148418933.27617884</v>
      </c>
      <c r="F29" s="41">
        <f t="shared" si="0"/>
        <v>2.7969797466489301</v>
      </c>
      <c r="G29" s="23">
        <f t="shared" si="2"/>
        <v>-9127261.4661788344</v>
      </c>
      <c r="H29" s="41">
        <f t="shared" si="3"/>
        <v>-6.1496611414089415</v>
      </c>
      <c r="I29" s="23">
        <f>+'Centralna država-ek klas'!I41+'Lokalna država-ek klas '!I39</f>
        <v>142934702.21000001</v>
      </c>
      <c r="J29" s="41">
        <f t="shared" si="4"/>
        <v>2.8845884175062708</v>
      </c>
      <c r="K29" s="23">
        <f t="shared" si="5"/>
        <v>-3643030.400000006</v>
      </c>
      <c r="L29" s="41">
        <f t="shared" si="6"/>
        <v>-2.5487375309654681</v>
      </c>
      <c r="M29" s="74" t="s">
        <v>115</v>
      </c>
    </row>
    <row r="30" spans="1:16357" ht="15" customHeight="1">
      <c r="A30" s="21">
        <v>412</v>
      </c>
      <c r="B30" s="22" t="s">
        <v>31</v>
      </c>
      <c r="C30" s="23">
        <f>+'Centralna država-ek klas'!C42+'Lokalna država-ek klas '!C40</f>
        <v>3051086.7600000002</v>
      </c>
      <c r="D30" s="41">
        <f t="shared" si="1"/>
        <v>5.7498242876526467E-2</v>
      </c>
      <c r="E30" s="23">
        <f>+'Centralna država-ek klas'!E42+'Lokalna država-ek klas '!E40</f>
        <v>4610533.9499999993</v>
      </c>
      <c r="F30" s="41">
        <f t="shared" si="0"/>
        <v>8.6886287313432828E-2</v>
      </c>
      <c r="G30" s="23">
        <f t="shared" si="2"/>
        <v>-1559447.189999999</v>
      </c>
      <c r="H30" s="41">
        <f t="shared" si="3"/>
        <v>-33.823570261314302</v>
      </c>
      <c r="I30" s="23">
        <f>+'Centralna država-ek klas'!I42+'Lokalna država-ek klas '!I40</f>
        <v>2441312.25</v>
      </c>
      <c r="J30" s="41">
        <f t="shared" si="4"/>
        <v>4.9268518638110596E-2</v>
      </c>
      <c r="K30" s="23">
        <f t="shared" si="5"/>
        <v>609774.51000000024</v>
      </c>
      <c r="L30" s="41">
        <f t="shared" si="6"/>
        <v>24.977325616581837</v>
      </c>
      <c r="M30" s="74" t="s">
        <v>116</v>
      </c>
    </row>
    <row r="31" spans="1:16357" ht="15" customHeight="1">
      <c r="A31" s="21">
        <v>413</v>
      </c>
      <c r="B31" s="22" t="s">
        <v>76</v>
      </c>
      <c r="C31" s="23">
        <f>+'Centralna država-ek klas'!C43+'Lokalna država-ek klas '!C41</f>
        <v>8232562.9199999999</v>
      </c>
      <c r="D31" s="41">
        <f t="shared" si="1"/>
        <v>0.15514403211216646</v>
      </c>
      <c r="E31" s="23">
        <f>+'Centralna država-ek klas'!E43+'Lokalna država-ek klas '!E41</f>
        <v>9333643.7899999991</v>
      </c>
      <c r="F31" s="41">
        <f t="shared" si="0"/>
        <v>0.17589408619779887</v>
      </c>
      <c r="G31" s="23">
        <f t="shared" si="2"/>
        <v>-1101080.8699999992</v>
      </c>
      <c r="H31" s="41">
        <f t="shared" si="3"/>
        <v>-11.796902632814096</v>
      </c>
      <c r="I31" s="23">
        <f>+'Centralna država-ek klas'!I43+'Lokalna država-ek klas '!I41</f>
        <v>6831866.0700000003</v>
      </c>
      <c r="J31" s="41">
        <f t="shared" si="4"/>
        <v>0.13787499767916633</v>
      </c>
      <c r="K31" s="23">
        <f t="shared" si="5"/>
        <v>1400696.8499999996</v>
      </c>
      <c r="L31" s="41">
        <f t="shared" si="6"/>
        <v>20.502404989329648</v>
      </c>
      <c r="M31" s="74" t="s">
        <v>117</v>
      </c>
    </row>
    <row r="32" spans="1:16357" ht="15" customHeight="1">
      <c r="A32" s="21">
        <v>414</v>
      </c>
      <c r="B32" s="22" t="s">
        <v>77</v>
      </c>
      <c r="C32" s="23">
        <f>+'Centralna država-ek klas'!C44+'Lokalna država-ek klas '!C42</f>
        <v>9590470.0100000016</v>
      </c>
      <c r="D32" s="41">
        <f t="shared" si="1"/>
        <v>0.18073401948590384</v>
      </c>
      <c r="E32" s="23">
        <f>+'Centralna država-ek klas'!E44+'Lokalna država-ek klas '!E42</f>
        <v>12546221.41</v>
      </c>
      <c r="F32" s="41">
        <f t="shared" si="0"/>
        <v>0.23643565147746121</v>
      </c>
      <c r="G32" s="23">
        <f t="shared" si="2"/>
        <v>-2955751.3999999985</v>
      </c>
      <c r="H32" s="41">
        <f t="shared" si="3"/>
        <v>-23.558897164401287</v>
      </c>
      <c r="I32" s="23">
        <f>+'Centralna država-ek klas'!I44+'Lokalna država-ek klas '!I42</f>
        <v>7873798.5899999999</v>
      </c>
      <c r="J32" s="41">
        <f t="shared" si="4"/>
        <v>0.15890240692649776</v>
      </c>
      <c r="K32" s="23">
        <f t="shared" si="5"/>
        <v>1716671.4200000018</v>
      </c>
      <c r="L32" s="41">
        <f t="shared" si="6"/>
        <v>21.802328321938973</v>
      </c>
      <c r="M32" s="74" t="s">
        <v>118</v>
      </c>
    </row>
    <row r="33" spans="1:16357" ht="15.75" customHeight="1">
      <c r="A33" s="21">
        <v>415</v>
      </c>
      <c r="B33" s="22" t="s">
        <v>32</v>
      </c>
      <c r="C33" s="23">
        <f>+'Centralna država-ek klas'!C45+'Lokalna država-ek klas '!C43</f>
        <v>4597798.88</v>
      </c>
      <c r="D33" s="41">
        <f t="shared" si="1"/>
        <v>8.6646292778531586E-2</v>
      </c>
      <c r="E33" s="23">
        <f>+'Centralna država-ek klas'!E45+'Lokalna država-ek klas '!E43</f>
        <v>6573922.5100000007</v>
      </c>
      <c r="F33" s="41">
        <f t="shared" si="0"/>
        <v>0.12388667477008897</v>
      </c>
      <c r="G33" s="23">
        <f t="shared" si="2"/>
        <v>-1976123.6300000008</v>
      </c>
      <c r="H33" s="41">
        <f t="shared" si="3"/>
        <v>-30.060038386427536</v>
      </c>
      <c r="I33" s="23">
        <f>+'Centralna država-ek klas'!I45+'Lokalna država-ek klas '!I43</f>
        <v>4763127.4700000007</v>
      </c>
      <c r="J33" s="41">
        <f t="shared" si="4"/>
        <v>9.6125448324519566E-2</v>
      </c>
      <c r="K33" s="23">
        <f t="shared" si="5"/>
        <v>-165328.59000000078</v>
      </c>
      <c r="L33" s="41">
        <f t="shared" si="6"/>
        <v>-3.4710091434945554</v>
      </c>
      <c r="M33" s="74" t="s">
        <v>119</v>
      </c>
    </row>
    <row r="34" spans="1:16357" ht="15" customHeight="1">
      <c r="A34" s="21">
        <v>416</v>
      </c>
      <c r="B34" s="22" t="s">
        <v>33</v>
      </c>
      <c r="C34" s="23">
        <f>+'Centralna država-ek klas'!C46+'Lokalna država-ek klas '!C44</f>
        <v>6441737.1699999999</v>
      </c>
      <c r="D34" s="41">
        <f t="shared" si="1"/>
        <v>0.12139561981757878</v>
      </c>
      <c r="E34" s="23">
        <f>+'Centralna država-ek klas'!E46+'Lokalna država-ek klas '!E44</f>
        <v>7233518.5100000016</v>
      </c>
      <c r="F34" s="41">
        <f t="shared" si="0"/>
        <v>0.13631687226745065</v>
      </c>
      <c r="G34" s="23">
        <f t="shared" si="2"/>
        <v>-791781.34000000171</v>
      </c>
      <c r="H34" s="41">
        <f t="shared" si="3"/>
        <v>-10.946005583664459</v>
      </c>
      <c r="I34" s="23">
        <f>+'Centralna država-ek klas'!I46+'Lokalna država-ek klas '!I44</f>
        <v>24890736.550000001</v>
      </c>
      <c r="J34" s="41">
        <f t="shared" si="4"/>
        <v>0.50232399302054687</v>
      </c>
      <c r="K34" s="23">
        <f t="shared" si="5"/>
        <v>-18448999.380000003</v>
      </c>
      <c r="L34" s="41">
        <f t="shared" si="6"/>
        <v>-74.119941541063</v>
      </c>
      <c r="M34" s="74" t="s">
        <v>120</v>
      </c>
    </row>
    <row r="35" spans="1:16357" ht="15" customHeight="1">
      <c r="A35" s="21">
        <v>417</v>
      </c>
      <c r="B35" s="22" t="s">
        <v>34</v>
      </c>
      <c r="C35" s="23">
        <f>+'Centralna država-ek klas'!C47+'Lokalna država-ek klas '!C45</f>
        <v>1882537.1600000004</v>
      </c>
      <c r="D35" s="41">
        <f t="shared" si="1"/>
        <v>3.5476729232624758E-2</v>
      </c>
      <c r="E35" s="23">
        <f>+'Centralna država-ek klas'!E47+'Lokalna država-ek klas '!E45</f>
        <v>3216295.8799999994</v>
      </c>
      <c r="F35" s="41">
        <f t="shared" si="0"/>
        <v>6.0611636514397702E-2</v>
      </c>
      <c r="G35" s="23">
        <f t="shared" si="2"/>
        <v>-1333758.719999999</v>
      </c>
      <c r="H35" s="41">
        <f t="shared" si="3"/>
        <v>-41.468781783845067</v>
      </c>
      <c r="I35" s="23">
        <f>+'Centralna država-ek klas'!I47+'Lokalna država-ek klas '!I45</f>
        <v>1882803.8699999999</v>
      </c>
      <c r="J35" s="41">
        <f t="shared" si="4"/>
        <v>3.7997170399239895E-2</v>
      </c>
      <c r="K35" s="23">
        <f t="shared" si="5"/>
        <v>-266.70999999949709</v>
      </c>
      <c r="L35" s="41">
        <f t="shared" si="6"/>
        <v>-1.4165575302300226E-2</v>
      </c>
      <c r="M35" s="74" t="s">
        <v>121</v>
      </c>
    </row>
    <row r="36" spans="1:16357" ht="15" customHeight="1">
      <c r="A36" s="21">
        <v>418</v>
      </c>
      <c r="B36" s="22" t="s">
        <v>35</v>
      </c>
      <c r="C36" s="23">
        <f>+'Centralna država-ek klas'!C48+'Lokalna država-ek klas '!C46</f>
        <v>8141080.9000000004</v>
      </c>
      <c r="D36" s="41">
        <f t="shared" si="1"/>
        <v>0.15342003806723956</v>
      </c>
      <c r="E36" s="23">
        <f>+'Centralna država-ek klas'!E48+'Lokalna država-ek klas '!E46</f>
        <v>12410613.99</v>
      </c>
      <c r="F36" s="41">
        <f t="shared" si="0"/>
        <v>0.23388010685210314</v>
      </c>
      <c r="G36" s="23">
        <f t="shared" si="2"/>
        <v>-4269533.09</v>
      </c>
      <c r="H36" s="41">
        <f t="shared" si="3"/>
        <v>-34.402271261036944</v>
      </c>
      <c r="I36" s="23">
        <f>+'Centralna država-ek klas'!I48+'Lokalna država-ek klas '!I46</f>
        <v>4422287.8599999994</v>
      </c>
      <c r="J36" s="41">
        <f t="shared" si="4"/>
        <v>8.9246908851377038E-2</v>
      </c>
      <c r="K36" s="23">
        <f t="shared" si="5"/>
        <v>3718793.040000001</v>
      </c>
      <c r="L36" s="41">
        <f t="shared" si="6"/>
        <v>84.092061795362213</v>
      </c>
      <c r="M36" s="74" t="s">
        <v>122</v>
      </c>
    </row>
    <row r="37" spans="1:16357" ht="15" customHeight="1">
      <c r="A37" s="21">
        <v>419</v>
      </c>
      <c r="B37" s="22" t="s">
        <v>36</v>
      </c>
      <c r="C37" s="23">
        <f>+'Centralna država-ek klas'!C49+'Lokalna država-ek klas '!C47</f>
        <v>8092130.1699999999</v>
      </c>
      <c r="D37" s="41">
        <f t="shared" si="1"/>
        <v>0.15249755333182571</v>
      </c>
      <c r="E37" s="23">
        <f>+'Centralna država-ek klas'!E49+'Lokalna država-ek klas '!E47</f>
        <v>12842236.228</v>
      </c>
      <c r="F37" s="41">
        <f t="shared" si="0"/>
        <v>0.2420141004824363</v>
      </c>
      <c r="G37" s="23">
        <f t="shared" si="2"/>
        <v>-4750106.0580000002</v>
      </c>
      <c r="H37" s="41">
        <f t="shared" si="3"/>
        <v>-36.988153571286261</v>
      </c>
      <c r="I37" s="23">
        <f>+'Centralna država-ek klas'!I49+'Lokalna država-ek klas '!I47</f>
        <v>7664421.5600000005</v>
      </c>
      <c r="J37" s="41">
        <f t="shared" si="4"/>
        <v>0.15467693511110539</v>
      </c>
      <c r="K37" s="23">
        <f t="shared" si="5"/>
        <v>427708.6099999994</v>
      </c>
      <c r="L37" s="41">
        <f t="shared" si="6"/>
        <v>5.5804421331960157</v>
      </c>
      <c r="M37" s="74" t="s">
        <v>123</v>
      </c>
    </row>
    <row r="38" spans="1:16357" ht="15" customHeight="1">
      <c r="A38" s="18">
        <v>42</v>
      </c>
      <c r="B38" s="19" t="s">
        <v>37</v>
      </c>
      <c r="C38" s="20">
        <f>+'Centralna država-ek klas'!C50+'Lokalna država-ek klas '!C48</f>
        <v>142873500.80999997</v>
      </c>
      <c r="D38" s="40">
        <f t="shared" si="1"/>
        <v>2.6924751396426951</v>
      </c>
      <c r="E38" s="20">
        <f>+'Centralna država-ek klas'!E50+'Lokalna država-ek klas '!E48</f>
        <v>155152729.93964288</v>
      </c>
      <c r="F38" s="40">
        <f t="shared" si="0"/>
        <v>2.9238792767157182</v>
      </c>
      <c r="G38" s="20">
        <f t="shared" si="2"/>
        <v>-12279229.129642904</v>
      </c>
      <c r="H38" s="40">
        <f t="shared" si="3"/>
        <v>-7.9142849335746348</v>
      </c>
      <c r="I38" s="20">
        <f>+'Centralna država-ek klas'!I50+'Lokalna država-ek klas '!I48</f>
        <v>137284222.34999999</v>
      </c>
      <c r="J38" s="40">
        <f t="shared" si="4"/>
        <v>2.7705551666197117</v>
      </c>
      <c r="K38" s="20">
        <f t="shared" si="5"/>
        <v>5589278.4599999785</v>
      </c>
      <c r="L38" s="40">
        <f t="shared" si="6"/>
        <v>4.0713188772343756</v>
      </c>
      <c r="M38" s="73" t="s">
        <v>124</v>
      </c>
    </row>
    <row r="39" spans="1:16357" ht="15" customHeight="1">
      <c r="A39" s="18">
        <v>43</v>
      </c>
      <c r="B39" s="19" t="s">
        <v>43</v>
      </c>
      <c r="C39" s="20">
        <f>+'Centralna država-ek klas'!C56+'Lokalna država-ek klas '!C49</f>
        <v>76116444.189999998</v>
      </c>
      <c r="D39" s="40">
        <f t="shared" si="1"/>
        <v>1.4344271858510478</v>
      </c>
      <c r="E39" s="20">
        <f>+'Centralna država-ek klas'!E56+'Lokalna država-ek klas '!E49</f>
        <v>90771615.320000008</v>
      </c>
      <c r="F39" s="40">
        <f t="shared" si="0"/>
        <v>1.710606349314036</v>
      </c>
      <c r="G39" s="20">
        <f t="shared" si="2"/>
        <v>-14655171.13000001</v>
      </c>
      <c r="H39" s="40">
        <f t="shared" si="3"/>
        <v>-16.145103376573928</v>
      </c>
      <c r="I39" s="20">
        <f>+'Centralna država-ek klas'!I56+'Lokalna država-ek klas '!I49</f>
        <v>67054369.879999995</v>
      </c>
      <c r="J39" s="40">
        <f t="shared" si="4"/>
        <v>1.3532351186127629</v>
      </c>
      <c r="K39" s="20">
        <f t="shared" si="5"/>
        <v>9062074.3100000024</v>
      </c>
      <c r="L39" s="40">
        <f t="shared" si="6"/>
        <v>13.5145171391774</v>
      </c>
      <c r="M39" s="73" t="s">
        <v>130</v>
      </c>
    </row>
    <row r="40" spans="1:16357" ht="15" customHeight="1">
      <c r="A40" s="18">
        <v>44</v>
      </c>
      <c r="B40" s="19" t="s">
        <v>67</v>
      </c>
      <c r="C40" s="20">
        <f>+'Centralna država-ek klas'!C57+'Lokalna država-ek klas '!C50</f>
        <v>49896494.800000004</v>
      </c>
      <c r="D40" s="40">
        <f t="shared" si="1"/>
        <v>0.94030783205186186</v>
      </c>
      <c r="E40" s="20">
        <f>+'Centralna država-ek klas'!E57+'Lokalna država-ek klas '!E50</f>
        <v>87490342.165000007</v>
      </c>
      <c r="F40" s="40">
        <f t="shared" si="0"/>
        <v>1.6487702051296551</v>
      </c>
      <c r="G40" s="20">
        <f t="shared" si="2"/>
        <v>-37593847.365000002</v>
      </c>
      <c r="H40" s="40">
        <f t="shared" si="3"/>
        <v>-42.969139718417061</v>
      </c>
      <c r="I40" s="20">
        <f>+'Centralna država-ek klas'!I57+'Lokalna država-ek klas '!I50</f>
        <v>33892262.630000003</v>
      </c>
      <c r="J40" s="40">
        <f t="shared" si="4"/>
        <v>0.6839852514048107</v>
      </c>
      <c r="K40" s="20">
        <f t="shared" si="5"/>
        <v>16004232.170000002</v>
      </c>
      <c r="L40" s="40">
        <f t="shared" si="6"/>
        <v>47.220902141345164</v>
      </c>
      <c r="M40" s="73" t="s">
        <v>131</v>
      </c>
    </row>
    <row r="41" spans="1:16357" ht="15" customHeight="1">
      <c r="A41" s="18">
        <v>45</v>
      </c>
      <c r="B41" s="19" t="s">
        <v>44</v>
      </c>
      <c r="C41" s="20">
        <f>+'Centralna država-ek klas'!C58+'Lokalna država-ek klas '!C51</f>
        <v>1319693.23</v>
      </c>
      <c r="D41" s="40">
        <f t="shared" si="1"/>
        <v>2.4869840758329563E-2</v>
      </c>
      <c r="E41" s="20">
        <f>+'Centralna država-ek klas'!E58+'Lokalna država-ek klas '!E51</f>
        <v>682666.89999999991</v>
      </c>
      <c r="F41" s="40">
        <f t="shared" si="0"/>
        <v>1.2864972486054574E-2</v>
      </c>
      <c r="G41" s="20">
        <f t="shared" si="2"/>
        <v>637026.33000000007</v>
      </c>
      <c r="H41" s="40">
        <f t="shared" si="3"/>
        <v>93.314371914033075</v>
      </c>
      <c r="I41" s="20">
        <f>+'Centralna država-ek klas'!I58+'Lokalna država-ek klas '!I51</f>
        <v>2010755.51</v>
      </c>
      <c r="J41" s="40">
        <f t="shared" si="4"/>
        <v>4.0579383207174163E-2</v>
      </c>
      <c r="K41" s="20">
        <f t="shared" si="5"/>
        <v>-691062.28</v>
      </c>
      <c r="L41" s="40">
        <f t="shared" si="6"/>
        <v>-34.368289757912933</v>
      </c>
      <c r="M41" s="73" t="s">
        <v>132</v>
      </c>
    </row>
    <row r="42" spans="1:16357" ht="15" customHeight="1">
      <c r="A42" s="18">
        <v>462</v>
      </c>
      <c r="B42" s="19" t="s">
        <v>45</v>
      </c>
      <c r="C42" s="20">
        <f>+'Centralna država-ek klas'!C59+'Lokalna država-ek klas '!C52</f>
        <v>0</v>
      </c>
      <c r="D42" s="40">
        <f t="shared" si="1"/>
        <v>0</v>
      </c>
      <c r="E42" s="20">
        <f>+'Centralna država-ek klas'!E59+'Lokalna država-ek klas '!E52</f>
        <v>0</v>
      </c>
      <c r="F42" s="40">
        <f t="shared" si="0"/>
        <v>0</v>
      </c>
      <c r="G42" s="20">
        <f t="shared" si="2"/>
        <v>0</v>
      </c>
      <c r="H42" s="40" t="e">
        <f t="shared" si="3"/>
        <v>#DIV/0!</v>
      </c>
      <c r="I42" s="20">
        <f>+'Centralna država-ek klas'!I59+'Lokalna država-ek klas '!I52</f>
        <v>3831496.4</v>
      </c>
      <c r="J42" s="40">
        <f t="shared" si="4"/>
        <v>7.7324050536859285E-2</v>
      </c>
      <c r="K42" s="20">
        <f t="shared" si="5"/>
        <v>-3831496.4</v>
      </c>
      <c r="L42" s="40">
        <f t="shared" si="6"/>
        <v>-100</v>
      </c>
      <c r="M42" s="73" t="s">
        <v>133</v>
      </c>
    </row>
    <row r="43" spans="1:16357" ht="15" customHeight="1">
      <c r="A43" s="18">
        <v>463</v>
      </c>
      <c r="B43" s="19" t="s">
        <v>46</v>
      </c>
      <c r="C43" s="20">
        <f>+'Centralna država-ek klas'!C60+'Lokalna država-ek klas '!C53</f>
        <v>36835209.409999996</v>
      </c>
      <c r="D43" s="40">
        <f t="shared" si="1"/>
        <v>0.69416571328961252</v>
      </c>
      <c r="E43" s="20">
        <f>+'Centralna država-ek klas'!E60+'Lokalna država-ek klas '!E53</f>
        <v>26818452.145000007</v>
      </c>
      <c r="F43" s="40">
        <f t="shared" si="0"/>
        <v>0.50539823882481549</v>
      </c>
      <c r="G43" s="20">
        <f t="shared" si="2"/>
        <v>10016757.264999989</v>
      </c>
      <c r="H43" s="40">
        <f t="shared" si="3"/>
        <v>37.350243820344787</v>
      </c>
      <c r="I43" s="20">
        <f>+'Centralna država-ek klas'!I60+'Lokalna država-ek klas '!I53</f>
        <v>18356107.640000001</v>
      </c>
      <c r="J43" s="40">
        <f t="shared" si="4"/>
        <v>0.37044758669625494</v>
      </c>
      <c r="K43" s="20">
        <f t="shared" si="5"/>
        <v>18479101.769999996</v>
      </c>
      <c r="L43" s="40">
        <f t="shared" si="6"/>
        <v>100.67004471978569</v>
      </c>
      <c r="M43" s="73" t="s">
        <v>134</v>
      </c>
    </row>
    <row r="44" spans="1:16357" ht="15" customHeight="1">
      <c r="A44" s="18">
        <v>47</v>
      </c>
      <c r="B44" s="19" t="s">
        <v>47</v>
      </c>
      <c r="C44" s="20">
        <f>+'Centralna država-ek klas'!C61+'Lokalna država-ek klas '!C54</f>
        <v>2676091.5099999998</v>
      </c>
      <c r="D44" s="40">
        <f t="shared" si="1"/>
        <v>5.0431394353987635E-2</v>
      </c>
      <c r="E44" s="20">
        <f>+'Centralna država-ek klas'!E61+'Lokalna država-ek klas '!E54</f>
        <v>10984013.040000001</v>
      </c>
      <c r="F44" s="40">
        <f t="shared" si="0"/>
        <v>0.20699557213930353</v>
      </c>
      <c r="G44" s="20">
        <f t="shared" si="2"/>
        <v>-8307921.5300000012</v>
      </c>
      <c r="H44" s="40">
        <f t="shared" si="3"/>
        <v>-75.636486407521602</v>
      </c>
      <c r="I44" s="20">
        <f>+'Centralna država-ek klas'!I61+'Lokalna država-ek klas '!I54</f>
        <v>33315512.549999997</v>
      </c>
      <c r="J44" s="40">
        <f t="shared" si="4"/>
        <v>0.67234576445839001</v>
      </c>
      <c r="K44" s="20">
        <f t="shared" si="5"/>
        <v>-30639421.039999999</v>
      </c>
      <c r="L44" s="40">
        <f t="shared" si="6"/>
        <v>-91.967431069884583</v>
      </c>
      <c r="M44" s="73" t="s">
        <v>135</v>
      </c>
    </row>
    <row r="45" spans="1:16357" s="38" customFormat="1" ht="15" customHeight="1">
      <c r="A45" s="35"/>
      <c r="B45" s="36" t="s">
        <v>80</v>
      </c>
      <c r="C45" s="37">
        <f>+C6-C27</f>
        <v>-35811832.530076325</v>
      </c>
      <c r="D45" s="44">
        <f t="shared" si="1"/>
        <v>-0.67488000395892367</v>
      </c>
      <c r="E45" s="37">
        <f>+E6-E27</f>
        <v>-161997410.58104861</v>
      </c>
      <c r="F45" s="44">
        <f t="shared" si="0"/>
        <v>-3.0528684339862924</v>
      </c>
      <c r="G45" s="37">
        <f>C45-E45</f>
        <v>126185578.05097228</v>
      </c>
      <c r="H45" s="44">
        <f t="shared" si="3"/>
        <v>-77.893577186433248</v>
      </c>
      <c r="I45" s="37">
        <f>+I6-I27</f>
        <v>-108778267.75999993</v>
      </c>
      <c r="J45" s="44">
        <f t="shared" si="4"/>
        <v>-2.195271871738218</v>
      </c>
      <c r="K45" s="37">
        <f t="shared" si="5"/>
        <v>72966435.229923606</v>
      </c>
      <c r="L45" s="44">
        <f t="shared" si="6"/>
        <v>-67.078136775363248</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57" s="38" customFormat="1" ht="15" hidden="1" customHeight="1">
      <c r="A47" s="35"/>
      <c r="B47" s="36" t="s">
        <v>60</v>
      </c>
      <c r="C47" s="37">
        <f>+C45-C46</f>
        <v>-35811832.530076325</v>
      </c>
      <c r="D47" s="44">
        <f t="shared" si="1"/>
        <v>-0.67488000395892367</v>
      </c>
      <c r="E47" s="37">
        <f>+E45-E46</f>
        <v>-161997410.58104861</v>
      </c>
      <c r="F47" s="44">
        <f t="shared" si="0"/>
        <v>-3.0528684339862924</v>
      </c>
      <c r="G47" s="37">
        <f t="shared" si="2"/>
        <v>126185578.05097228</v>
      </c>
      <c r="H47" s="44">
        <f t="shared" si="3"/>
        <v>-77.893577186433248</v>
      </c>
      <c r="I47" s="37">
        <f>+I45-I46</f>
        <v>-108778267.75999993</v>
      </c>
      <c r="J47" s="44">
        <f t="shared" si="4"/>
        <v>-2.195271871738218</v>
      </c>
      <c r="K47" s="37">
        <f t="shared" si="5"/>
        <v>72966435.229923606</v>
      </c>
      <c r="L47" s="44">
        <f t="shared" si="6"/>
        <v>-67.078136775363248</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78</v>
      </c>
      <c r="C48" s="37">
        <f>+C47+C34</f>
        <v>-29370095.360076323</v>
      </c>
      <c r="D48" s="44">
        <f t="shared" si="1"/>
        <v>-0.55348438414134482</v>
      </c>
      <c r="E48" s="37">
        <f>+E47+E34</f>
        <v>-154763892.07104862</v>
      </c>
      <c r="F48" s="44">
        <f t="shared" si="0"/>
        <v>-2.9165515617188418</v>
      </c>
      <c r="G48" s="37">
        <f t="shared" si="2"/>
        <v>125393796.71097229</v>
      </c>
      <c r="H48" s="44">
        <f t="shared" si="3"/>
        <v>-81.022643610828055</v>
      </c>
      <c r="I48" s="37">
        <f>+I47+I34</f>
        <v>-83887531.209999934</v>
      </c>
      <c r="J48" s="44">
        <f t="shared" si="4"/>
        <v>-1.6929478787176715</v>
      </c>
      <c r="K48" s="37">
        <f t="shared" si="5"/>
        <v>54517435.849923611</v>
      </c>
      <c r="L48" s="44">
        <f t="shared" si="6"/>
        <v>-64.988723667939794</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79</v>
      </c>
      <c r="C49" s="37">
        <f>+C6-(C27-C40)</f>
        <v>14084662.269923687</v>
      </c>
      <c r="D49" s="44">
        <f t="shared" si="1"/>
        <v>0.26542782809293847</v>
      </c>
      <c r="E49" s="37">
        <f>+E6-(E27-E40)</f>
        <v>-74507068.416048586</v>
      </c>
      <c r="F49" s="44">
        <f t="shared" si="0"/>
        <v>-1.404098228856637</v>
      </c>
      <c r="G49" s="37">
        <f t="shared" si="2"/>
        <v>88591730.685972273</v>
      </c>
      <c r="H49" s="44">
        <f t="shared" si="3"/>
        <v>-118.90379338410514</v>
      </c>
      <c r="I49" s="37">
        <f>+I6-(I27-I40)</f>
        <v>-74886005.129999936</v>
      </c>
      <c r="J49" s="44">
        <f t="shared" si="4"/>
        <v>-1.5112866203334077</v>
      </c>
      <c r="K49" s="37">
        <f t="shared" si="5"/>
        <v>88970667.399923623</v>
      </c>
      <c r="L49" s="44">
        <f t="shared" si="6"/>
        <v>-118.80813677465251</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56468726.690000005</v>
      </c>
      <c r="D50" s="44">
        <f t="shared" si="1"/>
        <v>1.0641626468038594</v>
      </c>
      <c r="E50" s="37">
        <f>+E51+E52+E53</f>
        <v>54510101.569999993</v>
      </c>
      <c r="F50" s="44">
        <f t="shared" si="0"/>
        <v>1.0272520271747323</v>
      </c>
      <c r="G50" s="37">
        <f t="shared" si="2"/>
        <v>1958625.1200000122</v>
      </c>
      <c r="H50" s="44">
        <f t="shared" si="3"/>
        <v>3.593141571172481</v>
      </c>
      <c r="I50" s="37">
        <f>+I51+I52+I53</f>
        <v>289331622.68000001</v>
      </c>
      <c r="J50" s="44">
        <f t="shared" si="4"/>
        <v>5.8390484234879674</v>
      </c>
      <c r="K50" s="37">
        <f t="shared" si="5"/>
        <v>-232862895.99000001</v>
      </c>
      <c r="L50" s="44">
        <f t="shared" si="6"/>
        <v>-80.48304358612944</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53</v>
      </c>
      <c r="C51" s="23">
        <f>+'Centralna država-ek klas'!C68+'Lokalna država-ek klas '!C61</f>
        <v>9338785.2800000012</v>
      </c>
      <c r="D51" s="41">
        <f t="shared" si="1"/>
        <v>0.17599097844112771</v>
      </c>
      <c r="E51" s="23">
        <f>+'Centralna država-ek klas'!E68+'Lokalna država-ek klas '!E61</f>
        <v>8497556.9100000001</v>
      </c>
      <c r="F51" s="41">
        <f t="shared" si="0"/>
        <v>0.16013788839891452</v>
      </c>
      <c r="G51" s="23">
        <f t="shared" si="2"/>
        <v>841228.37000000104</v>
      </c>
      <c r="H51" s="41">
        <f t="shared" si="3"/>
        <v>9.8996497335609064</v>
      </c>
      <c r="I51" s="23">
        <f>+'Centralna država-ek klas'!I68+'Lokalna država-ek klas '!I61</f>
        <v>39937758.050000004</v>
      </c>
      <c r="J51" s="41">
        <f t="shared" si="4"/>
        <v>0.80599037540190799</v>
      </c>
      <c r="K51" s="23">
        <f t="shared" si="5"/>
        <v>-30598972.770000003</v>
      </c>
      <c r="L51" s="41">
        <f t="shared" si="6"/>
        <v>-76.616651169281141</v>
      </c>
      <c r="M51" s="74" t="s">
        <v>142</v>
      </c>
    </row>
    <row r="52" spans="1:16357" ht="15" customHeight="1">
      <c r="A52" s="21">
        <v>4612</v>
      </c>
      <c r="B52" s="22" t="s">
        <v>54</v>
      </c>
      <c r="C52" s="23">
        <f>+'Centralna država-ek klas'!C69+'Lokalna država-ek klas '!C62</f>
        <v>47129941.410000004</v>
      </c>
      <c r="D52" s="41">
        <f t="shared" si="1"/>
        <v>0.88817166836273187</v>
      </c>
      <c r="E52" s="23">
        <f>+'Centralna država-ek klas'!E69+'Lokalna država-ek klas '!E62</f>
        <v>46012544.659999996</v>
      </c>
      <c r="F52" s="41">
        <f t="shared" si="0"/>
        <v>0.86711413877581778</v>
      </c>
      <c r="G52" s="23">
        <f t="shared" si="2"/>
        <v>1117396.7500000075</v>
      </c>
      <c r="H52" s="41">
        <f t="shared" si="3"/>
        <v>2.428461103937579</v>
      </c>
      <c r="I52" s="23">
        <f>+'Centralna država-ek klas'!I69+'Lokalna država-ek klas '!I62</f>
        <v>249393864.63</v>
      </c>
      <c r="J52" s="41">
        <f t="shared" si="4"/>
        <v>5.0330580480860583</v>
      </c>
      <c r="K52" s="23">
        <f t="shared" si="5"/>
        <v>-202263923.22</v>
      </c>
      <c r="L52" s="41">
        <f t="shared" si="6"/>
        <v>-81.102204948015924</v>
      </c>
      <c r="M52" s="74" t="s">
        <v>143</v>
      </c>
    </row>
    <row r="53" spans="1:1635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57" s="38" customFormat="1" ht="15" customHeight="1">
      <c r="A54" s="35">
        <v>4418</v>
      </c>
      <c r="B54" s="36" t="s">
        <v>65</v>
      </c>
      <c r="C54" s="37">
        <f>+'Centralna država-ek klas'!C70+'Lokalna država-ek klas '!C64</f>
        <v>0</v>
      </c>
      <c r="D54" s="44">
        <f t="shared" si="1"/>
        <v>0</v>
      </c>
      <c r="E54" s="37">
        <f>+'Centralna država-ek klas'!E70+'Lokalna država-ek klas '!E64</f>
        <v>141190.01</v>
      </c>
      <c r="F54" s="44">
        <f t="shared" ref="F54:F61" si="14">+E54/$E$2*100</f>
        <v>2.6607494723352933E-3</v>
      </c>
      <c r="G54" s="37">
        <f t="shared" si="2"/>
        <v>-141190.01</v>
      </c>
      <c r="H54" s="44">
        <f t="shared" si="3"/>
        <v>-100</v>
      </c>
      <c r="I54" s="37">
        <f>+'Centralna država-ek klas'!I70+'Lokalna država-ek klas '!I64</f>
        <v>0</v>
      </c>
      <c r="J54" s="44">
        <f t="shared" si="4"/>
        <v>0</v>
      </c>
      <c r="K54" s="37">
        <f t="shared" si="5"/>
        <v>0</v>
      </c>
      <c r="L54" s="44" t="e">
        <f t="shared" si="6"/>
        <v>#DIV/0!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c r="B55" s="36" t="s">
        <v>55</v>
      </c>
      <c r="C55" s="37">
        <f>+C47-C50-C54</f>
        <v>-92280559.220076323</v>
      </c>
      <c r="D55" s="44">
        <f t="shared" si="1"/>
        <v>-1.7390426507627832</v>
      </c>
      <c r="E55" s="37">
        <f>+E47-E50-E54</f>
        <v>-216648702.16104859</v>
      </c>
      <c r="F55" s="44">
        <f t="shared" si="14"/>
        <v>-4.0827812106333594</v>
      </c>
      <c r="G55" s="37">
        <f t="shared" ref="G55:G61" si="15">+C55-E55</f>
        <v>124368142.94097227</v>
      </c>
      <c r="H55" s="44">
        <f t="shared" ref="H55:H61" si="16">+C55/E55*100-100</f>
        <v>-57.405441020607462</v>
      </c>
      <c r="I55" s="37">
        <f>+I47-I50-I54</f>
        <v>-398109890.43999994</v>
      </c>
      <c r="J55" s="44">
        <f t="shared" si="4"/>
        <v>-8.0343202952261858</v>
      </c>
      <c r="K55" s="37">
        <f t="shared" ref="K55:K61" si="17">+C55-I55</f>
        <v>305829331.21992362</v>
      </c>
      <c r="L55" s="44">
        <f t="shared" ref="L55:L61" si="18">+C55/I55*100-100</f>
        <v>-76.820329904869794</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48</v>
      </c>
      <c r="C56" s="37">
        <f>+SUM(C57:C61)</f>
        <v>92280559.220076323</v>
      </c>
      <c r="D56" s="44">
        <f t="shared" ref="D56:D61" si="19">+C56/$C$2*100</f>
        <v>1.7390426507627832</v>
      </c>
      <c r="E56" s="37">
        <f>+SUM(E57:E61)</f>
        <v>216648702.16104859</v>
      </c>
      <c r="F56" s="44">
        <f t="shared" si="14"/>
        <v>4.0827812106333594</v>
      </c>
      <c r="G56" s="37">
        <f t="shared" si="15"/>
        <v>-124368142.94097227</v>
      </c>
      <c r="H56" s="44">
        <f t="shared" si="16"/>
        <v>-57.405441020607462</v>
      </c>
      <c r="I56" s="37">
        <f>+SUM(I57:I61)</f>
        <v>398109890.43999994</v>
      </c>
      <c r="J56" s="44">
        <f t="shared" ref="J56:J61" si="20">+I56/$I$2*100</f>
        <v>8.0343202952261858</v>
      </c>
      <c r="K56" s="37">
        <f t="shared" si="17"/>
        <v>-305829331.21992362</v>
      </c>
      <c r="L56" s="44">
        <f t="shared" si="18"/>
        <v>-76.820329904869794</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c r="A57" s="21">
        <v>7511</v>
      </c>
      <c r="B57" s="22" t="s">
        <v>56</v>
      </c>
      <c r="C57" s="23">
        <f>+'Centralna država-ek klas'!C73+'Lokalna država-ek klas '!C67</f>
        <v>2369632.2400000002</v>
      </c>
      <c r="D57" s="41">
        <f t="shared" si="19"/>
        <v>4.4656117895371633E-2</v>
      </c>
      <c r="E57" s="23">
        <f>+'Centralna država-ek klas'!E73+'Lokalna država-ek klas '!E67</f>
        <v>2107500</v>
      </c>
      <c r="F57" s="41">
        <f t="shared" si="14"/>
        <v>3.9716191768430574E-2</v>
      </c>
      <c r="G57" s="23">
        <f t="shared" si="15"/>
        <v>262132.24000000022</v>
      </c>
      <c r="H57" s="41">
        <f t="shared" si="16"/>
        <v>12.438065954922891</v>
      </c>
      <c r="I57" s="23">
        <f>+'Centralna država-ek klas'!I73+'Lokalna država-ek klas '!I67</f>
        <v>2809044.68</v>
      </c>
      <c r="J57" s="41">
        <f t="shared" si="20"/>
        <v>5.6689786475230854E-2</v>
      </c>
      <c r="K57" s="23">
        <f t="shared" si="17"/>
        <v>-439412.43999999994</v>
      </c>
      <c r="L57" s="41">
        <f t="shared" si="18"/>
        <v>-15.642771477739529</v>
      </c>
      <c r="M57" s="74" t="s">
        <v>147</v>
      </c>
    </row>
    <row r="58" spans="1:16357" ht="15" customHeight="1">
      <c r="A58" s="21">
        <v>7512</v>
      </c>
      <c r="B58" s="22" t="s">
        <v>49</v>
      </c>
      <c r="C58" s="23">
        <f>+'Centralna država-ek klas'!C74+'Lokalna država-ek klas '!C68</f>
        <v>24570687.240000002</v>
      </c>
      <c r="D58" s="41">
        <f t="shared" si="19"/>
        <v>0.4630387313432836</v>
      </c>
      <c r="E58" s="23">
        <f>+'Centralna država-ek klas'!E74+'Lokalna država-ek klas '!E68</f>
        <v>36857183.665999994</v>
      </c>
      <c r="F58" s="41">
        <f t="shared" si="14"/>
        <v>0.69457982183778066</v>
      </c>
      <c r="G58" s="23">
        <f t="shared" si="15"/>
        <v>-12286496.425999992</v>
      </c>
      <c r="H58" s="41">
        <f t="shared" si="16"/>
        <v>-33.335418509835947</v>
      </c>
      <c r="I58" s="23">
        <f>+'Centralna država-ek klas'!I74+'Lokalna država-ek klas '!I68</f>
        <v>14479947.060000001</v>
      </c>
      <c r="J58" s="41">
        <f t="shared" si="20"/>
        <v>0.29222216109572408</v>
      </c>
      <c r="K58" s="23">
        <f t="shared" si="17"/>
        <v>10090740.180000002</v>
      </c>
      <c r="L58" s="41">
        <f t="shared" si="18"/>
        <v>69.687686965894216</v>
      </c>
      <c r="M58" s="74" t="s">
        <v>148</v>
      </c>
    </row>
    <row r="59" spans="1:16357" ht="15" customHeight="1">
      <c r="A59" s="18">
        <v>72</v>
      </c>
      <c r="B59" s="19" t="s">
        <v>176</v>
      </c>
      <c r="C59" s="20">
        <f>+'Centralna država-ek klas'!C75+'Lokalna država-ek klas '!C69</f>
        <v>14369384.419999998</v>
      </c>
      <c r="D59" s="40">
        <f t="shared" si="19"/>
        <v>0.27079346487260664</v>
      </c>
      <c r="E59" s="20">
        <f>+'Centralna država-ek klas'!E75+'Lokalna država-ek klas '!E69</f>
        <v>6424097</v>
      </c>
      <c r="F59" s="40">
        <f t="shared" si="14"/>
        <v>0.12106318784863561</v>
      </c>
      <c r="G59" s="20">
        <f t="shared" si="15"/>
        <v>7945287.4199999981</v>
      </c>
      <c r="H59" s="40">
        <f t="shared" si="16"/>
        <v>123.67944350778015</v>
      </c>
      <c r="I59" s="20">
        <f>+'Centralna država-ek klas'!I75+'Lokalna država-ek klas '!I69</f>
        <v>2098798.1999999997</v>
      </c>
      <c r="J59" s="40">
        <f t="shared" si="20"/>
        <v>4.2356187019637878E-2</v>
      </c>
      <c r="K59" s="20">
        <f t="shared" si="17"/>
        <v>12270586.219999999</v>
      </c>
      <c r="L59" s="40">
        <f t="shared" si="18"/>
        <v>584.64821534533428</v>
      </c>
      <c r="M59" s="73" t="s">
        <v>149</v>
      </c>
    </row>
    <row r="60" spans="1:16357" ht="15" customHeight="1">
      <c r="A60" s="28"/>
      <c r="B60" s="29" t="s">
        <v>155</v>
      </c>
      <c r="C60" s="30">
        <f>+'Lokalna država-ek klas '!C70</f>
        <v>1250736.0299999998</v>
      </c>
      <c r="D60" s="40">
        <f t="shared" si="19"/>
        <v>2.357033073270013E-2</v>
      </c>
      <c r="E60" s="30">
        <f>+'Lokalna država-ek klas '!E70</f>
        <v>1737490</v>
      </c>
      <c r="F60" s="40">
        <f t="shared" si="14"/>
        <v>3.2743291120156795E-2</v>
      </c>
      <c r="G60" s="20">
        <f t="shared" si="15"/>
        <v>-486753.9700000002</v>
      </c>
      <c r="H60" s="40">
        <f t="shared" si="16"/>
        <v>-28.014778214550887</v>
      </c>
      <c r="I60" s="30">
        <f>+'Lokalna država-ek klas '!I70</f>
        <v>943201.58</v>
      </c>
      <c r="J60" s="40">
        <f t="shared" si="20"/>
        <v>1.9034904127370578E-2</v>
      </c>
      <c r="K60" s="20">
        <f t="shared" si="17"/>
        <v>307534.44999999984</v>
      </c>
      <c r="L60" s="40">
        <f t="shared" si="18"/>
        <v>32.605379011345576</v>
      </c>
      <c r="M60" s="76" t="s">
        <v>156</v>
      </c>
    </row>
    <row r="61" spans="1:16357" ht="15" customHeight="1" thickBot="1">
      <c r="A61" s="24"/>
      <c r="B61" s="25" t="s">
        <v>51</v>
      </c>
      <c r="C61" s="26">
        <f>+-C55-SUM(C57:C60)</f>
        <v>49720119.290076315</v>
      </c>
      <c r="D61" s="42">
        <f t="shared" si="19"/>
        <v>0.93698400591882092</v>
      </c>
      <c r="E61" s="26">
        <f>+-E55-SUM(E57:E60)</f>
        <v>169522431.49504858</v>
      </c>
      <c r="F61" s="42">
        <f t="shared" si="14"/>
        <v>3.194678718058356</v>
      </c>
      <c r="G61" s="26">
        <f t="shared" si="15"/>
        <v>-119802312.20497227</v>
      </c>
      <c r="H61" s="42">
        <f t="shared" si="16"/>
        <v>-70.670477734665724</v>
      </c>
      <c r="I61" s="26">
        <f>+-I55-SUM(I57:I60)</f>
        <v>377778898.91999996</v>
      </c>
      <c r="J61" s="42">
        <f t="shared" si="20"/>
        <v>7.6240172565082229</v>
      </c>
      <c r="K61" s="26">
        <f t="shared" si="17"/>
        <v>-328058779.62992364</v>
      </c>
      <c r="L61" s="42">
        <f t="shared" si="18"/>
        <v>-86.838831011415152</v>
      </c>
      <c r="M61" s="77" t="s">
        <v>150</v>
      </c>
    </row>
    <row r="62" spans="1:16357" ht="13.5" customHeight="1"/>
  </sheetData>
  <sheetProtection algorithmName="SHA-512" hashValue="QIKCYgjb6H+6AJiHNvpYtCkijv8Wam7/DSc5jUf4s5Bu8FQeN+7GU9b4nJqETbPqllti9JiPnGJCw7Ntj/7Dsw==" saltValue="d1yEMywdD4UUFbl0oTwz+w=="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02"/>
      <c r="C4" s="102" t="s">
        <v>178</v>
      </c>
      <c r="D4" s="104" t="s">
        <v>179</v>
      </c>
    </row>
    <row r="5" spans="2:4">
      <c r="B5" s="103"/>
      <c r="C5" s="103"/>
      <c r="D5" s="105"/>
    </row>
    <row r="6" spans="2:4" ht="13.5">
      <c r="B6" s="22" t="s">
        <v>182</v>
      </c>
      <c r="C6" s="23">
        <v>51122438.960000001</v>
      </c>
      <c r="D6" s="23">
        <v>50118940.61699906</v>
      </c>
    </row>
    <row r="7" spans="2:4" ht="13.5">
      <c r="B7" s="22" t="s">
        <v>181</v>
      </c>
      <c r="C7" s="23">
        <v>59697131.339999996</v>
      </c>
      <c r="D7" s="23">
        <v>57763326.64507816</v>
      </c>
    </row>
    <row r="8" spans="2:4" ht="13.5">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Milena Milovic</cp:lastModifiedBy>
  <cp:lastPrinted>2021-05-19T06:53:11Z</cp:lastPrinted>
  <dcterms:created xsi:type="dcterms:W3CDTF">2008-03-17T08:49:23Z</dcterms:created>
  <dcterms:modified xsi:type="dcterms:W3CDTF">2022-12-01T13:28:57Z</dcterms:modified>
</cp:coreProperties>
</file>